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6 CTCAC Apps\Richmond (4%) (02-03)\TAB 40 - CTCAC E-App\"/>
    </mc:Choice>
  </mc:AlternateContent>
  <xr:revisionPtr revIDLastSave="0" documentId="13_ncr:1_{4F8E56FD-6818-45EA-AFA6-1554BC7EFD8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3148" yWindow="-108" windowWidth="23256" windowHeight="12456"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E45" i="4" l="1"/>
  <c r="C45" i="4"/>
  <c r="AE707" i="3" l="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5" i="24" a="1"/>
  <c r="BB5" i="24" s="1"/>
  <c r="BB4" i="24" l="1"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2" i="7" l="1"/>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3" i="7"/>
  <c r="I53" i="7" s="1"/>
  <c r="K53" i="7" s="1"/>
  <c r="A61" i="15"/>
  <c r="BA487" i="3"/>
  <c r="BA478" i="3"/>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7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R89" i="4"/>
  <c r="S89" i="4" s="1"/>
  <c r="E89" i="13"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X743" i="3"/>
  <c r="X744" i="3"/>
  <c r="X745" i="3"/>
  <c r="X746" i="3"/>
  <c r="X747" i="3"/>
  <c r="X748" i="3"/>
  <c r="X749" i="3"/>
  <c r="M840" i="3"/>
  <c r="Q840" i="3"/>
  <c r="U840" i="3"/>
  <c r="Y840" i="3"/>
  <c r="AC840" i="3"/>
  <c r="AG840" i="3"/>
  <c r="Z911" i="3"/>
  <c r="S38" i="4" l="1"/>
  <c r="E38" i="13" s="1"/>
  <c r="E65" i="13"/>
  <c r="S104" i="4"/>
  <c r="E29" i="13"/>
  <c r="S96" i="4"/>
  <c r="E96" i="13" s="1"/>
  <c r="S42" i="4"/>
  <c r="E42" i="13" s="1"/>
  <c r="S54" i="4"/>
  <c r="E54" i="13" s="1"/>
  <c r="E40" i="13"/>
  <c r="E90"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63" i="4" l="1"/>
  <c r="AJ634" i="20"/>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2" i="21" l="1"/>
  <c r="P32" i="21" s="1" a="1"/>
  <c r="P32" i="21" s="1"/>
  <c r="S32" i="21" s="1"/>
  <c r="O31" i="21"/>
  <c r="P31" i="21" s="1" a="1"/>
  <c r="P31" i="21" s="1"/>
  <c r="S31" i="21" s="1"/>
  <c r="O30" i="21"/>
  <c r="P30" i="21" s="1" a="1"/>
  <c r="P30" i="21" s="1"/>
  <c r="S30" i="21" s="1"/>
  <c r="O29" i="21"/>
  <c r="P29" i="21" s="1" a="1"/>
  <c r="P29" i="21" s="1"/>
  <c r="S29" i="21" s="1"/>
  <c r="O27" i="21"/>
  <c r="P27" i="21" s="1" a="1"/>
  <c r="P27" i="21" s="1"/>
  <c r="S27" i="21" s="1"/>
  <c r="O26" i="21"/>
  <c r="P26" i="21" s="1" a="1"/>
  <c r="P26" i="21" s="1"/>
  <c r="S26" i="21" s="1"/>
  <c r="O25" i="21"/>
  <c r="O28" i="21"/>
  <c r="P28" i="21" s="1" a="1"/>
  <c r="P28" i="21" s="1"/>
  <c r="S28" i="21" s="1"/>
  <c r="O24" i="21"/>
  <c r="P24" i="21" s="1" a="1"/>
  <c r="P24" i="21" s="1"/>
  <c r="S24" i="21" s="1"/>
  <c r="O23" i="21"/>
  <c r="P23" i="21" s="1" a="1"/>
  <c r="P23" i="21" s="1"/>
  <c r="S23" i="21" s="1"/>
  <c r="O22" i="2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5" i="21" a="1"/>
  <c r="P25" i="21" s="1"/>
  <c r="S25" i="21" s="1"/>
  <c r="P20" i="21" a="1"/>
  <c r="P20" i="21" s="1"/>
  <c r="S20" i="21" s="1"/>
  <c r="P22" i="21" a="1"/>
  <c r="P22" i="21" s="1"/>
  <c r="S22"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J724" i="20" l="1"/>
  <c r="AK816" i="20" s="1"/>
  <c r="T841" i="20" s="1"/>
  <c r="AF841" i="20" s="1"/>
  <c r="BE82" i="3" s="1"/>
  <c r="AJ1038" i="3"/>
  <c r="AJ1016" i="3"/>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<sst xmlns="http://schemas.openxmlformats.org/spreadsheetml/2006/main" count="5075" uniqueCount="2801">
  <si>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</si>
  <si>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</si>
  <si>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</si>
  <si>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</si>
  <si>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</si>
  <si>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</si>
  <si>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</si>
  <si>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</si>
  <si>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</si>
  <si>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</si>
  <si>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</si>
  <si>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</si>
  <si>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</si>
  <si>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</si>
  <si>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</si>
  <si>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</si>
  <si>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</si>
  <si>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</si>
  <si>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</si>
  <si>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</si>
  <si>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</si>
  <si>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</si>
  <si>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</si>
  <si>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</si>
  <si>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</si>
  <si>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</si>
  <si>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</si>
  <si>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</si>
  <si>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</si>
  <si>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</si>
  <si>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</si>
  <si>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</si>
  <si>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</si>
  <si>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</si>
  <si>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</si>
  <si>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</si>
  <si>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</si>
  <si>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</si>
  <si>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</si>
  <si>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</si>
  <si>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</si>
  <si>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</si>
  <si>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</si>
  <si>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</si>
  <si>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</si>
  <si>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</si>
  <si>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</si>
  <si>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</si>
  <si>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</si>
  <si>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</si>
  <si>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</si>
  <si>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</si>
  <si>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</si>
  <si>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</si>
  <si>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</si>
  <si>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</si>
  <si>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</si>
  <si>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</si>
  <si>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</si>
  <si>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</si>
  <si>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</si>
  <si>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</si>
  <si>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</si>
  <si>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</si>
  <si>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</si>
  <si>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</si>
  <si>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</si>
  <si>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</si>
  <si>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</si>
  <si>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</si>
  <si>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</si>
  <si>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</si>
  <si>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</si>
  <si>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</si>
  <si>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</si>
  <si>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</si>
  <si>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</si>
  <si>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</si>
  <si>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</si>
  <si>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</si>
  <si>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</si>
  <si>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</si>
  <si>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</si>
  <si>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</si>
  <si>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</si>
  <si>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</si>
  <si>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</si>
  <si>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</si>
  <si>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</si>
  <si>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</si>
  <si>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</si>
  <si>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</si>
  <si>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</si>
  <si>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</si>
  <si>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</si>
  <si>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</si>
  <si>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</si>
  <si>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</si>
  <si>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</si>
  <si>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</si>
  <si>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</si>
  <si>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</si>
  <si>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</si>
  <si>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</si>
  <si>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</si>
  <si>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</si>
  <si>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</si>
  <si>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</si>
  <si>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</si>
  <si>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</si>
  <si>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</si>
  <si>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</si>
  <si>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</si>
  <si>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</si>
  <si>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</si>
  <si>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</si>
  <si>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</si>
  <si>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</si>
  <si>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</si>
  <si>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</si>
  <si>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</si>
  <si>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</si>
  <si>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</si>
  <si>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</si>
  <si>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</si>
  <si>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</si>
  <si>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</si>
  <si>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</si>
  <si>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</si>
  <si>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</si>
  <si>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</si>
  <si>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</si>
  <si>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</si>
  <si>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</si>
  <si>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</si>
  <si>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</si>
  <si>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</si>
  <si>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</si>
  <si>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</si>
  <si>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</si>
  <si>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</si>
  <si>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</si>
  <si>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</si>
  <si>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</si>
  <si>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</si>
  <si>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</si>
  <si>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</si>
  <si>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</si>
  <si>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</si>
  <si>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</si>
  <si>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</si>
  <si>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</si>
  <si>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</si>
  <si>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</si>
  <si>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</si>
  <si>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</si>
  <si>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</si>
  <si>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</si>
  <si>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</si>
  <si>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</si>
  <si>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</si>
  <si>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</si>
  <si>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</si>
  <si>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</si>
  <si>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</si>
  <si>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</si>
  <si>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</si>
  <si>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</si>
  <si>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</si>
  <si>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</si>
  <si>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</si>
  <si>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</si>
  <si>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</si>
  <si>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</si>
  <si>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</si>
  <si>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</si>
  <si>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</si>
  <si>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</si>
  <si>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</si>
  <si>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</si>
  <si>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</si>
  <si>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</si>
  <si>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</si>
  <si>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</si>
  <si>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</si>
  <si>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</si>
  <si>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</si>
  <si>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</si>
  <si>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</si>
  <si>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</si>
  <si>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</si>
  <si>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</si>
  <si>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</si>
  <si>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</si>
  <si>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</si>
  <si>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</si>
  <si>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</si>
  <si>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</si>
  <si>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</si>
  <si>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</si>
  <si>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</si>
  <si>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</si>
  <si>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</si>
  <si>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</si>
  <si>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</si>
  <si>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</si>
  <si>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</si>
  <si>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</si>
  <si>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</si>
  <si>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</si>
  <si>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</si>
  <si>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</si>
  <si>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</si>
  <si>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</si>
  <si>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</si>
  <si>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</si>
  <si>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</si>
  <si>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</si>
  <si>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</si>
  <si>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</si>
  <si>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</si>
  <si>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</si>
  <si>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</si>
  <si>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</si>
  <si>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</si>
  <si>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</si>
  <si>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</si>
  <si>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</si>
  <si>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</si>
  <si>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</si>
  <si>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</si>
  <si>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</si>
  <si>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</si>
  <si>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</si>
  <si>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</si>
  <si>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</si>
  <si>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</si>
  <si>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</si>
  <si>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</si>
  <si>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</si>
  <si>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</si>
  <si>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</si>
  <si>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</si>
  <si>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</si>
  <si>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</si>
  <si>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</si>
  <si>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</si>
  <si>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</si>
  <si>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</si>
  <si>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</si>
  <si>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</si>
  <si>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</si>
  <si>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</si>
  <si>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</si>
  <si>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</si>
  <si>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</si>
  <si>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</si>
  <si>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</si>
  <si>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</si>
  <si>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</si>
  <si>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</si>
  <si>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</si>
  <si>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</si>
  <si>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</si>
  <si>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</si>
  <si>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</si>
  <si>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</si>
  <si>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</si>
  <si>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</si>
  <si>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</si>
  <si>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</si>
  <si>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</si>
  <si>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</si>
  <si>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</si>
  <si>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</si>
  <si>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</si>
  <si>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</si>
  <si>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</si>
  <si>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</si>
  <si>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</si>
  <si>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</si>
  <si>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</si>
  <si>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</si>
  <si>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</si>
  <si>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</si>
  <si>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</si>
  <si>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</si>
  <si>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</si>
  <si>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</si>
  <si>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</si>
  <si>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</si>
  <si>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</si>
  <si>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</si>
  <si>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</si>
  <si>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</si>
  <si>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</si>
  <si>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</si>
  <si>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</si>
  <si>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</si>
  <si>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</si>
  <si>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</si>
  <si>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</si>
  <si>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</si>
  <si>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</si>
  <si>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</si>
  <si>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</si>
  <si>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</si>
  <si>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</si>
  <si>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</si>
  <si>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</si>
  <si>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</si>
  <si>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</si>
  <si>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</si>
  <si>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</si>
  <si>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</si>
  <si>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</si>
  <si>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</si>
  <si>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</si>
  <si>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</si>
  <si>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</si>
  <si>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</si>
  <si>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</si>
  <si>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</si>
  <si>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</si>
  <si>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</si>
  <si>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</si>
  <si>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</si>
  <si>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</si>
  <si>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</si>
  <si>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</si>
  <si>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</si>
  <si>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</si>
  <si>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</si>
  <si>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</si>
  <si>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</si>
  <si>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</si>
  <si>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</si>
  <si>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</si>
  <si>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</si>
  <si>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</si>
  <si>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</si>
  <si>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</si>
  <si>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</si>
  <si>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</si>
  <si>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</si>
  <si>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</si>
  <si>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</si>
  <si>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</si>
  <si>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</si>
  <si>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</si>
  <si>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</si>
  <si>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</si>
  <si>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</si>
  <si>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</si>
  <si>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</si>
  <si>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</si>
  <si>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</si>
  <si>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</si>
  <si>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</si>
  <si>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</si>
  <si>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</si>
  <si>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</si>
  <si>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</si>
  <si>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</si>
  <si>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</si>
  <si>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</si>
  <si>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</si>
  <si>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</si>
  <si>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</si>
  <si>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</si>
  <si>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</si>
  <si>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</si>
  <si>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</si>
  <si>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</si>
  <si>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</si>
  <si>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</si>
  <si>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</si>
  <si>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</si>
  <si>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</si>
  <si>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</si>
  <si>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</si>
  <si>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</si>
  <si>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</si>
  <si>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</si>
  <si>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</si>
  <si>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</si>
  <si>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</si>
  <si>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</si>
  <si>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</si>
  <si>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</si>
  <si>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</si>
  <si>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</si>
  <si>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</si>
  <si>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</si>
  <si>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</si>
  <si>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</si>
  <si>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</si>
  <si>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</si>
  <si>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</si>
  <si>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</si>
  <si>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</si>
  <si>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</si>
  <si>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</si>
  <si>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</si>
  <si>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</si>
  <si>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</si>
  <si>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</si>
  <si>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</si>
  <si>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</si>
  <si>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</si>
  <si>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</si>
  <si>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</si>
  <si>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</si>
  <si>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</si>
  <si>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</si>
  <si>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</si>
  <si>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</si>
  <si>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</si>
  <si>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</si>
  <si>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</si>
  <si>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</si>
  <si>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</si>
  <si>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</si>
  <si>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</si>
  <si>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</si>
  <si>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</si>
  <si>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</si>
  <si>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</si>
  <si>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</si>
  <si>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</si>
  <si>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</si>
  <si>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</si>
  <si>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</si>
  <si>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</si>
  <si>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</si>
  <si>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</si>
  <si>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</si>
  <si>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</si>
  <si>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</si>
  <si>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</si>
  <si>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</si>
  <si>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</si>
  <si>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</si>
  <si>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</si>
  <si>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</si>
  <si>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</si>
  <si>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</si>
  <si>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</si>
  <si>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</si>
  <si>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</si>
  <si>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</si>
  <si>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</si>
  <si>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</si>
  <si>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</si>
  <si>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</si>
  <si>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</si>
  <si>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</si>
  <si>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</si>
  <si>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</si>
  <si>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</si>
  <si>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</si>
  <si>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</si>
  <si>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</si>
  <si>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</si>
  <si>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</si>
  <si>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</si>
  <si>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</si>
  <si>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</si>
  <si>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</si>
  <si>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</si>
  <si>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</si>
  <si>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</si>
  <si>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</si>
  <si>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</si>
  <si>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</si>
  <si>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</si>
  <si>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</si>
  <si>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</si>
  <si>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</si>
  <si>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</si>
  <si>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</si>
  <si>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</si>
  <si>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</si>
  <si>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</si>
  <si>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</si>
  <si>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</si>
  <si>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</si>
  <si>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</si>
  <si>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</si>
  <si>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</si>
  <si>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</si>
  <si>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</si>
  <si>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</si>
  <si>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</si>
  <si>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</si>
  <si>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</si>
  <si>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</si>
  <si>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</si>
  <si>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</si>
  <si>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</si>
  <si>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</si>
  <si>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</si>
  <si>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</si>
  <si>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</si>
  <si>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</si>
  <si>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</si>
  <si>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</si>
  <si>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</si>
  <si>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</si>
  <si>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</si>
  <si>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</si>
  <si>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</si>
  <si>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</si>
  <si>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</si>
  <si>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</si>
  <si>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</si>
  <si>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</si>
  <si>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</si>
  <si>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</si>
  <si>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</si>
  <si>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</si>
  <si>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</si>
  <si>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</si>
  <si>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</si>
  <si>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</si>
  <si>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</si>
  <si>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</si>
  <si>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</si>
  <si>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</si>
  <si>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</si>
  <si>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</si>
  <si>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</si>
  <si>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</si>
  <si>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</si>
  <si>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</si>
  <si>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</si>
  <si>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</si>
  <si>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</si>
  <si>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</si>
  <si>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</si>
  <si>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</si>
  <si>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</si>
  <si>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</si>
  <si>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</si>
  <si>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</si>
  <si>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</si>
  <si>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</si>
  <si>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</si>
  <si>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</si>
  <si>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</si>
  <si>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</si>
  <si>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</si>
  <si>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</si>
  <si>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</si>
  <si>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</si>
  <si>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</si>
  <si>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</si>
  <si>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</si>
  <si>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</si>
  <si>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</si>
  <si>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</si>
  <si>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</si>
  <si>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</si>
  <si>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</si>
  <si>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</si>
  <si>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</si>
  <si>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</si>
  <si>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</si>
  <si>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</si>
  <si>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</si>
  <si>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</si>
  <si>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</si>
  <si>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</si>
  <si>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</si>
  <si>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</si>
  <si>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</si>
  <si>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</si>
  <si>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</si>
  <si>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</si>
  <si>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</si>
  <si>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</si>
  <si>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</si>
  <si>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</si>
  <si>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</si>
  <si>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</si>
  <si>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</si>
  <si>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</si>
  <si>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</si>
  <si>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</si>
  <si>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</si>
  <si>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</si>
  <si>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</si>
  <si>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</si>
  <si>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</si>
  <si>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</si>
  <si>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</si>
  <si>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</si>
  <si>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</si>
  <si>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</si>
  <si>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</si>
  <si>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</si>
  <si>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</si>
  <si>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</si>
  <si>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</si>
  <si>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</si>
  <si>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</si>
  <si>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</si>
  <si>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</si>
  <si>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</si>
  <si>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</si>
  <si>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</si>
  <si>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</si>
  <si>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</si>
  <si>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</si>
  <si>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</si>
  <si>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</si>
  <si>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</si>
  <si>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</si>
  <si>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</si>
  <si>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</si>
  <si>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</si>
  <si>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</si>
  <si>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</si>
  <si>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</si>
  <si>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</si>
  <si>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</si>
  <si>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</si>
  <si>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</si>
  <si>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</si>
  <si>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</si>
  <si>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</si>
  <si>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</si>
  <si>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</si>
  <si>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</si>
  <si>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</si>
  <si>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</si>
  <si>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</si>
  <si>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</si>
  <si>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</si>
  <si>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</si>
  <si>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</si>
  <si>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</si>
  <si>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</si>
  <si>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</si>
  <si>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</si>
  <si>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</si>
  <si>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</si>
  <si>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</si>
  <si>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</si>
  <si>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</si>
  <si>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</si>
  <si>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</si>
  <si>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</si>
  <si>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</si>
  <si>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</si>
  <si>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</si>
  <si>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</si>
  <si>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</si>
  <si>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</si>
  <si>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</si>
  <si>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</si>
  <si>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</si>
  <si>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</si>
  <si>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</si>
  <si>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</si>
  <si>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</si>
  <si>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</si>
  <si>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</si>
  <si>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</si>
  <si>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</si>
  <si>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</si>
  <si>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</si>
  <si>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</si>
  <si>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</si>
  <si>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</si>
  <si>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</si>
  <si>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</si>
  <si>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</si>
  <si>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</si>
  <si>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</si>
  <si>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</si>
  <si>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</si>
  <si>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</si>
  <si>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</si>
  <si>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</si>
  <si>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</si>
  <si>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</si>
  <si>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</si>
  <si>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</si>
  <si>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</si>
  <si>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</si>
  <si>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</si>
  <si>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</si>
  <si>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</si>
  <si>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</si>
  <si>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</si>
  <si>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</si>
  <si>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</si>
  <si>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</si>
  <si>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</si>
  <si>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</si>
  <si>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</si>
  <si>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</si>
  <si>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</si>
  <si>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</si>
  <si>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</si>
  <si>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</si>
  <si>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</si>
  <si>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</si>
  <si>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</si>
  <si>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</si>
  <si>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</si>
  <si>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</si>
  <si>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</si>
  <si>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</si>
  <si>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</si>
  <si>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</si>
  <si>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</si>
  <si>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</si>
  <si>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</si>
  <si>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</si>
  <si>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</si>
  <si>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</si>
  <si>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</si>
  <si>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</si>
  <si>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</si>
  <si>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</si>
  <si>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</si>
  <si>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</si>
  <si>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</si>
  <si>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</si>
  <si>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</si>
  <si>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</si>
  <si>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</si>
  <si>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</si>
  <si>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</si>
  <si>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</si>
  <si>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</si>
  <si>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</si>
  <si>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</si>
  <si>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</si>
  <si>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</si>
  <si>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</si>
  <si>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</si>
  <si>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</si>
  <si>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</si>
  <si>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</si>
  <si>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</si>
  <si>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</si>
  <si>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</si>
  <si>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</si>
  <si>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</si>
  <si>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</si>
  <si>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</si>
  <si>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</si>
  <si>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</si>
  <si>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</si>
  <si>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</si>
  <si>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</si>
  <si>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</si>
  <si>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</si>
  <si>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</si>
  <si>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</si>
  <si>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</si>
  <si>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</si>
  <si>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</si>
  <si>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</si>
  <si>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</si>
  <si>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</si>
  <si>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</si>
  <si>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</si>
  <si>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</si>
  <si>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</si>
  <si>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</si>
  <si>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</si>
  <si>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</si>
  <si>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</si>
  <si>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</si>
  <si>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</si>
  <si>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</si>
  <si>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</si>
  <si>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</si>
  <si>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</si>
  <si>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</si>
  <si>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</si>
  <si>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</si>
  <si>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</si>
  <si>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</si>
  <si>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</si>
  <si>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</si>
  <si>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</si>
  <si>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</si>
  <si>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</si>
  <si>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</si>
  <si>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</si>
  <si>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</si>
  <si>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</si>
  <si>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</si>
  <si>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</si>
  <si>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</si>
  <si>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</si>
  <si>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</si>
  <si>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</si>
  <si>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</si>
  <si>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</si>
  <si>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</si>
  <si>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</si>
  <si>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</si>
  <si>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</si>
  <si>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</si>
  <si>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</si>
  <si>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</si>
  <si>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</si>
  <si>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</si>
  <si>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</si>
  <si>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</si>
  <si>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</si>
  <si>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</si>
  <si>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</si>
  <si>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</si>
  <si>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</si>
  <si>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</si>
  <si>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</si>
  <si>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</si>
  <si>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</si>
  <si>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</si>
  <si>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</si>
  <si>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</si>
  <si>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</si>
  <si>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</si>
  <si>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</si>
  <si>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</si>
  <si>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</si>
  <si>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</si>
  <si>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</si>
  <si>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</si>
  <si>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</si>
  <si>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</si>
  <si>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</si>
  <si>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</si>
  <si>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</si>
  <si>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</si>
  <si>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</si>
  <si>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</si>
  <si>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</si>
  <si>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</si>
  <si>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</si>
  <si>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</si>
  <si>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</si>
  <si>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</si>
  <si>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</si>
  <si>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</si>
  <si>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</si>
  <si>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</si>
  <si>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</si>
  <si>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</si>
  <si>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</si>
  <si>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</si>
  <si>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</si>
  <si>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</si>
  <si>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</si>
  <si>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</si>
  <si>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</si>
  <si>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</si>
  <si>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</si>
  <si>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</si>
  <si>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</si>
  <si>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</si>
  <si>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</si>
  <si>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</si>
  <si>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</si>
  <si>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</si>
  <si>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</si>
  <si>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</si>
  <si>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</si>
  <si>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</si>
  <si>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</si>
  <si>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</si>
  <si>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</si>
  <si>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</si>
  <si>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</si>
  <si>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</si>
  <si>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</si>
  <si>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</si>
  <si>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</si>
  <si>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</si>
  <si>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</si>
  <si>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</si>
  <si>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</si>
  <si>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</si>
  <si>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</si>
  <si>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</si>
  <si>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</si>
  <si>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</si>
  <si>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</si>
  <si>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</si>
  <si>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</si>
  <si>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</si>
  <si>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</si>
  <si>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</si>
  <si>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</si>
  <si>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</si>
  <si>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</si>
  <si>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</si>
  <si>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</si>
  <si>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</si>
  <si>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</si>
  <si>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</si>
  <si>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</si>
  <si>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</si>
  <si>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</si>
  <si>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</si>
  <si>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</si>
  <si>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</si>
  <si>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</si>
  <si>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</si>
  <si>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</si>
  <si>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</si>
  <si>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</si>
  <si>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</si>
  <si>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</si>
  <si>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</si>
  <si>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</si>
  <si>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</si>
  <si>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</si>
  <si>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</si>
  <si>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</si>
  <si>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</si>
  <si>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</si>
  <si>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</si>
  <si>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</si>
  <si>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</si>
  <si>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</si>
  <si>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</si>
  <si>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</si>
  <si>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</si>
  <si>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</si>
  <si>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</si>
  <si>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</si>
  <si>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</si>
  <si>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</si>
  <si>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</si>
  <si>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</si>
  <si>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</si>
  <si>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</si>
  <si>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</si>
  <si>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</si>
  <si>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</si>
  <si>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</si>
  <si>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</si>
  <si>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</si>
  <si>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</si>
  <si>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</si>
  <si>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</si>
  <si>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</si>
  <si>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</si>
  <si>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</si>
  <si>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</si>
  <si>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</si>
  <si>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</si>
  <si>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</si>
  <si>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</si>
  <si>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</si>
  <si>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</si>
  <si>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</si>
  <si>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</si>
  <si>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</si>
  <si>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</si>
  <si>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</si>
  <si>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</si>
  <si>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</si>
  <si>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</si>
  <si>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</si>
  <si>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</si>
  <si>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</si>
  <si>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</si>
  <si>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</si>
  <si>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</si>
  <si>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</si>
  <si>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</si>
  <si>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</si>
  <si>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</si>
  <si>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</si>
  <si>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</si>
  <si>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</si>
  <si>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</si>
  <si>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</si>
  <si>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</si>
  <si>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</si>
  <si>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</si>
  <si>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</si>
  <si>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</si>
  <si>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</si>
  <si>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</si>
  <si>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</si>
  <si>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</si>
  <si>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</si>
  <si>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</si>
  <si>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</si>
  <si>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</si>
  <si>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</si>
  <si>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</si>
  <si>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</si>
  <si>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</si>
  <si>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</si>
  <si>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</si>
  <si>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</si>
  <si>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</si>
  <si>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</si>
  <si>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</si>
  <si>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</si>
  <si>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</si>
  <si>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</si>
  <si>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</si>
  <si>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</si>
  <si>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</si>
  <si>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</si>
  <si>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</si>
  <si>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</si>
  <si>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</si>
  <si>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</si>
  <si>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</si>
  <si>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</si>
  <si>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</si>
  <si>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</si>
  <si>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</si>
  <si>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</si>
  <si>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</si>
  <si>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</si>
  <si>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</si>
  <si>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</si>
  <si>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</si>
  <si>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</si>
  <si>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</si>
  <si>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</si>
  <si>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</si>
  <si>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</si>
  <si>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</si>
  <si>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</si>
  <si>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</si>
  <si>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</si>
  <si>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</si>
  <si>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</si>
  <si>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</si>
  <si>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</si>
  <si>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</si>
  <si>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</si>
  <si>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</si>
  <si>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</si>
  <si>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</si>
  <si>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</si>
  <si>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</si>
  <si>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</si>
  <si>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</si>
  <si>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</si>
  <si>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</si>
  <si>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</si>
  <si>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</si>
  <si>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</si>
  <si>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</si>
  <si>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</si>
  <si>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</si>
  <si>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</si>
  <si>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</si>
  <si>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</si>
  <si>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</si>
  <si>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</si>
  <si>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</si>
  <si>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</si>
  <si>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</si>
  <si>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</si>
  <si>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</si>
  <si>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</si>
  <si>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</si>
  <si>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</si>
  <si>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</si>
  <si>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</si>
  <si>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</si>
  <si>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</si>
  <si>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</si>
  <si>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</si>
  <si>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</si>
  <si>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</si>
  <si>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</si>
  <si>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</si>
  <si>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</si>
  <si>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</si>
  <si>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</si>
  <si>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</si>
  <si>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</si>
  <si>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</si>
  <si>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</si>
  <si>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</si>
  <si>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</si>
  <si>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</si>
  <si>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</si>
  <si>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</si>
  <si>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</si>
  <si>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</si>
  <si>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</si>
  <si>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</si>
  <si>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</si>
  <si>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</si>
  <si>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</si>
  <si>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</si>
  <si>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</si>
  <si>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</si>
  <si>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</si>
  <si>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</si>
  <si>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</si>
  <si>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</si>
  <si>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</si>
  <si>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</si>
  <si>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</si>
  <si>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</si>
  <si>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</si>
  <si>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</si>
  <si>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</si>
  <si>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</si>
  <si>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</si>
  <si>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</si>
  <si>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</si>
  <si>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</si>
  <si>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</si>
  <si>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</si>
  <si>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</si>
  <si>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</si>
  <si>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</si>
  <si>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</si>
  <si>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</si>
  <si>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</si>
  <si>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</si>
  <si>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</si>
  <si>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</si>
  <si>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</si>
  <si>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</si>
  <si>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</si>
  <si>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</si>
  <si>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</si>
  <si>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</si>
  <si>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</si>
  <si>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</si>
  <si>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</si>
  <si>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</si>
  <si>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</si>
  <si>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</si>
  <si>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</si>
  <si>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</si>
  <si>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</si>
  <si>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</si>
  <si>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</si>
  <si>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</si>
  <si>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</si>
  <si>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</si>
  <si>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</si>
  <si>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</si>
  <si>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</si>
  <si>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</si>
  <si>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</si>
  <si>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</si>
  <si>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</si>
  <si>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</si>
  <si>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</si>
  <si>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</si>
  <si>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</si>
  <si>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</si>
  <si>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</si>
  <si>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</si>
  <si>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</si>
  <si>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</si>
  <si>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</si>
  <si>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</si>
  <si>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</si>
  <si>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</si>
  <si>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</si>
  <si>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</si>
  <si>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</si>
  <si>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</si>
  <si>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</si>
  <si>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</si>
  <si>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</si>
  <si>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</si>
  <si>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</si>
  <si>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</si>
  <si>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</si>
  <si>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</si>
  <si>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</si>
  <si>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</si>
  <si>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</si>
  <si>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</si>
  <si>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</si>
  <si>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</si>
  <si>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</si>
  <si>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</si>
  <si>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</si>
  <si>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</si>
  <si>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</si>
  <si>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</si>
  <si>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</si>
  <si>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</si>
  <si>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</si>
  <si>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</si>
  <si>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</si>
  <si>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</si>
  <si>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</si>
  <si>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</si>
  <si>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</si>
  <si>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</si>
  <si>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</si>
  <si>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</si>
  <si>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</si>
  <si>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</si>
  <si>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</si>
  <si>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</si>
  <si>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</si>
  <si>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</si>
  <si>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</si>
  <si>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</si>
  <si>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</si>
  <si>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</si>
  <si>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</si>
  <si>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</si>
  <si>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</si>
  <si>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</si>
  <si>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</si>
  <si>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</si>
  <si>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</si>
  <si>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</si>
  <si>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</si>
  <si>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</si>
  <si>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</si>
  <si>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</si>
  <si>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</si>
  <si>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</si>
  <si>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</si>
  <si>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</si>
  <si>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</si>
  <si>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</si>
  <si>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</si>
  <si>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</si>
  <si>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</si>
  <si>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</si>
  <si>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</si>
  <si>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</si>
  <si>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</si>
  <si>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</si>
  <si>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</si>
  <si>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</si>
  <si>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</si>
  <si>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</si>
  <si>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</si>
  <si>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</si>
  <si>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</si>
  <si>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</si>
  <si>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</si>
  <si>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</si>
  <si>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</si>
  <si>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</si>
  <si>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</si>
  <si>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</si>
  <si>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</si>
  <si>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</si>
  <si>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</si>
  <si>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</si>
  <si>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</si>
  <si>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</si>
  <si>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</si>
  <si>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</si>
  <si>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</si>
  <si>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</si>
  <si>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</si>
  <si>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</si>
  <si>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</si>
  <si>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</si>
  <si>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</si>
  <si>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</si>
  <si>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</si>
  <si>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</si>
  <si>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</si>
  <si>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</si>
  <si>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</si>
  <si>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</si>
  <si>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</si>
  <si>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</si>
  <si>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</si>
  <si>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</si>
  <si>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</si>
  <si>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</si>
  <si>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</si>
  <si>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</si>
  <si>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</si>
  <si>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</si>
  <si>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</si>
  <si>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</si>
  <si>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</si>
  <si>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</si>
  <si>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</si>
  <si>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</si>
  <si>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</si>
  <si>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</si>
  <si>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</si>
  <si>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</si>
  <si>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</si>
  <si>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</si>
  <si>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</si>
  <si>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</si>
  <si>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</si>
  <si>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</si>
  <si>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</si>
  <si>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</si>
  <si>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</si>
  <si>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</si>
  <si>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</si>
  <si>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</si>
  <si>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</si>
  <si>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</si>
  <si>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</si>
  <si>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</si>
  <si>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</si>
  <si>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</si>
  <si>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</si>
  <si>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</si>
  <si>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</si>
  <si>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</si>
  <si>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</si>
  <si>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</si>
  <si>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</si>
  <si>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</si>
  <si>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</si>
  <si>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</si>
  <si>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</si>
  <si>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</si>
  <si>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</si>
  <si>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</si>
  <si>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</si>
  <si>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</si>
  <si>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</si>
  <si>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</si>
  <si>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</si>
  <si>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</si>
  <si>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</si>
  <si>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</si>
  <si>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</si>
  <si>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</si>
  <si>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</si>
  <si>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</si>
  <si>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</si>
  <si>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</si>
  <si>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</si>
  <si>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</si>
  <si>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</si>
  <si>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</si>
  <si>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</si>
  <si>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</si>
  <si>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</si>
  <si>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</si>
  <si>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</si>
  <si>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</si>
  <si>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</si>
  <si>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</si>
  <si>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</si>
  <si>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</si>
  <si>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</si>
  <si>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</si>
  <si>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</si>
  <si>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</si>
  <si>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</si>
  <si>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</si>
  <si>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</si>
  <si>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</si>
  <si>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</si>
  <si>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</si>
  <si>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</si>
  <si>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</si>
  <si>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</si>
  <si>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</si>
  <si>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</si>
  <si>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</si>
  <si>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</si>
  <si>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</si>
  <si>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</si>
  <si>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</si>
  <si>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</si>
  <si>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</si>
  <si>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</si>
  <si>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</si>
  <si>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</si>
  <si>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</si>
  <si>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</si>
  <si>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</si>
  <si>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</si>
  <si>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</si>
  <si>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</si>
  <si>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</si>
  <si>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</si>
  <si>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</si>
  <si>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</si>
  <si>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</si>
  <si>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</si>
  <si>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</si>
  <si>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</si>
  <si>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</si>
  <si>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</si>
  <si>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</si>
  <si>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</si>
  <si>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</si>
  <si>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</si>
  <si>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</si>
  <si>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</si>
  <si>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</si>
  <si>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</si>
  <si>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</si>
  <si>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</si>
  <si>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</si>
  <si>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</si>
  <si>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</si>
  <si>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</si>
  <si>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</si>
  <si>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</si>
  <si>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</si>
  <si>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</si>
  <si>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</si>
  <si>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</si>
  <si>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</si>
  <si>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</si>
  <si>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</si>
  <si>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</si>
  <si>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</si>
  <si>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</si>
  <si>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</si>
  <si>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</si>
  <si>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</si>
  <si>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</si>
  <si>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</si>
  <si>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</si>
  <si>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</si>
  <si>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</si>
  <si>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</si>
  <si>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</si>
  <si>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</si>
  <si>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</si>
  <si>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</si>
  <si>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</si>
  <si>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</si>
  <si>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</si>
  <si>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</si>
  <si>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</si>
  <si>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</si>
  <si>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</si>
  <si>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</si>
  <si>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</si>
  <si>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</si>
  <si>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</si>
  <si>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</si>
  <si>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</si>
  <si>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</si>
  <si>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</si>
  <si>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</si>
  <si>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</si>
  <si>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</si>
  <si>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</si>
  <si>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</si>
  <si>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</si>
  <si>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</si>
  <si>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</si>
  <si>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</si>
  <si>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</si>
  <si>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</si>
  <si>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</si>
  <si>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</si>
  <si>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</si>
  <si>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</si>
  <si>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</si>
  <si>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</si>
  <si>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</si>
  <si>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</si>
  <si>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</si>
  <si>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</si>
  <si>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</si>
  <si>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</si>
  <si>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</si>
  <si>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</si>
  <si>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</si>
  <si>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</si>
  <si>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</si>
  <si>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</si>
  <si>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</si>
  <si>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</si>
  <si>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</si>
  <si>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</si>
  <si>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</si>
  <si>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</si>
  <si>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</si>
  <si>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</si>
  <si>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</si>
  <si>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</si>
  <si>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</si>
  <si>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</si>
  <si>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</si>
  <si>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</si>
  <si>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</si>
  <si>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</si>
  <si>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</si>
  <si>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</si>
  <si>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</si>
  <si>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</si>
  <si>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</si>
  <si>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</si>
  <si>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</si>
  <si>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</si>
  <si>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</si>
  <si>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</si>
  <si>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</si>
  <si>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</si>
  <si>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</si>
  <si>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</si>
  <si>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</si>
  <si>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</si>
  <si>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</si>
  <si>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</si>
  <si>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</si>
  <si>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</si>
  <si>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</si>
  <si>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</si>
  <si>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</si>
  <si>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</si>
  <si>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</si>
  <si>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</si>
  <si>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</si>
  <si>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</si>
  <si>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</si>
  <si>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</si>
  <si>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</si>
  <si>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</si>
  <si>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</si>
  <si>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</si>
  <si>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</si>
  <si>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</si>
  <si>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</si>
  <si>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</si>
  <si>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</si>
  <si>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</si>
  <si>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</si>
  <si>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</si>
  <si>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</si>
  <si>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</si>
  <si>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</si>
  <si>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</si>
  <si>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</si>
  <si>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</si>
  <si>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</si>
  <si>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</si>
  <si>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</si>
  <si>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</si>
  <si>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</si>
  <si>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</si>
  <si>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</si>
  <si>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</si>
  <si>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</si>
  <si>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</si>
  <si>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</si>
  <si>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</si>
  <si>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</si>
  <si>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</si>
  <si>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</si>
  <si>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</si>
  <si>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</si>
  <si>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</si>
  <si>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</si>
  <si>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</si>
  <si>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</si>
  <si>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</si>
  <si>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</si>
  <si>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</si>
  <si>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</si>
  <si>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</si>
  <si>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</si>
  <si>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</si>
  <si>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</si>
  <si>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</si>
  <si>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</si>
  <si>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</si>
  <si>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</si>
  <si>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</si>
  <si>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</si>
  <si>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</si>
  <si>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</si>
  <si>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</si>
  <si>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</si>
  <si>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</si>
  <si>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</si>
  <si>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</si>
  <si>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</si>
  <si>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</si>
  <si>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</si>
  <si>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</si>
  <si>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</si>
  <si>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</si>
  <si>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</si>
  <si>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</si>
  <si>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</si>
  <si>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</si>
  <si>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</si>
  <si>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</si>
  <si>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</si>
  <si>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</si>
  <si>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</si>
  <si>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</si>
  <si>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</si>
  <si>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</si>
  <si>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</si>
  <si>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</si>
  <si>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</si>
  <si>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</si>
  <si>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</si>
  <si>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</si>
  <si>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</si>
  <si>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</si>
  <si>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</si>
  <si>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</si>
  <si>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</si>
  <si>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</si>
  <si>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</si>
  <si>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</si>
  <si>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</si>
  <si>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</si>
  <si>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</si>
  <si>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</si>
  <si>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</si>
  <si>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</si>
  <si>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</si>
  <si>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</si>
  <si>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</si>
  <si>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</si>
  <si>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</si>
  <si>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</si>
  <si>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</si>
  <si>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</si>
  <si>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</si>
  <si>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</si>
  <si>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</si>
  <si>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</si>
  <si>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</si>
  <si>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</si>
  <si>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</si>
  <si>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</si>
  <si>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</si>
  <si>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</si>
  <si>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</si>
  <si>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</si>
  <si>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</si>
  <si>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</si>
  <si>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</si>
  <si>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</si>
  <si>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</si>
  <si>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</si>
  <si>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</si>
  <si>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</si>
  <si>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</si>
  <si>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</si>
  <si>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</si>
  <si>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</si>
  <si>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</si>
  <si>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</si>
  <si>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</si>
  <si>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</si>
  <si>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</si>
  <si>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</si>
  <si>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</si>
  <si>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</si>
  <si>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</si>
  <si>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</si>
  <si>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</si>
  <si>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</si>
  <si>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</si>
  <si>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</si>
  <si>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</si>
  <si>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</si>
  <si>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</si>
  <si>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</si>
  <si>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</si>
  <si>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</si>
  <si>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</si>
  <si>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</si>
  <si>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</si>
  <si>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</si>
  <si>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</si>
  <si>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</si>
  <si>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</si>
  <si>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</si>
  <si>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</si>
  <si>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</si>
  <si>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</si>
  <si>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</si>
  <si>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</si>
  <si>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</si>
  <si>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</si>
  <si>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</si>
  <si>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</si>
  <si>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</si>
  <si>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</si>
  <si>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</si>
  <si>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</si>
  <si>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</si>
  <si>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</si>
  <si>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</si>
  <si>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</si>
  <si>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</si>
  <si>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</si>
  <si>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</si>
  <si>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</si>
  <si>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</si>
  <si>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</si>
  <si>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</si>
  <si>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</si>
  <si>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</si>
  <si>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</si>
  <si>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</si>
  <si>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</si>
  <si>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</si>
  <si>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</si>
  <si>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</si>
  <si>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</si>
  <si>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</si>
  <si>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</si>
  <si>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</si>
  <si>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</si>
  <si>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</si>
  <si>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</si>
  <si>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</si>
  <si>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</si>
  <si>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</si>
  <si>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</si>
  <si>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</si>
  <si>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</si>
  <si>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</si>
  <si>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</si>
  <si>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</si>
  <si>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</si>
  <si>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</si>
  <si>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</si>
  <si>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</si>
  <si>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</si>
  <si>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</si>
  <si>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</si>
  <si>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</si>
  <si>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</si>
  <si>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</si>
  <si>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</si>
  <si>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</si>
  <si>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</si>
  <si>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</si>
  <si>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</si>
  <si>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</si>
  <si>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</si>
  <si>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</si>
  <si>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</si>
  <si>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</si>
  <si>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</si>
  <si>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</si>
  <si>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</si>
  <si>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</si>
  <si>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</si>
  <si>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</si>
  <si>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</si>
  <si>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</si>
  <si>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</si>
  <si>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</si>
  <si>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</si>
  <si>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</si>
  <si>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</si>
  <si>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</si>
  <si>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</si>
  <si>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</si>
  <si>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</si>
  <si>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</si>
  <si>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</si>
  <si>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</si>
  <si>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</si>
  <si>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</si>
  <si>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</si>
  <si>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</si>
  <si>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</si>
  <si>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</si>
  <si>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</si>
  <si>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</si>
  <si>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</si>
  <si>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</si>
  <si>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</si>
  <si>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</si>
  <si>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</si>
  <si>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</si>
  <si>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</si>
  <si>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</si>
  <si>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</si>
  <si>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</si>
  <si>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</si>
  <si>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</si>
  <si>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</si>
  <si>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</si>
  <si>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</si>
  <si>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</si>
  <si>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</si>
  <si>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</si>
  <si>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</si>
  <si>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</si>
  <si>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</si>
  <si>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</si>
  <si>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</si>
  <si>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</si>
  <si>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</si>
  <si>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</si>
  <si>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</si>
  <si>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</si>
  <si>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</si>
  <si>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</si>
  <si>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</si>
  <si>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</si>
  <si>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</si>
  <si>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</si>
  <si>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</si>
  <si>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</si>
  <si>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</si>
  <si>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</si>
  <si>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</si>
  <si>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</si>
  <si>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</si>
  <si>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</si>
  <si>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</si>
  <si>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</si>
  <si>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</si>
  <si>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</si>
  <si>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</si>
  <si>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</si>
  <si>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</si>
  <si>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</si>
  <si>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</si>
  <si>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</si>
  <si>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</si>
  <si>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</si>
  <si>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</si>
  <si>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</si>
  <si>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</si>
  <si>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</si>
  <si>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</si>
  <si>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</si>
  <si>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</si>
  <si>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</si>
  <si>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</si>
  <si>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</si>
  <si>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</si>
  <si>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</si>
  <si>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</si>
  <si>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</si>
  <si>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</si>
  <si>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</si>
  <si>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</si>
  <si>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</si>
  <si>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</si>
  <si>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</si>
  <si>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</si>
  <si>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</si>
  <si>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</si>
  <si>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</si>
  <si>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</si>
  <si>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</si>
  <si>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</si>
  <si>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</si>
  <si>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</si>
  <si>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</si>
  <si>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</si>
  <si>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</si>
  <si>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</si>
  <si>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</si>
  <si>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</si>
  <si>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</si>
  <si>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</si>
  <si>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</si>
  <si>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</si>
  <si>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</si>
  <si>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</si>
  <si>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</si>
  <si>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</si>
  <si>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</si>
  <si>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</si>
  <si>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</si>
  <si>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</si>
  <si>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</si>
  <si>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</si>
  <si>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</si>
  <si>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</si>
  <si>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</si>
  <si>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</si>
  <si>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</si>
  <si>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</si>
  <si>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</si>
  <si>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</si>
  <si>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</si>
  <si>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</si>
  <si>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</si>
  <si>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</si>
  <si>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</si>
  <si>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</si>
  <si>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</si>
  <si>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</si>
  <si>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</si>
  <si>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</si>
  <si>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</si>
  <si>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</si>
  <si>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</si>
  <si>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</si>
  <si>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</si>
  <si>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</si>
  <si>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</si>
  <si>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</si>
  <si>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</si>
  <si>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</si>
  <si>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</si>
  <si>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</si>
  <si>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</si>
  <si>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</si>
  <si>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</si>
  <si>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</si>
  <si>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</si>
  <si>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</si>
  <si>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</si>
  <si>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</si>
  <si>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</si>
  <si>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</si>
  <si>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</si>
  <si>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</si>
  <si>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</si>
  <si>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</si>
  <si>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</si>
  <si>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</si>
  <si>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</si>
  <si>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</si>
  <si>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</si>
  <si>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</si>
  <si>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</si>
  <si>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</si>
  <si>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</si>
  <si>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</si>
  <si>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</si>
  <si>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</si>
  <si>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</si>
  <si>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</si>
  <si>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</si>
  <si>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</si>
  <si>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</si>
  <si>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</si>
  <si>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</si>
  <si>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</si>
  <si>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</si>
  <si>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</si>
  <si>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</si>
  <si>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</si>
  <si>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</si>
  <si>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</si>
  <si>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</si>
  <si>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</si>
  <si>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</si>
  <si>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</si>
  <si>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</si>
  <si>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</si>
  <si>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</si>
  <si>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</si>
  <si>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</si>
  <si>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</si>
  <si>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</si>
  <si>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</si>
  <si>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</si>
  <si>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</si>
  <si>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</si>
  <si>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</si>
  <si>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</si>
  <si>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</si>
  <si>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</si>
  <si>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</si>
  <si>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</si>
  <si>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</si>
  <si>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</si>
  <si>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</si>
  <si>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</si>
  <si>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</si>
  <si>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</si>
  <si>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</si>
  <si>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</si>
  <si>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</si>
  <si>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</si>
  <si>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</si>
  <si>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</si>
  <si>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</si>
  <si>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</si>
  <si>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</si>
  <si>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</si>
  <si>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</si>
  <si>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</si>
  <si>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</si>
  <si>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</si>
  <si>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</si>
  <si>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</si>
  <si>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</si>
  <si>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</si>
  <si>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</si>
  <si>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</si>
  <si>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</si>
  <si>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</si>
  <si>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</si>
  <si>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</si>
  <si>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</si>
  <si>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</si>
  <si>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</si>
  <si>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</si>
  <si>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</si>
  <si>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</si>
  <si>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</si>
  <si>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</si>
  <si>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</si>
  <si>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</si>
  <si>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</si>
  <si>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</si>
  <si>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</si>
  <si>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</si>
  <si>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</si>
  <si>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</si>
  <si>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</si>
  <si>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</si>
  <si>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</si>
  <si>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</si>
  <si>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</si>
  <si>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</si>
  <si>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</si>
  <si>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</si>
  <si>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</si>
  <si>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</si>
  <si>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</si>
  <si>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</si>
  <si>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</si>
  <si>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</si>
  <si>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</si>
  <si>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</si>
  <si>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</si>
  <si>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</si>
  <si>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</si>
  <si>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</si>
  <si>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</si>
  <si>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</si>
  <si>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</si>
  <si>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</si>
  <si>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</si>
  <si>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</si>
  <si>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</si>
  <si>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</si>
  <si>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</si>
  <si>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</si>
  <si>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</si>
  <si>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</si>
  <si>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</si>
  <si>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</si>
  <si>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</si>
  <si>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</si>
  <si>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</si>
  <si>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</si>
  <si>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</si>
  <si>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</si>
  <si>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</si>
  <si>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</si>
  <si>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</si>
  <si>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</si>
  <si>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</si>
  <si>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</si>
  <si>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</si>
  <si>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</si>
  <si>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</si>
  <si>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</si>
  <si>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</si>
  <si>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</si>
  <si>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</si>
  <si>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</si>
  <si>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</si>
  <si>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</si>
  <si>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</si>
  <si>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</si>
  <si>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</si>
  <si>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</si>
  <si>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</si>
  <si>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</si>
  <si>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</si>
  <si>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</si>
  <si>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</si>
  <si>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</si>
  <si>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</si>
  <si>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</si>
  <si>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</si>
  <si>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</si>
  <si>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</si>
  <si>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</si>
  <si>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</si>
  <si>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</si>
  <si>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</si>
  <si>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</si>
  <si>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</si>
  <si>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</si>
  <si>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</si>
  <si>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</si>
  <si>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</si>
  <si>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</si>
  <si>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</si>
  <si>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</si>
  <si>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</si>
  <si>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</si>
  <si>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</si>
  <si>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</si>
  <si>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</si>
  <si>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</si>
  <si>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</si>
  <si>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</si>
  <si>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</si>
  <si>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</si>
  <si>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</si>
  <si>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</si>
  <si>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</si>
  <si>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</si>
  <si>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</si>
  <si>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</si>
  <si>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</si>
  <si>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</si>
  <si>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</si>
  <si>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</si>
  <si>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</si>
  <si>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</si>
  <si>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</si>
  <si>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</si>
  <si>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</si>
  <si>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</si>
  <si>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</si>
  <si>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</si>
  <si>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</si>
  <si>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</si>
  <si>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</si>
  <si>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</si>
  <si>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</si>
  <si>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</si>
  <si>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</si>
  <si>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</si>
  <si>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</si>
  <si>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</si>
  <si>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</si>
  <si>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</si>
  <si>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</si>
  <si>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</si>
  <si>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</si>
  <si>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</si>
  <si>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</si>
  <si>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</si>
  <si>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</si>
  <si>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</si>
  <si>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</si>
  <si>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</si>
  <si>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</si>
  <si>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</si>
  <si>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</si>
  <si>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</si>
  <si>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</si>
  <si>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</si>
  <si>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</si>
  <si>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</si>
  <si>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</si>
  <si>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</si>
  <si>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</si>
  <si>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</si>
  <si>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</si>
  <si>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</si>
  <si>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</si>
  <si>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</si>
  <si>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</si>
  <si>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</si>
  <si>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</si>
  <si>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</si>
  <si>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</si>
  <si>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</si>
  <si>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</si>
  <si>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</si>
  <si>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</si>
  <si>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</si>
  <si>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</si>
  <si>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</si>
  <si>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</si>
  <si>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</si>
  <si>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</si>
  <si>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</si>
  <si>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</si>
  <si>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</si>
  <si>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</si>
  <si>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</si>
  <si>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</si>
  <si>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</si>
  <si>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</si>
  <si>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</si>
  <si>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</si>
  <si>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</si>
  <si>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</si>
  <si>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</si>
  <si>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</si>
  <si>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</si>
  <si>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</si>
  <si>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</si>
  <si>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</si>
  <si>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</si>
  <si>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</si>
  <si>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</si>
  <si>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</si>
  <si>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</si>
  <si>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</si>
  <si>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</si>
  <si>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</si>
  <si>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</si>
  <si>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</si>
  <si>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</si>
  <si>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</si>
  <si>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</si>
  <si>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</si>
  <si>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</si>
  <si>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</si>
  <si>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</si>
  <si>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</si>
  <si>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</si>
  <si>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</si>
  <si>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</si>
  <si>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</si>
  <si>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</si>
  <si>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</si>
  <si>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</si>
  <si>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</si>
  <si>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</si>
  <si>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</si>
  <si>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</si>
  <si>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</si>
  <si>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</si>
  <si>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</si>
  <si>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</si>
  <si>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</si>
  <si>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</si>
  <si>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</si>
  <si>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</si>
  <si>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</si>
  <si>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</si>
  <si>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</si>
  <si>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</si>
  <si>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</si>
  <si>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</si>
  <si>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</si>
  <si>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</si>
  <si>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</si>
  <si>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</si>
  <si>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</si>
  <si>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</si>
  <si>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</si>
  <si>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</si>
  <si>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</si>
  <si>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</si>
  <si>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</si>
  <si>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</si>
  <si>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</si>
  <si>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</si>
  <si>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</si>
  <si>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</si>
  <si>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</si>
  <si>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</si>
  <si>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</si>
  <si>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</si>
  <si>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</si>
  <si>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</si>
  <si>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</si>
  <si>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</si>
  <si>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</si>
  <si>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</si>
  <si>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</si>
  <si>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</si>
  <si>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</si>
  <si>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</si>
  <si>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</si>
  <si>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</si>
  <si>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</si>
  <si>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</si>
  <si>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</si>
  <si>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</si>
  <si>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</si>
  <si>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</si>
  <si>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</si>
  <si>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</si>
  <si>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</si>
  <si>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</si>
  <si>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</si>
  <si>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</si>
  <si>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</si>
  <si>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</si>
  <si>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</si>
  <si>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</si>
  <si>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</si>
  <si>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</si>
  <si>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</si>
  <si>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</si>
  <si>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</si>
  <si>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</si>
  <si>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</si>
  <si>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</si>
  <si>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</si>
  <si>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</si>
  <si>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</si>
  <si>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</si>
  <si>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</si>
  <si>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</si>
  <si>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</si>
  <si>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</si>
  <si>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</si>
  <si>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</si>
  <si>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</si>
  <si>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</si>
  <si>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</si>
  <si>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</si>
  <si>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</si>
  <si>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</si>
  <si>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</si>
  <si>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</si>
  <si>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</si>
  <si>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</si>
  <si>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</si>
  <si>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</si>
  <si>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</si>
  <si>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</si>
  <si>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</si>
  <si>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</si>
  <si>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</si>
  <si>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</si>
  <si>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</si>
  <si>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</si>
  <si>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</si>
  <si>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</si>
  <si>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</si>
  <si>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</si>
  <si>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</si>
  <si>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</si>
  <si>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</si>
  <si>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</si>
  <si>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</si>
  <si>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</si>
  <si>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</si>
  <si>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</si>
  <si>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</si>
  <si>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</si>
  <si>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</si>
  <si>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</si>
  <si>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</si>
  <si>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</si>
  <si>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</si>
  <si>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</si>
  <si>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</si>
  <si>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</si>
  <si>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</si>
  <si>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</si>
  <si>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</si>
  <si>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</si>
  <si>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</si>
  <si>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</si>
  <si>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</si>
  <si>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</si>
  <si>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</si>
  <si>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</si>
  <si>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</si>
  <si>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</si>
  <si>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</si>
  <si>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</si>
  <si>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</si>
  <si>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</si>
  <si>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</si>
  <si>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</si>
  <si>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</si>
  <si>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</si>
  <si>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</si>
  <si>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</si>
  <si>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</si>
  <si>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</si>
  <si>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</si>
  <si>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</si>
  <si>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</si>
  <si>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</si>
  <si>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</si>
  <si>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</si>
  <si>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</si>
  <si>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</si>
  <si>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</si>
  <si>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</si>
  <si>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</si>
  <si>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</si>
  <si>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</si>
  <si>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</si>
  <si>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</si>
  <si>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</si>
  <si>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</si>
  <si>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</si>
  <si>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</si>
  <si>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</si>
  <si>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</si>
  <si>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</si>
  <si>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</si>
  <si>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</si>
  <si>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</si>
  <si>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</si>
  <si>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</si>
  <si>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</si>
  <si>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</si>
  <si>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</si>
  <si>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</si>
  <si>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</si>
  <si>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</si>
  <si>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</si>
  <si>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</si>
  <si>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</si>
  <si>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</si>
  <si>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</si>
  <si>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</si>
  <si>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</si>
  <si>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</si>
  <si>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</si>
  <si>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</si>
  <si>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</si>
  <si>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</si>
  <si>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</si>
  <si>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</si>
  <si>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</si>
  <si>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</si>
  <si>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</si>
  <si>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</si>
  <si>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</si>
  <si>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</si>
  <si>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</si>
  <si>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</si>
  <si>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</si>
  <si>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</si>
  <si>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</si>
  <si>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</si>
  <si>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</si>
  <si>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</si>
  <si>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</si>
  <si>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</si>
  <si>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</si>
  <si>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</si>
  <si>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</si>
  <si>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</si>
  <si>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</si>
  <si>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</si>
  <si>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</si>
  <si>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</si>
  <si>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</si>
  <si>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</si>
  <si>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</si>
  <si>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</si>
  <si>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</si>
  <si>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</si>
  <si>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</si>
  <si>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</si>
  <si>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</si>
  <si>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</si>
  <si>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</si>
  <si>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</si>
  <si>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</si>
  <si>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</si>
  <si>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</si>
  <si>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</si>
  <si>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</si>
  <si>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</si>
  <si>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</si>
  <si>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</si>
  <si>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</si>
  <si>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</si>
  <si>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</si>
  <si>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</si>
  <si>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</si>
  <si>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</si>
  <si>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</si>
  <si>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</si>
  <si>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</si>
  <si>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</si>
  <si>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</si>
  <si>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</si>
  <si>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</si>
  <si>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</si>
  <si>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</si>
  <si>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</si>
  <si>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</si>
  <si>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</si>
  <si>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</si>
  <si>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</si>
  <si>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</si>
  <si>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</si>
  <si>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</si>
  <si>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</si>
  <si>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</si>
  <si>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</si>
  <si>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</si>
  <si>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</si>
  <si>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</si>
  <si>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</si>
  <si>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</si>
  <si>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</si>
  <si>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</si>
  <si>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</si>
  <si>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</si>
  <si>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</si>
  <si>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</si>
  <si>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</si>
  <si>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</si>
  <si>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</si>
  <si>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</si>
  <si>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</si>
  <si>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</si>
  <si>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</si>
  <si>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</si>
  <si>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</si>
  <si>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</si>
  <si>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</si>
  <si>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</si>
  <si>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</si>
  <si>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</si>
  <si>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</si>
  <si>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</si>
  <si>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</si>
  <si>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</si>
  <si>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</si>
  <si>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</si>
  <si>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</si>
  <si>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</si>
  <si>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</si>
  <si>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</si>
  <si>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</si>
  <si>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</si>
  <si>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</si>
  <si>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</si>
  <si>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</si>
  <si>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</si>
  <si>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</si>
  <si>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</si>
  <si>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</si>
  <si>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</si>
  <si>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</si>
  <si>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</si>
  <si>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</si>
  <si>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</si>
  <si>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</si>
  <si>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</si>
  <si>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</si>
  <si>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</si>
  <si>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</si>
  <si>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</si>
  <si>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</si>
  <si>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</si>
  <si>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</si>
  <si>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</si>
  <si>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</si>
  <si>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</si>
  <si>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</si>
  <si>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</si>
  <si>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</si>
  <si>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</si>
  <si>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</si>
  <si>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</si>
  <si>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</si>
  <si>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</si>
  <si>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</si>
  <si>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</si>
  <si>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</si>
  <si>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</si>
  <si>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</si>
  <si>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</si>
  <si>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</si>
  <si>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</si>
  <si>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</si>
  <si>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</si>
  <si>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</si>
  <si>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</si>
  <si>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</si>
  <si>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</si>
  <si>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</si>
  <si>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</si>
  <si>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</si>
  <si>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</si>
  <si>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</si>
  <si>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</si>
  <si>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</si>
  <si>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</si>
  <si>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</si>
  <si>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</si>
  <si>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</si>
  <si>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</si>
  <si>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</si>
  <si>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</si>
  <si>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</si>
  <si>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</si>
  <si>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</si>
  <si>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</si>
  <si>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</si>
  <si>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</si>
  <si>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</si>
  <si>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</si>
  <si>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</si>
  <si>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</si>
  <si>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</si>
  <si>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</si>
  <si>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</si>
  <si>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</si>
  <si>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</si>
  <si>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</si>
  <si>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</si>
  <si>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</si>
  <si>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</si>
  <si>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</si>
  <si>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</si>
  <si>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</si>
  <si>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</si>
  <si>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</si>
  <si>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</si>
  <si>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</si>
  <si>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</si>
  <si>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</si>
  <si>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</si>
  <si>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</si>
  <si>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</si>
  <si>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</si>
  <si>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</si>
  <si>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</si>
  <si>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</si>
  <si>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</si>
  <si>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</si>
  <si>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</si>
  <si>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</si>
  <si>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</si>
  <si>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</si>
  <si>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</si>
  <si>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</si>
  <si>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</si>
  <si>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January</t>
  </si>
  <si>
    <t>Eagle</t>
  </si>
  <si>
    <t>Caleb Roope</t>
  </si>
  <si>
    <t>Managing GP</t>
  </si>
  <si>
    <t>TPC Holdings IX, LLC</t>
  </si>
  <si>
    <t>Administrative GP</t>
  </si>
  <si>
    <t>The Pacific Companies</t>
  </si>
  <si>
    <t>Pacific West Communities, Inc.</t>
  </si>
  <si>
    <t>ConAm Management Corporation</t>
  </si>
  <si>
    <t>Not Applicable</t>
  </si>
  <si>
    <t>Provided</t>
  </si>
  <si>
    <t>Central Valley Coalition for Affordable Housing</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</si>
  <si>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</si>
  <si>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</si>
  <si>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</si>
  <si>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</si>
  <si>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</si>
  <si>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</si>
  <si>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</si>
  <si>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</si>
  <si>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</si>
  <si>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</si>
  <si>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</si>
  <si>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</si>
  <si>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</si>
  <si>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</si>
  <si>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</si>
  <si>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Architects Orange, LLP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</si>
  <si>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</si>
  <si>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</si>
  <si>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</si>
  <si>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</si>
  <si>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</si>
  <si>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</si>
  <si>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</si>
  <si>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</si>
  <si>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</si>
  <si>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</si>
  <si>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</si>
  <si>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</si>
  <si>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</si>
  <si>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</si>
  <si>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</si>
  <si>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</si>
  <si>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</si>
  <si>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</si>
  <si>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</si>
  <si>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</si>
  <si>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</si>
  <si>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</si>
  <si>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</si>
  <si>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</si>
  <si>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</si>
  <si>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</si>
  <si>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</si>
  <si>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</si>
  <si>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</si>
  <si>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</si>
  <si>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</si>
  <si>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</si>
  <si>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</si>
  <si>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</si>
  <si>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</si>
  <si>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</si>
  <si>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</si>
  <si>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402.202.0771</t>
  </si>
  <si>
    <t>jay@kvgteam.com</t>
  </si>
  <si>
    <t>Jay Wortmann</t>
  </si>
  <si>
    <t>California Municipal Finance Authority (CMFA)</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</si>
  <si>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</si>
  <si>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</si>
  <si>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</si>
  <si>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</si>
  <si>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</si>
  <si>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</si>
  <si>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</si>
  <si>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</si>
  <si>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</si>
  <si>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</si>
  <si>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</si>
  <si>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</si>
  <si>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Common areas / community space included within residential building.</t>
  </si>
  <si>
    <t>Sensory impaired pursuant to CBC Chapter 11B</t>
  </si>
  <si>
    <t>Citibank, N.A.</t>
  </si>
  <si>
    <t>Fixed</t>
  </si>
  <si>
    <t>325 E. Hillcrest Drive, Suite 160</t>
  </si>
  <si>
    <t>Thousand Oaks, CA 91360</t>
  </si>
  <si>
    <t>Mike Hemmens</t>
  </si>
  <si>
    <t>805.557.0933</t>
  </si>
  <si>
    <t>Construction Loan (T.E. Bonds)</t>
  </si>
  <si>
    <t>Construction Loan (Taxable Bonds)</t>
  </si>
  <si>
    <t>Deferred Costs</t>
  </si>
  <si>
    <t>LIHTC Equity</t>
  </si>
  <si>
    <t>Permanent Loan (T.E. Bonds)</t>
  </si>
  <si>
    <t>Application Fees</t>
  </si>
  <si>
    <t>Telephone, Office Supplies &amp; Expenses</t>
  </si>
  <si>
    <t>Benefits, Payroll Taxes, Workers Comp</t>
  </si>
  <si>
    <t>Building &amp; Cleaning Supplies</t>
  </si>
  <si>
    <t>Construction Lender Costs (Legal, Etc.)</t>
  </si>
  <si>
    <t>Bond Counsel</t>
  </si>
  <si>
    <t>Post Construction Interest Reserve</t>
  </si>
  <si>
    <t>Above residual receipts line for cash flow</t>
  </si>
  <si>
    <t>Below residual receipts line for cash flow</t>
  </si>
  <si>
    <t>Inner City Infill Site</t>
  </si>
  <si>
    <t>One (1) six-story elevator-serviced residential building (five residential floors over one-level of podium parking).</t>
  </si>
  <si>
    <t>Density Bonus (100% affordable with exception of unrestricted manager's unit) (at or below 80% AMI)</t>
  </si>
  <si>
    <t>Metrowalk at Richmond Station</t>
  </si>
  <si>
    <t>City of Richmond</t>
  </si>
  <si>
    <t>Shasa Curl</t>
  </si>
  <si>
    <t>450 Civic Center Plaza, Suite 300</t>
  </si>
  <si>
    <t>Richmond</t>
  </si>
  <si>
    <t>510.620.6512</t>
  </si>
  <si>
    <t>510.620.6542</t>
  </si>
  <si>
    <t>shasa_curl@ci.richmond.ca.us</t>
  </si>
  <si>
    <t>Nevin Avenue &amp; 19th Street</t>
  </si>
  <si>
    <t>514-050-010-8</t>
  </si>
  <si>
    <t>40%/60%</t>
  </si>
  <si>
    <t>N/A (Public Entity)</t>
  </si>
  <si>
    <t>Executive Director of HA &amp; City Mgr.</t>
  </si>
  <si>
    <t>450 Civic Center Plaza, Ste. 300</t>
  </si>
  <si>
    <t>Richmond, CA 94804</t>
  </si>
  <si>
    <t>Secured by Leasehold Interest</t>
  </si>
  <si>
    <t>High-Intensity Mixed-Use (Major Activity Center)</t>
  </si>
  <si>
    <t>CM-5 (Commercial Mixed-Use, Activity Center) / 135 dupa</t>
  </si>
  <si>
    <t>135' maximum</t>
  </si>
  <si>
    <t>0.5 spaces per unit</t>
  </si>
  <si>
    <t>HCD - AHSC Loan</t>
  </si>
  <si>
    <t>HCD - IIG Loan</t>
  </si>
  <si>
    <t>City of Richmond - City Loan</t>
  </si>
  <si>
    <t>Richmond Metrowalk Associates</t>
  </si>
  <si>
    <t>651 Bannon Street</t>
  </si>
  <si>
    <t>Sacramento, CA 95811</t>
  </si>
  <si>
    <t>Hector Leyva</t>
  </si>
  <si>
    <t>916.490.9313</t>
  </si>
  <si>
    <t>Infill Infrastructure Grant (IIG) Program Loan</t>
  </si>
  <si>
    <t>Affordable Housing &amp; Sustainable Communities (AHSC) Program Loan</t>
  </si>
  <si>
    <t>450 Civic Center Plaza</t>
  </si>
  <si>
    <t>Lina Velasco</t>
  </si>
  <si>
    <t>510.620.6841</t>
  </si>
  <si>
    <t>City Loan</t>
  </si>
  <si>
    <t>Air Conditioning</t>
  </si>
  <si>
    <t>Housing Authority of the County of Contra Costa (*no tenant allowance for water heating because of central electric boiler)</t>
  </si>
  <si>
    <t>Annual Issuer Fees:</t>
  </si>
  <si>
    <t>Annual Ground Lease Payment:</t>
  </si>
  <si>
    <t>HCD (IIG Program Loan), Ground Lease with City &amp; SB 35 (State Prevailing Wages)</t>
  </si>
  <si>
    <t>HCD (IIG Program Loan) / Ground Lease &amp; DDA with City of Richmond / SB 35 (State Prevailing Wages)</t>
  </si>
  <si>
    <t>HCD - AHSC Loan (Hard Payment)</t>
  </si>
  <si>
    <t>HCD - AHSC Loan (Residual Receipts)</t>
  </si>
  <si>
    <t>Richmond Metrowalk Associates, a California Limited Partnership</t>
  </si>
  <si>
    <t>, Idaho.</t>
  </si>
  <si>
    <t>President &amp; CEO, PWC, Inc., Mgr of GP</t>
  </si>
  <si>
    <t>Housing Trust Silicon Valley</t>
  </si>
  <si>
    <t>Nick Friend</t>
  </si>
  <si>
    <t>75 East Santa Clara Street, Ste. 1350</t>
  </si>
  <si>
    <t>San Jose, CA 95113</t>
  </si>
  <si>
    <t>408.436.3450</t>
  </si>
  <si>
    <t>Housing Trust Silicon Valley - LHTF Loan</t>
  </si>
  <si>
    <t>29th</t>
  </si>
  <si>
    <t>Local Housing Trust Fund (LHTF)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</si>
</sst>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18"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18" fillId="5" borderId="4"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3" xfId="0" applyFont="1"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4" fontId="26"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8"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6" t="s">
        <v>1993</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6" t="s">
        <v>1994</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6" t="s">
        <v>2529</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2"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2528</v>
      </c>
      <c r="E18" s="441"/>
      <c r="G18" s="441"/>
      <c r="H18" s="441"/>
      <c r="I18" s="441"/>
      <c r="J18" s="1279" t="s">
        <v>2527</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6" t="s">
        <v>1995</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2"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6" t="s">
        <v>1996</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2607</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2096</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2608</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2609</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2" customHeight="1">
      <c r="A40" s="4"/>
      <c r="B40"/>
      <c r="C40" s="2"/>
      <c r="D40" s="4"/>
      <c r="E40" s="4" t="s">
        <v>651</v>
      </c>
      <c r="F40" s="1266" t="s">
        <v>1162</v>
      </c>
    </row>
    <row r="41" spans="1:38" s="1266" customFormat="1" ht="13.2"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72" t="s">
        <v>1244</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2"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685</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6" t="s">
        <v>1998</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685</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6" t="s">
        <v>1164</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2" customHeight="1">
      <c r="A67" s="4"/>
      <c r="C67" s="2"/>
      <c r="D67" s="4"/>
      <c r="E67" s="4"/>
      <c r="F67" t="s">
        <v>508</v>
      </c>
      <c r="G67" s="1266" t="s">
        <v>1165</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6" t="s">
        <v>1166</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1167</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1168</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1169</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69" t="s">
        <v>1170</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1171</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6" t="s">
        <v>1172</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1173</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2000</v>
      </c>
      <c r="F138" s="2"/>
      <c r="G138" s="2"/>
      <c r="H138" s="2"/>
    </row>
    <row r="139" spans="4:37">
      <c r="E139" t="s">
        <v>112</v>
      </c>
      <c r="F139" t="s">
        <v>52</v>
      </c>
    </row>
    <row r="140" spans="4:37">
      <c r="E140" t="s">
        <v>113</v>
      </c>
      <c r="F140" t="s">
        <v>465</v>
      </c>
    </row>
    <row r="141" spans="4:37"/>
    <row r="142" spans="4:37">
      <c r="D142" s="2" t="s">
        <v>428</v>
      </c>
      <c r="E142" s="2" t="s">
        <v>2001</v>
      </c>
    </row>
    <row r="143" spans="4:37">
      <c r="E143" s="204" t="s">
        <v>2002</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266" t="s">
        <v>1174</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6" t="s">
        <v>1153</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1235</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1234</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74" t="s">
        <v>1224</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1256</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1267</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Normal="100" workbookViewId="0">
      <selection activeCell="K5" sqref="K5"/>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59" t="s">
        <v>1572</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57856654</v>
      </c>
      <c r="I3" s="1099"/>
    </row>
    <row r="4" spans="1:13" s="1046" customFormat="1" ht="20.100000000000001" customHeight="1">
      <c r="B4" s="1088"/>
      <c r="D4" s="1102"/>
      <c r="F4" s="1087" t="s">
        <v>1963</v>
      </c>
      <c r="G4" s="1086" t="s">
        <v>1962</v>
      </c>
      <c r="H4" s="1201">
        <f>I18</f>
        <v>21307000</v>
      </c>
      <c r="I4" s="1089"/>
      <c r="K4" s="1050"/>
    </row>
    <row r="5" spans="1:13" s="1046" customFormat="1" ht="20.100000000000001" customHeight="1" thickBot="1">
      <c r="B5" s="1090"/>
      <c r="C5" s="1091"/>
      <c r="D5" s="1103"/>
      <c r="E5" s="1092"/>
      <c r="F5" s="1103" t="s">
        <v>1913</v>
      </c>
      <c r="G5" s="1104"/>
      <c r="H5" s="1100">
        <f>IFERROR(H3/H4,0)</f>
        <v>2.7153824564697047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1911</v>
      </c>
      <c r="C8" s="2663"/>
      <c r="D8" s="2663"/>
      <c r="E8" s="2664"/>
      <c r="G8" s="2643" t="s">
        <v>1912</v>
      </c>
      <c r="H8" s="2644"/>
      <c r="I8" s="2645"/>
      <c r="K8" s="1052"/>
    </row>
    <row r="9" spans="1:13" ht="15" customHeight="1">
      <c r="A9" s="1041"/>
      <c r="B9" s="2660" t="s">
        <v>1945</v>
      </c>
      <c r="C9" s="2660"/>
      <c r="D9" s="2660"/>
      <c r="E9" s="1054">
        <f>G33</f>
        <v>9352500</v>
      </c>
      <c r="G9" s="2656" t="s">
        <v>1943</v>
      </c>
      <c r="H9" s="2656"/>
      <c r="I9" s="1055">
        <f>MAX(SUMIF(Application!M562:M573,"Loan, Tax-Exempt",Application!AM562:AM573),27.5%*SUM('Sources and Uses Budget'!C8,'Sources and Uses Budget'!S105,'Sources and Uses Budget'!T105))</f>
        <v>28600000</v>
      </c>
      <c r="K9" s="1056"/>
      <c r="M9" s="1057"/>
    </row>
    <row r="10" spans="1:13" ht="15" customHeight="1" thickBot="1">
      <c r="A10" s="1041"/>
      <c r="B10" s="2660" t="s">
        <v>1946</v>
      </c>
      <c r="C10" s="2660"/>
      <c r="D10" s="2660"/>
      <c r="E10" s="1055">
        <f>G47</f>
        <v>34117704</v>
      </c>
      <c r="G10" s="2658" t="s">
        <v>1914</v>
      </c>
      <c r="H10" s="2658"/>
      <c r="I10" s="1134">
        <f>IF(OR(Application!Z205="State Farmworker Credit",Application!Z205="$500M (Farmworker Housing)"),0,'Basis &amp; Credits'!AB78)</f>
        <v>0</v>
      </c>
      <c r="M10" s="1057"/>
    </row>
    <row r="11" spans="1:13" ht="15" customHeight="1">
      <c r="A11" s="1041"/>
      <c r="B11" s="2666" t="s">
        <v>2210</v>
      </c>
      <c r="C11" s="2667"/>
      <c r="D11" s="2668"/>
      <c r="E11" s="1055">
        <f>SUM(E13,E12)</f>
        <v>1480000</v>
      </c>
      <c r="G11" s="2665" t="s">
        <v>1954</v>
      </c>
      <c r="H11" s="2665"/>
      <c r="I11" s="1133">
        <f>I9+I10</f>
        <v>28600000</v>
      </c>
      <c r="M11" s="1057"/>
    </row>
    <row r="12" spans="1:13" ht="15" customHeight="1">
      <c r="A12" s="1058"/>
      <c r="B12" s="2661" t="s">
        <v>2573</v>
      </c>
      <c r="C12" s="2661"/>
      <c r="D12" s="2661"/>
      <c r="E12" s="1158">
        <f>G56</f>
        <v>1480000</v>
      </c>
      <c r="M12" s="1057"/>
    </row>
    <row r="13" spans="1:13" ht="15" customHeight="1">
      <c r="A13" s="1044"/>
      <c r="B13" s="2661" t="s">
        <v>2574</v>
      </c>
      <c r="C13" s="2661"/>
      <c r="D13" s="2661"/>
      <c r="E13" s="1158">
        <f>IF(G67,MAX(G65,G79),G65)</f>
        <v>0</v>
      </c>
      <c r="G13" s="2643" t="s">
        <v>1977</v>
      </c>
      <c r="H13" s="2644"/>
      <c r="I13" s="2645"/>
    </row>
    <row r="14" spans="1:13" ht="15" customHeight="1">
      <c r="A14" s="1044"/>
      <c r="B14" s="2666" t="s">
        <v>2211</v>
      </c>
      <c r="C14" s="2667"/>
      <c r="D14" s="2668"/>
      <c r="E14" s="1160">
        <f>MAX(E15,E16)+E17</f>
        <v>12906450</v>
      </c>
      <c r="G14" s="2656" t="s">
        <v>2590</v>
      </c>
      <c r="H14" s="2656"/>
      <c r="I14" s="1059">
        <f>IF(AND(G134="Yes",G136&lt;&gt;""),IF(OR(G141="Yes",G145="Yes"),18%,15%),0)</f>
        <v>0.15</v>
      </c>
      <c r="M14" s="1057"/>
    </row>
    <row r="15" spans="1:13" ht="15" customHeight="1">
      <c r="A15" s="1044"/>
      <c r="B15" s="2640" t="s">
        <v>2587</v>
      </c>
      <c r="C15" s="2641"/>
      <c r="D15" s="2642"/>
      <c r="E15" s="1158">
        <f>G94</f>
        <v>0</v>
      </c>
      <c r="G15" s="1131" t="s">
        <v>1955</v>
      </c>
      <c r="H15" s="1131"/>
      <c r="I15" s="1059">
        <f>IF(Application!AJ1041&gt;0,10%,IF(Application!AJ1045&gt;0,5%,0))</f>
        <v>0.05</v>
      </c>
      <c r="M15" s="1057"/>
    </row>
    <row r="16" spans="1:13" ht="15" customHeight="1">
      <c r="A16" s="1044"/>
      <c r="B16" s="2640" t="s">
        <v>2588</v>
      </c>
      <c r="C16" s="2641"/>
      <c r="D16" s="2642"/>
      <c r="E16" s="1158">
        <f>G104</f>
        <v>0</v>
      </c>
      <c r="G16" s="2656" t="s">
        <v>1956</v>
      </c>
      <c r="H16" s="2656"/>
      <c r="I16" s="1059">
        <f>G155</f>
        <v>5.5E-2</v>
      </c>
    </row>
    <row r="17" spans="1:21" ht="15" customHeight="1" thickBot="1">
      <c r="A17" s="1044"/>
      <c r="B17" s="2640" t="s">
        <v>2589</v>
      </c>
      <c r="C17" s="2641"/>
      <c r="D17" s="2642"/>
      <c r="E17" s="1158">
        <f>G129</f>
        <v>12906450</v>
      </c>
      <c r="G17" s="2656" t="s">
        <v>2219</v>
      </c>
      <c r="H17" s="2656"/>
      <c r="I17" s="1059">
        <f>IF(AND(G161="Yes",G159),IF(G165&gt;15%,15%,G165),0)</f>
        <v>0</v>
      </c>
    </row>
    <row r="18" spans="1:21" ht="15" customHeight="1">
      <c r="A18" s="1041"/>
      <c r="B18" s="2657" t="s">
        <v>1910</v>
      </c>
      <c r="C18" s="2657"/>
      <c r="D18" s="2657"/>
      <c r="E18" s="1105">
        <f>SUM(E9:E11,E14)</f>
        <v>57856654</v>
      </c>
      <c r="G18" s="1132" t="s">
        <v>1944</v>
      </c>
      <c r="H18" s="1132"/>
      <c r="I18" s="1106">
        <f>I11-((I11*I14)+(I11*I15)+(I11*I16)+(I11*I17))</f>
        <v>21307000</v>
      </c>
      <c r="M18" s="1060">
        <f>SUM(Cdlac[Quantity])</f>
        <v>149</v>
      </c>
      <c r="O18" s="1079" t="s">
        <v>581</v>
      </c>
      <c r="P18" s="1039">
        <f>MATCH(Application!T189,Application!CB160:CB217,0)</f>
        <v>7</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2208</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20</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v>
      </c>
      <c r="N21" s="1066">
        <f>Application!AC727</f>
        <v>0.5</v>
      </c>
      <c r="O21" s="1066">
        <f>IF(Cdlac[[#This Row],[Quantity]]&gt;0,IF(Cdlac[[#This Row],[Federal]],30%,IF(AND(OR(NOT($G$38),$G$38=""),$G$43),40%,Cdlac[[#This Row],[iAMI]])),"")</f>
        <v>0.5</v>
      </c>
      <c r="P21" s="1060" cm="1">
        <f t="array" ref="P21">IF(Cdlac[[#This Row],[Quantity]]&gt;0,INDEX(TcacRents,$P$18,Cdlac[[#This Row],[Bedrooms]]+1)*Cdlac[[#This Row],[AMI]],"")</f>
        <v>1398</v>
      </c>
      <c r="Q21" s="1157"/>
      <c r="R21" s="1060" cm="1">
        <f t="array" ref="R21">IF(Cdlac[[#This Row],[Quantity]]&gt;0,INDEX(HudFmrs,$P$18,Cdlac[[#This Row],[Bedrooms]]+1),"")</f>
        <v>1937</v>
      </c>
      <c r="S21" s="1060">
        <f>IF(Cdlac[[#This Row],[Quantity]]&gt;0,MAX(0,Cdlac[[#This Row],[Fair Market Rent]]-IF(AND($G$37,$G$38,$G$38&lt;&gt;"",NOT(Cdlac[[#This Row],[Federal]]),Cdlac[[#This Row],[Preservation Rent]]&lt;&gt;""),Cdlac[[#This Row],[Preservation Rent]],Cdlac[[#This Row],[Restricted Rent]])),"")</f>
        <v>539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1958</v>
      </c>
      <c r="D22" s="2647" t="s">
        <v>1959</v>
      </c>
      <c r="E22" s="2647" t="s">
        <v>1960</v>
      </c>
      <c r="F22" s="2647" t="s">
        <v>2534</v>
      </c>
      <c r="G22" s="2647" t="s">
        <v>1957</v>
      </c>
      <c r="H22" s="1065"/>
      <c r="I22" s="1064"/>
      <c r="L22" s="1039">
        <f>IFERROR(MIN(4,MATCH(Application!B728,UnitSizes,0)-1),"")</f>
        <v>0</v>
      </c>
      <c r="M22" s="1060">
        <f>Application!G728</f>
        <v>1</v>
      </c>
      <c r="N22" s="1066">
        <f>Application!AC728</f>
        <v>0.6</v>
      </c>
      <c r="O22" s="1066">
        <f>IF(Cdlac[[#This Row],[Quantity]]&gt;0,IF(Cdlac[[#This Row],[Federal]],30%,IF(AND(OR(NOT($G$38),$G$38=""),$G$43),40%,Cdlac[[#This Row],[iAMI]])),"")</f>
        <v>0.6</v>
      </c>
      <c r="P22" s="1060" cm="1">
        <f t="array" ref="P22">IF(Cdlac[[#This Row],[Quantity]]&gt;0,INDEX(TcacRents,$P$18,Cdlac[[#This Row],[Bedrooms]]+1)*Cdlac[[#This Row],[AMI]],"")</f>
        <v>1677.6</v>
      </c>
      <c r="Q22" s="1157"/>
      <c r="R22" s="1060" cm="1">
        <f t="array" ref="R22">IF(Cdlac[[#This Row],[Quantity]]&gt;0,INDEX(HudFmrs,$P$18,Cdlac[[#This Row],[Bedrooms]]+1),"")</f>
        <v>1937</v>
      </c>
      <c r="S22" s="1060">
        <f>IF(Cdlac[[#This Row],[Quantity]]&gt;0,MAX(0,Cdlac[[#This Row],[Fair Market Rent]]-IF(AND($G$37,$G$38,$G$38&lt;&gt;"",NOT(Cdlac[[#This Row],[Federal]]),Cdlac[[#This Row],[Preservation Rent]]&lt;&gt;""),Cdlac[[#This Row],[Preservation Rent]],Cdlac[[#This Row],[Restricted Rent]])),"")</f>
        <v>259.40000000000009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1</v>
      </c>
      <c r="M23" s="1060">
        <f>Application!G729</f>
        <v>8</v>
      </c>
      <c r="N23" s="1066">
        <f>Application!AC729</f>
        <v>0.3</v>
      </c>
      <c r="O23" s="1066">
        <f>IF(Cdlac[[#This Row],[Quantity]]&gt;0,IF(Cdlac[[#This Row],[Federal]],30%,IF(AND(OR(NOT($G$38),$G$38=""),$G$43),40%,Cdlac[[#This Row],[iAMI]])),"")</f>
        <v>0.3</v>
      </c>
      <c r="P23" s="1060" cm="1">
        <f t="array" ref="P23">IF(Cdlac[[#This Row],[Quantity]]&gt;0,INDEX(TcacRents,$P$18,Cdlac[[#This Row],[Bedrooms]]+1)*Cdlac[[#This Row],[AMI]],"")</f>
        <v>898.8</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1302.2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22</v>
      </c>
      <c r="F24" s="1067">
        <f>E24</f>
        <v>22</v>
      </c>
      <c r="G24" s="1067">
        <f>D24*F24</f>
        <v>19.8</v>
      </c>
      <c r="L24" s="1039">
        <f>IFERROR(MIN(4,MATCH(Application!B730,UnitSizes,0)-1),"")</f>
        <v>1</v>
      </c>
      <c r="M24" s="1060">
        <f>Application!G730</f>
        <v>1</v>
      </c>
      <c r="N24" s="1066">
        <f>Application!AC730</f>
        <v>0.5</v>
      </c>
      <c r="O24" s="1066">
        <f>IF(Cdlac[[#This Row],[Quantity]]&gt;0,IF(Cdlac[[#This Row],[Federal]],30%,IF(AND(OR(NOT($G$38),$G$38=""),$G$43),40%,Cdlac[[#This Row],[iAMI]])),"")</f>
        <v>0.5</v>
      </c>
      <c r="P24" s="1060" cm="1">
        <f t="array" ref="P24">IF(Cdlac[[#This Row],[Quantity]]&gt;0,INDEX(TcacRents,$P$18,Cdlac[[#This Row],[Bedrooms]]+1)*Cdlac[[#This Row],[AMI]],"")</f>
        <v>1498</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703</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10</v>
      </c>
      <c r="F25" s="1067">
        <f>E25</f>
        <v>10</v>
      </c>
      <c r="G25" s="1067">
        <f>D25*F25</f>
        <v>10</v>
      </c>
      <c r="L25" s="1039">
        <f>IFERROR(MIN(4,MATCH(Application!B731,UnitSizes,0)-1),"")</f>
        <v>1</v>
      </c>
      <c r="M25" s="1060">
        <f>Application!G731</f>
        <v>1</v>
      </c>
      <c r="N25" s="1066">
        <f>Application!AC731</f>
        <v>0.6</v>
      </c>
      <c r="O25" s="1066">
        <f>IF(Cdlac[[#This Row],[Quantity]]&gt;0,IF(Cdlac[[#This Row],[Federal]],30%,IF(AND(OR(NOT($G$38),$G$38=""),$G$43),40%,Cdlac[[#This Row],[iAMI]])),"")</f>
        <v>0.6</v>
      </c>
      <c r="P25" s="1060" cm="1">
        <f t="array" ref="P25">IF(Cdlac[[#This Row],[Quantity]]&gt;0,INDEX(TcacRents,$P$18,Cdlac[[#This Row],[Bedrooms]]+1)*Cdlac[[#This Row],[AMI]],"")</f>
        <v>1797.6</v>
      </c>
      <c r="Q25" s="1157"/>
      <c r="R25" s="1060" cm="1">
        <f t="array" ref="R25">IF(Cdlac[[#This Row],[Quantity]]&gt;0,INDEX(HudFmrs,$P$18,Cdlac[[#This Row],[Bedrooms]]+1),"")</f>
        <v>2201</v>
      </c>
      <c r="S25" s="1060">
        <f>IF(Cdlac[[#This Row],[Quantity]]&gt;0,MAX(0,Cdlac[[#This Row],[Fair Market Rent]]-IF(AND($G$37,$G$38,$G$38&lt;&gt;"",NOT(Cdlac[[#This Row],[Federal]]),Cdlac[[#This Row],[Preservation Rent]]&lt;&gt;""),Cdlac[[#This Row],[Preservation Rent]],Cdlac[[#This Row],[Restricted Rent]])),"")</f>
        <v>403.40000000000009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68</v>
      </c>
      <c r="F26" s="1070">
        <f>SUM(E26:E28)-SUM(F27:F28)</f>
        <v>73</v>
      </c>
      <c r="G26" s="1067">
        <f>D26*F26</f>
        <v>91.25</v>
      </c>
      <c r="H26" s="1069"/>
      <c r="I26" s="1069"/>
      <c r="L26" s="1039">
        <f>IFERROR(MIN(4,MATCH(Application!B732,UnitSizes,0)-1),"")</f>
        <v>2</v>
      </c>
      <c r="M26" s="1060">
        <f>Application!G732</f>
        <v>33</v>
      </c>
      <c r="N26" s="1066">
        <f>Application!AC732</f>
        <v>0.3</v>
      </c>
      <c r="O26" s="1066">
        <f>IF(Cdlac[[#This Row],[Quantity]]&gt;0,IF(Cdlac[[#This Row],[Federal]],30%,IF(AND(OR(NOT($G$38),$G$38=""),$G$43),40%,Cdlac[[#This Row],[iAMI]])),"")</f>
        <v>0.3</v>
      </c>
      <c r="P26" s="1060" cm="1">
        <f t="array" ref="P26">IF(Cdlac[[#This Row],[Quantity]]&gt;0,INDEX(TcacRents,$P$18,Cdlac[[#This Row],[Bedrooms]]+1)*Cdlac[[#This Row],[AMI]],"")</f>
        <v>1078.8</v>
      </c>
      <c r="Q26" s="1157"/>
      <c r="R26" s="1060" cm="1">
        <f t="array" ref="R26">IF(Cdlac[[#This Row],[Quantity]]&gt;0,INDEX(HudFmrs,$P$18,Cdlac[[#This Row],[Bedrooms]]+1),"")</f>
        <v>2682</v>
      </c>
      <c r="S26" s="1060">
        <f>IF(Cdlac[[#This Row],[Quantity]]&gt;0,MAX(0,Cdlac[[#This Row],[Fair Market Rent]]-IF(AND($G$37,$G$38,$G$38&lt;&gt;"",NOT(Cdlac[[#This Row],[Federal]]),Cdlac[[#This Row],[Preservation Rent]]&lt;&gt;""),Cdlac[[#This Row],[Preservation Rent]],Cdlac[[#This Row],[Restricted Rent]])),"")</f>
        <v>1603.2</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49</v>
      </c>
      <c r="F27" s="1070">
        <f>MIN(E27,ROUNDDOWN(E29*30%,0))</f>
        <v>44</v>
      </c>
      <c r="G27" s="1067">
        <f>D27*F27</f>
        <v>66</v>
      </c>
      <c r="H27" s="1069"/>
      <c r="I27" s="1069"/>
      <c r="L27" s="1039">
        <f>IFERROR(MIN(4,MATCH(Application!B733,UnitSizes,0)-1),"")</f>
        <v>2</v>
      </c>
      <c r="M27" s="1060">
        <f>Application!G733</f>
        <v>27</v>
      </c>
      <c r="N27" s="1066">
        <f>Application!AC733</f>
        <v>0.5</v>
      </c>
      <c r="O27" s="1066">
        <f>IF(Cdlac[[#This Row],[Quantity]]&gt;0,IF(Cdlac[[#This Row],[Federal]],30%,IF(AND(OR(NOT($G$38),$G$38=""),$G$43),40%,Cdlac[[#This Row],[iAMI]])),"")</f>
        <v>0.5</v>
      </c>
      <c r="P27" s="1060" cm="1">
        <f t="array" ref="P27">IF(Cdlac[[#This Row],[Quantity]]&gt;0,INDEX(TcacRents,$P$18,Cdlac[[#This Row],[Bedrooms]]+1)*Cdlac[[#This Row],[AMI]],"")</f>
        <v>1798</v>
      </c>
      <c r="Q27" s="1157"/>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884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8</v>
      </c>
      <c r="N28" s="1066">
        <f>Application!AC734</f>
        <v>0.6</v>
      </c>
      <c r="O28" s="1066">
        <f>IF(Cdlac[[#This Row],[Quantity]]&gt;0,IF(Cdlac[[#This Row],[Federal]],30%,IF(AND(OR(NOT($G$38),$G$38=""),$G$43),40%,Cdlac[[#This Row],[iAMI]])),"")</f>
        <v>0.6</v>
      </c>
      <c r="P28" s="1060" cm="1">
        <f t="array" ref="P28">IF(Cdlac[[#This Row],[Quantity]]&gt;0,INDEX(TcacRents,$P$18,Cdlac[[#This Row],[Bedrooms]]+1)*Cdlac[[#This Row],[AMI]],"")</f>
        <v>2157.6</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524.40000000000009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9" t="s">
        <v>1573</v>
      </c>
      <c r="D29" s="2650"/>
      <c r="E29" s="1084">
        <f>SUM(E24:E28)</f>
        <v>149</v>
      </c>
      <c r="F29" s="1084">
        <f>SUM(F24:F28)</f>
        <v>149</v>
      </c>
      <c r="G29" s="1085">
        <f>SUMPRODUCT(D24:D28,F24:F28)</f>
        <v>187.05</v>
      </c>
      <c r="H29" s="1069"/>
      <c r="I29" s="1069"/>
      <c r="L29" s="1039">
        <f>IFERROR(MIN(4,MATCH(Application!B735,UnitSizes,0)-1),"")</f>
        <v>3</v>
      </c>
      <c r="M29" s="1060">
        <f>Application!G735</f>
        <v>13</v>
      </c>
      <c r="N29" s="1066">
        <f>Application!AC735</f>
        <v>0.3</v>
      </c>
      <c r="O29" s="1066">
        <f>IF(Cdlac[[#This Row],[Quantity]]&gt;0,IF(Cdlac[[#This Row],[Federal]],30%,IF(AND(OR(NOT($G$38),$G$38=""),$G$43),40%,Cdlac[[#This Row],[iAMI]])),"")</f>
        <v>0.3</v>
      </c>
      <c r="P29" s="1060" cm="1">
        <f t="array" ref="P29">IF(Cdlac[[#This Row],[Quantity]]&gt;0,INDEX(TcacRents,$P$18,Cdlac[[#This Row],[Bedrooms]]+1)*Cdlac[[#This Row],[AMI]],"")</f>
        <v>1246.2</v>
      </c>
      <c r="Q29" s="1157"/>
      <c r="R29" s="1060" cm="1">
        <f t="array" ref="R29">IF(Cdlac[[#This Row],[Quantity]]&gt;0,INDEX(HudFmrs,$P$18,Cdlac[[#This Row],[Bedrooms]]+1),"")</f>
        <v>3432</v>
      </c>
      <c r="S29" s="1060">
        <f>IF(Cdlac[[#This Row],[Quantity]]&gt;0,MAX(0,Cdlac[[#This Row],[Fair Market Rent]]-IF(AND($G$37,$G$38,$G$38&lt;&gt;"",NOT(Cdlac[[#This Row],[Federal]]),Cdlac[[#This Row],[Preservation Rent]]&lt;&gt;""),Cdlac[[#This Row],[Preservation Rent]],Cdlac[[#This Row],[Restricted Rent]])),"")</f>
        <v>2185.8000000000002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29</v>
      </c>
      <c r="N30" s="1066">
        <f>Application!AC736</f>
        <v>0.5</v>
      </c>
      <c r="O30" s="1066">
        <f>IF(Cdlac[[#This Row],[Quantity]]&gt;0,IF(Cdlac[[#This Row],[Federal]],30%,IF(AND(OR(NOT($G$38),$G$38=""),$G$43),40%,Cdlac[[#This Row],[iAMI]])),"")</f>
        <v>0.5</v>
      </c>
      <c r="P30" s="1060" cm="1">
        <f t="array" ref="P30">IF(Cdlac[[#This Row],[Quantity]]&gt;0,INDEX(TcacRents,$P$18,Cdlac[[#This Row],[Bedrooms]]+1)*Cdlac[[#This Row],[AMI]],"")</f>
        <v>2077</v>
      </c>
      <c r="Q30" s="1157"/>
      <c r="R30" s="1060" cm="1">
        <f t="array" ref="R30">IF(Cdlac[[#This Row],[Quantity]]&gt;0,INDEX(HudFmrs,$P$18,Cdlac[[#This Row],[Bedrooms]]+1),"")</f>
        <v>3432</v>
      </c>
      <c r="S30" s="1060">
        <f>IF(Cdlac[[#This Row],[Quantity]]&gt;0,MAX(0,Cdlac[[#This Row],[Fair Market Rent]]-IF(AND($G$37,$G$38,$G$38&lt;&gt;"",NOT(Cdlac[[#This Row],[Federal]]),Cdlac[[#This Row],[Preservation Rent]]&lt;&gt;""),Cdlac[[#This Row],[Preservation Rent]],Cdlac[[#This Row],[Restricted Rent]])),"")</f>
        <v>1355</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187.05</v>
      </c>
      <c r="H31" s="1069"/>
      <c r="I31" s="1069"/>
      <c r="L31" s="1039">
        <f>IFERROR(MIN(4,MATCH(Application!B737,UnitSizes,0)-1),"")</f>
        <v>3</v>
      </c>
      <c r="M31" s="1060">
        <f>Application!G737</f>
        <v>7</v>
      </c>
      <c r="N31" s="1066">
        <f>Application!AC737</f>
        <v>0.6</v>
      </c>
      <c r="O31" s="1066">
        <f>IF(Cdlac[[#This Row],[Quantity]]&gt;0,IF(Cdlac[[#This Row],[Federal]],30%,IF(AND(OR(NOT($G$38),$G$38=""),$G$43),40%,Cdlac[[#This Row],[iAMI]])),"")</f>
        <v>0.6</v>
      </c>
      <c r="P31" s="1060" cm="1">
        <f t="array" ref="P31">IF(Cdlac[[#This Row],[Quantity]]&gt;0,INDEX(TcacRents,$P$18,Cdlac[[#This Row],[Bedrooms]]+1)*Cdlac[[#This Row],[AMI]],"")</f>
        <v>2492.4</v>
      </c>
      <c r="Q31" s="1157"/>
      <c r="R31" s="1060" cm="1">
        <f t="array" ref="R31">IF(Cdlac[[#This Row],[Quantity]]&gt;0,INDEX(HudFmrs,$P$18,Cdlac[[#This Row],[Bedrooms]]+1),"")</f>
        <v>3432</v>
      </c>
      <c r="S31" s="1060">
        <f>IF(Cdlac[[#This Row],[Quantity]]&gt;0,MAX(0,Cdlac[[#This Row],[Fair Market Rent]]-IF(AND($G$37,$G$38,$G$38&lt;&gt;"",NOT(Cdlac[[#This Row],[Federal]]),Cdlac[[#This Row],[Preservation Rent]]&lt;&gt;""),Cdlac[[#This Row],[Preservation Rent]],Cdlac[[#This Row],[Restricted Rent]])),"")</f>
        <v>939.59999999999991</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9352500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0.41208053691275165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189542.80000000002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34117704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74</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74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74</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1480000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74</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3" t="s">
        <v>1941</v>
      </c>
      <c r="M83" s="2674"/>
      <c r="N83" s="1125">
        <v>30000</v>
      </c>
    </row>
    <row r="84" spans="2:14" ht="15" customHeight="1">
      <c r="C84" s="1072" t="s">
        <v>1953</v>
      </c>
      <c r="G84" s="1076" t="str">
        <f>IF(Application!D211="Large Family","Yes","No")</f>
        <v>Yes</v>
      </c>
      <c r="L84" s="2677" t="s">
        <v>1909</v>
      </c>
      <c r="M84" s="2678"/>
      <c r="N84" s="1126">
        <v>20000</v>
      </c>
    </row>
    <row r="85" spans="2:14" ht="15" customHeight="1" thickBot="1">
      <c r="C85" s="1072" t="s">
        <v>1939</v>
      </c>
      <c r="G85" s="1038" t="s">
        <v>667</v>
      </c>
      <c r="L85" s="2679" t="s">
        <v>1942</v>
      </c>
      <c r="M85" s="2680"/>
      <c r="N85" s="1127">
        <v>10000</v>
      </c>
    </row>
    <row r="86" spans="2:14" ht="15" customHeight="1" thickBot="1">
      <c r="C86" s="1072" t="s">
        <v>1940</v>
      </c>
      <c r="G86" s="1039" t="str">
        <f>Application!T193</f>
        <v>Low Resource</v>
      </c>
    </row>
    <row r="87" spans="2:14" ht="15" customHeight="1">
      <c r="C87" s="2655" t="s">
        <v>2209</v>
      </c>
      <c r="D87" s="2655"/>
      <c r="E87" s="2655"/>
      <c r="F87" s="2655"/>
      <c r="G87" s="1038" t="s">
        <v>667</v>
      </c>
      <c r="L87" s="1121" t="str">
        <f>'Points System'!H651</f>
        <v>(ii)</v>
      </c>
      <c r="M87" s="2675" t="s">
        <v>1395</v>
      </c>
      <c r="N87" s="2676"/>
    </row>
    <row r="88" spans="2:14" ht="15" customHeight="1">
      <c r="C88" s="2655"/>
      <c r="D88" s="2655"/>
      <c r="E88" s="2655"/>
      <c r="F88" s="2655"/>
      <c r="L88" s="1122" t="str">
        <f>'Points System'!H663</f>
        <v>(i)</v>
      </c>
      <c r="M88" s="2669" t="s">
        <v>1928</v>
      </c>
      <c r="N88" s="2670"/>
    </row>
    <row r="89" spans="2:14" ht="15" customHeight="1">
      <c r="C89" s="1072"/>
      <c r="L89" s="1122" t="str">
        <f>'Points System'!H698</f>
        <v>(i)</v>
      </c>
      <c r="M89" s="2669" t="s">
        <v>1929</v>
      </c>
      <c r="N89" s="2670"/>
    </row>
    <row r="90" spans="2:14" ht="15" customHeight="1">
      <c r="E90" s="1079" t="s">
        <v>1971</v>
      </c>
      <c r="G90" s="1074" t="b">
        <f>OR(AND(COUNTIFS(G84:G85,"Yes")&gt;=1,G83="Yes"),G87="Yes")</f>
        <v>1</v>
      </c>
      <c r="L90" s="1122" t="str">
        <f>IF(OR('Points System'!H722="(ii)",'Points System'!H722="(i)"),"(i)","N/A")</f>
        <v>N/A</v>
      </c>
      <c r="M90" s="2669" t="s">
        <v>1930</v>
      </c>
      <c r="N90" s="2670"/>
    </row>
    <row r="91" spans="2:14" ht="15" customHeight="1">
      <c r="E91" s="1079"/>
      <c r="G91" s="1074"/>
      <c r="L91" s="1123" t="str">
        <f>'Points System'!H736</f>
        <v>N/A</v>
      </c>
      <c r="M91" s="2669" t="s">
        <v>1421</v>
      </c>
      <c r="N91" s="2670"/>
    </row>
    <row r="92" spans="2:14" ht="15" customHeight="1">
      <c r="E92" s="1079" t="s">
        <v>1916</v>
      </c>
      <c r="G92" s="1073">
        <f>IFERROR(IF($G$87="Yes",30000,INDEX(N83:N85,MATCH(LEFT(G86,17),L83:L85,0))),0)</f>
        <v>0</v>
      </c>
      <c r="L92" s="1122" t="str">
        <f>'Points System'!H748</f>
        <v>N/A</v>
      </c>
      <c r="M92" s="2669" t="s">
        <v>1931</v>
      </c>
      <c r="N92" s="2670"/>
    </row>
    <row r="93" spans="2:14" ht="15" customHeight="1">
      <c r="E93" s="1079" t="str">
        <f>E110</f>
        <v>Bedroom-Adjusted Low-Income Units</v>
      </c>
      <c r="F93" s="1107" t="s">
        <v>1964</v>
      </c>
      <c r="G93" s="1108">
        <f>G29</f>
        <v>187.05</v>
      </c>
      <c r="L93" s="1122" t="str">
        <f>'Points System'!H764</f>
        <v>(i)</v>
      </c>
      <c r="M93" s="2669" t="s">
        <v>1932</v>
      </c>
      <c r="N93" s="2670"/>
    </row>
    <row r="94" spans="2:14" ht="15" customHeight="1" thickBot="1">
      <c r="D94" s="1041"/>
      <c r="E94" s="1112" t="s">
        <v>2212</v>
      </c>
      <c r="F94" s="1041"/>
      <c r="G94" s="1117">
        <f>G93*G92*G90</f>
        <v>0</v>
      </c>
      <c r="L94" s="1124" t="str">
        <f>'Points System'!H776</f>
        <v>(i)</v>
      </c>
      <c r="M94" s="2671" t="s">
        <v>1424</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667</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187.05</v>
      </c>
    </row>
    <row r="103" spans="2:9" ht="15" customHeight="1">
      <c r="E103" s="1079" t="s">
        <v>1916</v>
      </c>
      <c r="F103" s="1107" t="s">
        <v>1964</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187.05</v>
      </c>
    </row>
    <row r="111" spans="2:9" ht="15" customHeight="1">
      <c r="E111" s="1112" t="s">
        <v>1933</v>
      </c>
      <c r="F111" s="1041"/>
      <c r="G111" s="1117">
        <f>G108*G109*G110</f>
        <v>5237400</v>
      </c>
    </row>
    <row r="112" spans="2:9" ht="15" customHeight="1">
      <c r="C112" s="1072"/>
      <c r="G112" s="1108"/>
    </row>
    <row r="113" spans="2:7" ht="15" customHeight="1">
      <c r="E113" s="1079" t="s">
        <v>1969</v>
      </c>
      <c r="G113" s="1108">
        <f>COUNTIFS(L87:L94,"(i)")</f>
        <v>4</v>
      </c>
    </row>
    <row r="114" spans="2:7" ht="15" customHeight="1">
      <c r="E114" s="1079" t="s">
        <v>1916</v>
      </c>
      <c r="F114" s="1107" t="s">
        <v>1964</v>
      </c>
      <c r="G114" s="1118">
        <v>4000</v>
      </c>
    </row>
    <row r="115" spans="2:7" ht="15" customHeight="1">
      <c r="E115" s="1112" t="s">
        <v>1934</v>
      </c>
      <c r="F115" s="1041"/>
      <c r="G115" s="1117">
        <f>G110*G113*G114</f>
        <v>2992800</v>
      </c>
    </row>
    <row r="116" spans="2:7" ht="15" customHeight="1"/>
    <row r="117" spans="2:7" ht="15" customHeight="1">
      <c r="C117" s="1075" t="s">
        <v>1936</v>
      </c>
    </row>
    <row r="118" spans="2:7" ht="15" customHeight="1">
      <c r="C118" s="1072" t="s">
        <v>1937</v>
      </c>
      <c r="G118" s="1038"/>
    </row>
    <row r="119" spans="2:7" ht="15" customHeight="1">
      <c r="C119" s="1072" t="s">
        <v>1938</v>
      </c>
      <c r="G119" s="1038" t="s">
        <v>544</v>
      </c>
    </row>
    <row r="120" spans="2:7" ht="15" customHeight="1">
      <c r="C120" s="1072" t="s">
        <v>2094</v>
      </c>
      <c r="G120" s="1038" t="s">
        <v>544</v>
      </c>
    </row>
    <row r="121" spans="2:7">
      <c r="C121" s="1072" t="s">
        <v>2095</v>
      </c>
      <c r="G121" s="1038"/>
    </row>
    <row r="123" spans="2:7">
      <c r="B123" s="1073"/>
      <c r="C123" s="1072"/>
      <c r="E123" s="1079" t="s">
        <v>1971</v>
      </c>
      <c r="G123" s="1074" t="b">
        <f>COUNTIFS(G118:G121,"Yes")&gt;=1</f>
        <v>1</v>
      </c>
    </row>
    <row r="124" spans="2:7">
      <c r="E124" s="1072"/>
    </row>
    <row r="125" spans="2:7" ht="14.4">
      <c r="E125" s="1079" t="s">
        <v>1968</v>
      </c>
      <c r="F125" s="1107" t="s">
        <v>1964</v>
      </c>
      <c r="G125" s="1108">
        <f>G29</f>
        <v>187.05</v>
      </c>
    </row>
    <row r="126" spans="2:7" ht="14.4">
      <c r="E126" s="1079" t="s">
        <v>1916</v>
      </c>
      <c r="F126" s="1107" t="s">
        <v>1964</v>
      </c>
      <c r="G126" s="1118">
        <v>25000</v>
      </c>
    </row>
    <row r="127" spans="2:7">
      <c r="E127" s="1112" t="s">
        <v>1935</v>
      </c>
      <c r="F127" s="1041"/>
      <c r="G127" s="1117">
        <f>G123*G126*G110</f>
        <v>4676250</v>
      </c>
    </row>
    <row r="128" spans="2:7">
      <c r="C128" s="1072"/>
      <c r="E128" s="1072"/>
    </row>
    <row r="129" spans="2:9">
      <c r="E129" s="1112" t="s">
        <v>2214</v>
      </c>
      <c r="G129" s="1117">
        <f>G127+G115+G111</f>
        <v>12906450</v>
      </c>
    </row>
    <row r="131" spans="2:9">
      <c r="B131" s="1061" t="s">
        <v>139</v>
      </c>
      <c r="C131" s="1062"/>
      <c r="D131" s="1062"/>
      <c r="E131" s="1062"/>
      <c r="F131" s="1062"/>
      <c r="G131" s="1062"/>
      <c r="H131" s="1062"/>
      <c r="I131" s="1063"/>
    </row>
    <row r="133" spans="2:9">
      <c r="C133" s="2651" t="s">
        <v>2180</v>
      </c>
      <c r="D133" s="2651"/>
      <c r="E133" s="2651"/>
      <c r="F133" s="2651"/>
    </row>
    <row r="134" spans="2:9">
      <c r="C134" s="2651"/>
      <c r="D134" s="2651"/>
      <c r="E134" s="2651"/>
      <c r="F134" s="2651"/>
      <c r="G134" s="1038" t="s">
        <v>544</v>
      </c>
    </row>
    <row r="135" spans="2:9" ht="14.25" customHeight="1"/>
    <row r="136" spans="2:9">
      <c r="C136" s="1039" t="s">
        <v>2182</v>
      </c>
      <c r="G136" s="2653" t="s">
        <v>2787</v>
      </c>
      <c r="H136" s="2653"/>
    </row>
    <row r="137" spans="2:9">
      <c r="G137" s="2653"/>
      <c r="H137" s="2653"/>
    </row>
    <row r="138" spans="2:9">
      <c r="G138" s="2654"/>
      <c r="H138" s="2654"/>
    </row>
    <row r="140" spans="2:9">
      <c r="C140" s="2651" t="s">
        <v>2592</v>
      </c>
      <c r="D140" s="2651"/>
      <c r="E140" s="2651"/>
      <c r="F140" s="2651"/>
    </row>
    <row r="141" spans="2:9">
      <c r="C141" s="2651"/>
      <c r="D141" s="2651"/>
      <c r="E141" s="2651"/>
      <c r="F141" s="2651"/>
      <c r="G141" s="1038"/>
    </row>
    <row r="142" spans="2:9">
      <c r="C142" s="2651"/>
      <c r="D142" s="2651"/>
      <c r="E142" s="2651"/>
      <c r="F142" s="2651"/>
    </row>
    <row r="144" spans="2:9">
      <c r="C144" s="2651" t="s">
        <v>2591</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c r="B149" s="1061" t="s">
        <v>1973</v>
      </c>
      <c r="C149" s="1062"/>
      <c r="D149" s="1062"/>
      <c r="E149" s="1062"/>
      <c r="F149" s="1062"/>
      <c r="G149" s="1062"/>
      <c r="H149" s="1062"/>
      <c r="I149" s="1063"/>
    </row>
    <row r="151" spans="2:9">
      <c r="E151" s="1079" t="s">
        <v>581</v>
      </c>
      <c r="G151" s="1039" t="str">
        <f>IF(Application!T189="","",Application!T189)</f>
        <v>Contra Costa</v>
      </c>
    </row>
    <row r="152" spans="2:9">
      <c r="E152" s="1079"/>
      <c r="G152" s="1073"/>
    </row>
    <row r="153" spans="2:9">
      <c r="E153" s="1079" t="str">
        <f>"2-Bedroom "&amp;G151&amp;" County Basis Limit"</f>
        <v>2-Bedroom Contra Costa County Basis Limit</v>
      </c>
      <c r="G153" s="1073">
        <f>Application!R997</f>
        <v>683200</v>
      </c>
    </row>
    <row r="154" spans="2:9">
      <c r="E154" s="1079" t="s">
        <v>1972</v>
      </c>
      <c r="G154" s="1073">
        <f>MEDIAN((Application!CU160:CU217))</f>
        <v>560000</v>
      </c>
    </row>
    <row r="155" spans="2:9">
      <c r="D155" s="1041"/>
      <c r="E155" s="1112" t="s">
        <v>1974</v>
      </c>
      <c r="F155" s="1128"/>
      <c r="G155" s="1129">
        <f>((G153-G154)/G154)*0.25</f>
        <v>5.5E-2</v>
      </c>
      <c r="H155" s="1037"/>
      <c r="I155" s="1037"/>
    </row>
    <row r="156" spans="2:9">
      <c r="D156" s="1040"/>
      <c r="E156" s="1040"/>
    </row>
    <row r="157" spans="2:9">
      <c r="B157" s="1061" t="s">
        <v>2215</v>
      </c>
      <c r="C157" s="1062"/>
      <c r="D157" s="1062"/>
      <c r="E157" s="1062"/>
      <c r="F157" s="1062"/>
      <c r="G157" s="1062"/>
      <c r="H157" s="1062"/>
      <c r="I157" s="1063"/>
    </row>
    <row r="159" spans="2:9">
      <c r="E159" s="1079" t="s">
        <v>2572</v>
      </c>
      <c r="G159" s="1039" t="b">
        <f>G37</f>
        <v>0</v>
      </c>
    </row>
    <row r="160" spans="2:9">
      <c r="C160" s="2646" t="s">
        <v>2216</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4290000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1" t="s">
        <v>907</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83.4">
      <c r="A3" s="426" t="s">
        <v>908</v>
      </c>
      <c r="B3" s="426" t="s">
        <v>2202</v>
      </c>
      <c r="C3" s="426" t="s">
        <v>2203</v>
      </c>
      <c r="D3" s="1140" t="s">
        <v>2204</v>
      </c>
      <c r="E3" s="204"/>
      <c r="F3" s="1140" t="s">
        <v>909</v>
      </c>
      <c r="G3" s="426" t="s">
        <v>910</v>
      </c>
      <c r="H3" s="427"/>
      <c r="I3" s="426" t="s">
        <v>911</v>
      </c>
      <c r="J3" s="426" t="s">
        <v>912</v>
      </c>
      <c r="K3" s="204"/>
      <c r="L3" s="305"/>
    </row>
    <row r="4" spans="1:12">
      <c r="A4" s="428" t="str">
        <f>Application!B726</f>
        <v>SRO/Studio</v>
      </c>
      <c r="B4" s="1077">
        <f>Application!G726</f>
        <v>20</v>
      </c>
      <c r="C4" s="1155"/>
      <c r="D4" s="428">
        <f>Application!O726</f>
        <v>772</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1</v>
      </c>
      <c r="C5" s="1155"/>
      <c r="D5" s="428">
        <f>Application!O727</f>
        <v>1331</v>
      </c>
      <c r="E5" s="429"/>
      <c r="F5" s="1078"/>
      <c r="G5" s="428">
        <f t="shared" ref="G5:G38" si="2">F5*B5</f>
        <v>0</v>
      </c>
      <c r="H5" s="429"/>
      <c r="I5" s="428" t="str">
        <f t="shared" si="0"/>
        <v/>
      </c>
      <c r="J5" s="428" t="str">
        <f t="shared" si="1"/>
        <v/>
      </c>
      <c r="K5" s="204"/>
      <c r="L5" s="305"/>
    </row>
    <row r="6" spans="1:12">
      <c r="A6" s="428" t="str">
        <f>Application!B728</f>
        <v>SRO/Studio</v>
      </c>
      <c r="B6" s="1077">
        <f>Application!G728</f>
        <v>1</v>
      </c>
      <c r="C6" s="1155"/>
      <c r="D6" s="428">
        <f>Application!O728</f>
        <v>1611</v>
      </c>
      <c r="E6" s="429"/>
      <c r="F6" s="1078"/>
      <c r="G6" s="428">
        <f t="shared" si="2"/>
        <v>0</v>
      </c>
      <c r="H6" s="429"/>
      <c r="I6" s="428" t="str">
        <f t="shared" si="0"/>
        <v/>
      </c>
      <c r="J6" s="428" t="str">
        <f t="shared" si="1"/>
        <v/>
      </c>
      <c r="K6" s="204"/>
      <c r="L6" s="305"/>
    </row>
    <row r="7" spans="1:12">
      <c r="A7" s="428" t="str">
        <f>Application!B729</f>
        <v>1 Bedroom</v>
      </c>
      <c r="B7" s="1077">
        <f>Application!G729</f>
        <v>8</v>
      </c>
      <c r="C7" s="1155"/>
      <c r="D7" s="428">
        <f>Application!O729</f>
        <v>818</v>
      </c>
      <c r="E7" s="429"/>
      <c r="F7" s="1078"/>
      <c r="G7" s="428">
        <f t="shared" si="2"/>
        <v>0</v>
      </c>
      <c r="H7" s="429"/>
      <c r="I7" s="428" t="str">
        <f t="shared" si="0"/>
        <v/>
      </c>
      <c r="J7" s="428" t="str">
        <f t="shared" si="1"/>
        <v/>
      </c>
      <c r="K7" s="204"/>
      <c r="L7" s="305"/>
    </row>
    <row r="8" spans="1:12">
      <c r="A8" s="428" t="str">
        <f>Application!B730</f>
        <v>1 Bedroom</v>
      </c>
      <c r="B8" s="1077">
        <f>Application!G730</f>
        <v>1</v>
      </c>
      <c r="C8" s="1155"/>
      <c r="D8" s="428">
        <f>Application!O730</f>
        <v>1417</v>
      </c>
      <c r="E8" s="429"/>
      <c r="F8" s="1078"/>
      <c r="G8" s="428">
        <f t="shared" si="2"/>
        <v>0</v>
      </c>
      <c r="H8" s="429"/>
      <c r="I8" s="428" t="str">
        <f t="shared" si="0"/>
        <v/>
      </c>
      <c r="J8" s="428" t="str">
        <f t="shared" si="1"/>
        <v/>
      </c>
      <c r="K8" s="204"/>
      <c r="L8" s="305"/>
    </row>
    <row r="9" spans="1:12">
      <c r="A9" s="428" t="str">
        <f>Application!B731</f>
        <v>1 Bedroom</v>
      </c>
      <c r="B9" s="1077">
        <f>Application!G731</f>
        <v>1</v>
      </c>
      <c r="C9" s="1155"/>
      <c r="D9" s="428">
        <f>Application!O731</f>
        <v>1717</v>
      </c>
      <c r="E9" s="429"/>
      <c r="F9" s="1078"/>
      <c r="G9" s="428">
        <f t="shared" si="2"/>
        <v>0</v>
      </c>
      <c r="H9" s="429"/>
      <c r="I9" s="428" t="str">
        <f t="shared" si="0"/>
        <v/>
      </c>
      <c r="J9" s="428" t="str">
        <f t="shared" si="1"/>
        <v/>
      </c>
      <c r="K9" s="204"/>
      <c r="L9" s="305"/>
    </row>
    <row r="10" spans="1:12">
      <c r="A10" s="428" t="str">
        <f>Application!B732</f>
        <v>2 Bedrooms</v>
      </c>
      <c r="B10" s="1077">
        <f>Application!G732</f>
        <v>33</v>
      </c>
      <c r="C10" s="1155"/>
      <c r="D10" s="428">
        <f>Application!O732</f>
        <v>966</v>
      </c>
      <c r="E10" s="429"/>
      <c r="F10" s="1078"/>
      <c r="G10" s="428">
        <f t="shared" si="2"/>
        <v>0</v>
      </c>
      <c r="H10" s="429"/>
      <c r="I10" s="428" t="str">
        <f t="shared" si="0"/>
        <v/>
      </c>
      <c r="J10" s="428" t="str">
        <f t="shared" si="1"/>
        <v/>
      </c>
      <c r="K10" s="204"/>
      <c r="L10" s="305"/>
    </row>
    <row r="11" spans="1:12">
      <c r="A11" s="428" t="str">
        <f>Application!B733</f>
        <v>2 Bedrooms</v>
      </c>
      <c r="B11" s="1077">
        <f>Application!G733</f>
        <v>27</v>
      </c>
      <c r="C11" s="1155"/>
      <c r="D11" s="428">
        <f>Application!O733</f>
        <v>1685</v>
      </c>
      <c r="E11" s="429"/>
      <c r="F11" s="1078"/>
      <c r="G11" s="428">
        <f t="shared" si="2"/>
        <v>0</v>
      </c>
      <c r="H11" s="429"/>
      <c r="I11" s="428" t="str">
        <f t="shared" si="0"/>
        <v/>
      </c>
      <c r="J11" s="428" t="str">
        <f t="shared" si="1"/>
        <v/>
      </c>
      <c r="K11" s="204"/>
      <c r="L11" s="305"/>
    </row>
    <row r="12" spans="1:12">
      <c r="A12" s="428" t="str">
        <f>Application!B734</f>
        <v>2 Bedrooms</v>
      </c>
      <c r="B12" s="1077">
        <f>Application!G734</f>
        <v>8</v>
      </c>
      <c r="C12" s="1155"/>
      <c r="D12" s="428">
        <f>Application!O734</f>
        <v>2045</v>
      </c>
      <c r="E12" s="429"/>
      <c r="F12" s="1078"/>
      <c r="G12" s="428">
        <f t="shared" si="2"/>
        <v>0</v>
      </c>
      <c r="H12" s="429"/>
      <c r="I12" s="428" t="str">
        <f t="shared" si="0"/>
        <v/>
      </c>
      <c r="J12" s="428" t="str">
        <f t="shared" si="1"/>
        <v/>
      </c>
      <c r="K12" s="204"/>
      <c r="L12" s="305"/>
    </row>
    <row r="13" spans="1:12">
      <c r="A13" s="428" t="str">
        <f>Application!B735</f>
        <v>3 Bedrooms</v>
      </c>
      <c r="B13" s="1077">
        <f>Application!G735</f>
        <v>13</v>
      </c>
      <c r="C13" s="1155"/>
      <c r="D13" s="428">
        <f>Application!O735</f>
        <v>1104</v>
      </c>
      <c r="E13" s="429"/>
      <c r="F13" s="1078"/>
      <c r="G13" s="428">
        <f t="shared" si="2"/>
        <v>0</v>
      </c>
      <c r="H13" s="429"/>
      <c r="I13" s="428" t="str">
        <f t="shared" si="0"/>
        <v/>
      </c>
      <c r="J13" s="428" t="str">
        <f t="shared" si="1"/>
        <v/>
      </c>
      <c r="K13" s="204"/>
      <c r="L13" s="305"/>
    </row>
    <row r="14" spans="1:12">
      <c r="A14" s="428" t="str">
        <f>Application!B736</f>
        <v>3 Bedrooms</v>
      </c>
      <c r="B14" s="1077">
        <f>Application!G736</f>
        <v>29</v>
      </c>
      <c r="C14" s="1155"/>
      <c r="D14" s="428">
        <f>Application!O736</f>
        <v>1935</v>
      </c>
      <c r="E14" s="429"/>
      <c r="F14" s="1078"/>
      <c r="G14" s="428">
        <f t="shared" si="2"/>
        <v>0</v>
      </c>
      <c r="H14" s="429"/>
      <c r="I14" s="428" t="str">
        <f t="shared" si="0"/>
        <v/>
      </c>
      <c r="J14" s="428" t="str">
        <f t="shared" si="1"/>
        <v/>
      </c>
      <c r="K14" s="204"/>
      <c r="L14" s="305"/>
    </row>
    <row r="15" spans="1:12">
      <c r="A15" s="428" t="str">
        <f>Application!B737</f>
        <v>3 Bedrooms</v>
      </c>
      <c r="B15" s="1077">
        <f>Application!G737</f>
        <v>7</v>
      </c>
      <c r="C15" s="1155"/>
      <c r="D15" s="428">
        <f>Application!O737</f>
        <v>2351</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913</v>
      </c>
      <c r="B40" s="431"/>
      <c r="C40" s="431"/>
      <c r="D40" s="432">
        <f>Application!O761</f>
        <v>208717</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2205</v>
      </c>
    </row>
    <row r="43" spans="1:12">
      <c r="A43" s="2682" t="s">
        <v>2426</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2206</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Normal="100"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2048</v>
      </c>
      <c r="B1" s="211"/>
    </row>
    <row r="2" spans="1:34"/>
    <row r="3" spans="1:34" ht="15.6">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3.8">
      <c r="A4" s="219" t="s">
        <v>835</v>
      </c>
      <c r="C4" s="237">
        <v>1.0249999999999999</v>
      </c>
      <c r="E4" s="219">
        <f>Application!Y809</f>
        <v>2504604</v>
      </c>
      <c r="G4" s="219">
        <f>E4*$C$4</f>
        <v>2567219.0999999996</v>
      </c>
      <c r="I4" s="219">
        <f>G4*$C$4</f>
        <v>2631399.5774999992</v>
      </c>
      <c r="K4" s="219">
        <f>I4*$C$4</f>
        <v>2697184.5669374987</v>
      </c>
      <c r="M4" s="219">
        <f>K4*$C$4</f>
        <v>2764614.1811109358</v>
      </c>
      <c r="O4" s="219">
        <f>M4*$C$4</f>
        <v>2833729.5356387091</v>
      </c>
      <c r="Q4" s="219">
        <f>O4*$C$4</f>
        <v>2904572.7740296763</v>
      </c>
      <c r="S4" s="219">
        <f>Q4*$C$4</f>
        <v>2977187.0933804181</v>
      </c>
      <c r="U4" s="219">
        <f>S4*$C$4</f>
        <v>3051616.7707149284</v>
      </c>
      <c r="W4" s="219">
        <f>U4*$C$4</f>
        <v>3127907.1899828012</v>
      </c>
      <c r="Y4" s="219">
        <f>W4*$C$4</f>
        <v>3206104.8697323711</v>
      </c>
      <c r="AA4" s="219">
        <f>Y4*$C$4</f>
        <v>3286257.4914756799</v>
      </c>
      <c r="AC4" s="219">
        <f>AA4*$C$4</f>
        <v>3368413.9287625714</v>
      </c>
      <c r="AE4" s="219">
        <f>AC4*$C$4</f>
        <v>3452624.2769816355</v>
      </c>
      <c r="AG4" s="219">
        <f>AE4*$C$4</f>
        <v>3538939.8839061758</v>
      </c>
    </row>
    <row r="5" spans="1:34" s="210" customFormat="1" ht="13.8">
      <c r="B5" s="210" t="s">
        <v>836</v>
      </c>
      <c r="C5" s="238">
        <f>IF(Application!$D$211="Special Needs",(((0.1*Application!$T$212)+(0.05*(1-Application!$T$212)))),0.05)</f>
        <v>0.05</v>
      </c>
      <c r="E5" s="221">
        <f>-E4*$C$5</f>
        <v>-125230.20000000001</v>
      </c>
      <c r="F5" s="221"/>
      <c r="G5" s="221">
        <f>-G4*$C$5</f>
        <v>-128360.95499999999</v>
      </c>
      <c r="H5" s="221"/>
      <c r="I5" s="221">
        <f>-I4*$C$5</f>
        <v>-131569.97887499997</v>
      </c>
      <c r="J5" s="221"/>
      <c r="K5" s="221">
        <f>-K4*$C$5</f>
        <v>-134859.22834687494</v>
      </c>
      <c r="L5" s="221"/>
      <c r="M5" s="221">
        <f>-M4*$C$5</f>
        <v>-138230.70905554679</v>
      </c>
      <c r="N5" s="221"/>
      <c r="O5" s="221">
        <f>-O4*$C$5</f>
        <v>-141686.47678193546</v>
      </c>
      <c r="P5" s="221"/>
      <c r="Q5" s="221">
        <f>-Q4*$C$5</f>
        <v>-145228.63870148381</v>
      </c>
      <c r="R5" s="221"/>
      <c r="S5" s="221">
        <f>-S4*$C$5</f>
        <v>-148859.35466902092</v>
      </c>
      <c r="T5" s="221"/>
      <c r="U5" s="221">
        <f>-U4*$C$5</f>
        <v>-152580.83853574641</v>
      </c>
      <c r="V5" s="221"/>
      <c r="W5" s="221">
        <f>-W4*$C$5</f>
        <v>-156395.35949914006</v>
      </c>
      <c r="X5" s="221"/>
      <c r="Y5" s="221">
        <f>-Y4*$C$5</f>
        <v>-160305.24348661856</v>
      </c>
      <c r="Z5" s="221"/>
      <c r="AA5" s="221">
        <f>-AA4*$C$5</f>
        <v>-164312.87457378401</v>
      </c>
      <c r="AB5" s="221"/>
      <c r="AC5" s="221">
        <f>-AC4*$C$5</f>
        <v>-168420.69643812859</v>
      </c>
      <c r="AD5" s="221"/>
      <c r="AE5" s="221">
        <f>-AE4*$C$5</f>
        <v>-172631.21384908177</v>
      </c>
      <c r="AF5" s="221"/>
      <c r="AG5" s="221">
        <f>-AG4*$C$5</f>
        <v>-176946.9941953088</v>
      </c>
    </row>
    <row r="6" spans="1:34" s="210" customFormat="1" ht="13.8">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22500</v>
      </c>
      <c r="F8" s="222"/>
      <c r="G8" s="222">
        <f>E8*$C$8</f>
        <v>23062.499999999996</v>
      </c>
      <c r="H8" s="222"/>
      <c r="I8" s="222">
        <f>G8*$C$8</f>
        <v>23639.062499999993</v>
      </c>
      <c r="J8" s="222"/>
      <c r="K8" s="222">
        <f>I8*$C$8</f>
        <v>24230.039062499989</v>
      </c>
      <c r="L8" s="222"/>
      <c r="M8" s="222">
        <f>K8*$C$8</f>
        <v>24835.790039062485</v>
      </c>
      <c r="N8" s="222"/>
      <c r="O8" s="222">
        <f>M8*$C$8</f>
        <v>25456.684790039046</v>
      </c>
      <c r="P8" s="222"/>
      <c r="Q8" s="222">
        <f>O8*$C$8</f>
        <v>26093.101909790021</v>
      </c>
      <c r="R8" s="222"/>
      <c r="S8" s="222">
        <f>Q8*$C$8</f>
        <v>26745.42945753477</v>
      </c>
      <c r="T8" s="222"/>
      <c r="U8" s="222">
        <f>S8*$C$8</f>
        <v>27414.065193973136</v>
      </c>
      <c r="V8" s="222"/>
      <c r="W8" s="222">
        <f>U8*$C$8</f>
        <v>28099.416823822463</v>
      </c>
      <c r="X8" s="222"/>
      <c r="Y8" s="222">
        <f>W8*$C$8</f>
        <v>28801.902244418023</v>
      </c>
      <c r="Z8" s="222"/>
      <c r="AA8" s="222">
        <f>Y8*$C$8</f>
        <v>29521.949800528469</v>
      </c>
      <c r="AB8" s="222"/>
      <c r="AC8" s="222">
        <f>AA8*$C$8</f>
        <v>30259.998545541679</v>
      </c>
      <c r="AD8" s="222"/>
      <c r="AE8" s="222">
        <f>AC8*$C$8</f>
        <v>31016.498509180219</v>
      </c>
      <c r="AF8" s="222"/>
      <c r="AG8" s="222">
        <f>AE8*$C$8</f>
        <v>31791.910971909721</v>
      </c>
    </row>
    <row r="9" spans="1:34" s="210" customFormat="1" ht="13.8">
      <c r="B9" s="210" t="s">
        <v>836</v>
      </c>
      <c r="C9" s="238">
        <f>IF(Application!$D$211="Special Needs",(((0.1*Application!$T$212)+(0.05*(1-Application!$T$212)))),0.05)</f>
        <v>0.05</v>
      </c>
      <c r="E9" s="221">
        <f>-E8*$C$9</f>
        <v>-1125</v>
      </c>
      <c r="F9" s="221"/>
      <c r="G9" s="221">
        <f>-G8*$C$9</f>
        <v>-1153.1249999999998</v>
      </c>
      <c r="H9" s="221"/>
      <c r="I9" s="221">
        <f>-I8*$C$9</f>
        <v>-1181.9531249999998</v>
      </c>
      <c r="J9" s="221"/>
      <c r="K9" s="221">
        <f>-K8*$C$9</f>
        <v>-1211.5019531249995</v>
      </c>
      <c r="L9" s="221"/>
      <c r="M9" s="221">
        <f>-M8*$C$9</f>
        <v>-1241.7895019531243</v>
      </c>
      <c r="N9" s="221"/>
      <c r="O9" s="221">
        <f>-O8*$C$9</f>
        <v>-1272.8342395019524</v>
      </c>
      <c r="P9" s="221"/>
      <c r="Q9" s="221">
        <f>-Q8*$C$9</f>
        <v>-1304.655095489501</v>
      </c>
      <c r="R9" s="221"/>
      <c r="S9" s="221">
        <f>-S8*$C$9</f>
        <v>-1337.2714728767387</v>
      </c>
      <c r="T9" s="221"/>
      <c r="U9" s="221">
        <f>-U8*$C$9</f>
        <v>-1370.7032596986569</v>
      </c>
      <c r="V9" s="221"/>
      <c r="W9" s="221">
        <f>-W8*$C$9</f>
        <v>-1404.9708411911233</v>
      </c>
      <c r="X9" s="221"/>
      <c r="Y9" s="221">
        <f>-Y8*$C$9</f>
        <v>-1440.0951122209012</v>
      </c>
      <c r="Z9" s="221"/>
      <c r="AA9" s="221">
        <f>-AA8*$C$9</f>
        <v>-1476.0974900264237</v>
      </c>
      <c r="AB9" s="221"/>
      <c r="AC9" s="221">
        <f>-AC8*$C$9</f>
        <v>-1512.999927277084</v>
      </c>
      <c r="AD9" s="221"/>
      <c r="AE9" s="221">
        <f>-AE8*$C$9</f>
        <v>-1550.824925459011</v>
      </c>
      <c r="AF9" s="221"/>
      <c r="AG9" s="221">
        <f>-AG8*$C$9</f>
        <v>-1589.5955485954862</v>
      </c>
    </row>
    <row r="10" spans="1:34" s="210" customFormat="1" ht="13.8">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857</v>
      </c>
      <c r="C11" s="216"/>
      <c r="E11" s="223">
        <f>SUM(E4:E10)</f>
        <v>2400748.7999999998</v>
      </c>
      <c r="G11" s="223">
        <f>SUM(G4:G10)</f>
        <v>2460767.5199999996</v>
      </c>
      <c r="I11" s="223">
        <f>SUM(I4:I10)</f>
        <v>2522286.7079999992</v>
      </c>
      <c r="K11" s="223">
        <f>SUM(K4:K10)</f>
        <v>2585343.8756999988</v>
      </c>
      <c r="M11" s="223">
        <f>SUM(M4:M10)</f>
        <v>2649977.4725924986</v>
      </c>
      <c r="O11" s="223">
        <f>SUM(O4:O10)</f>
        <v>2716226.9094073107</v>
      </c>
      <c r="Q11" s="223">
        <f>SUM(Q4:Q10)</f>
        <v>2784132.5821424932</v>
      </c>
      <c r="S11" s="223">
        <f>SUM(S4:S10)</f>
        <v>2853735.8966960548</v>
      </c>
      <c r="U11" s="223">
        <f>SUM(U4:U10)</f>
        <v>2925079.2941134563</v>
      </c>
      <c r="W11" s="223">
        <f>SUM(W4:W10)</f>
        <v>2998206.2764662923</v>
      </c>
      <c r="Y11" s="223">
        <f>SUM(Y4:Y10)</f>
        <v>3073161.4333779495</v>
      </c>
      <c r="AA11" s="223">
        <f>SUM(AA4:AA10)</f>
        <v>3149990.4692123979</v>
      </c>
      <c r="AC11" s="223">
        <f>SUM(AC4:AC10)</f>
        <v>3228740.2309427075</v>
      </c>
      <c r="AE11" s="223">
        <f>SUM(AE4:AE10)</f>
        <v>3309458.7367162751</v>
      </c>
      <c r="AG11" s="223">
        <f>SUM(AG4:AG10)</f>
        <v>3392195.2051341813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839</v>
      </c>
      <c r="C15" s="176"/>
      <c r="E15" s="219">
        <f>Application!W855</f>
        <v>23549</v>
      </c>
      <c r="G15" s="219">
        <f>E15*$C$14</f>
        <v>24373.214999999997</v>
      </c>
      <c r="I15" s="219">
        <f>G15*$C$14</f>
        <v>25226.277524999994</v>
      </c>
      <c r="K15" s="219">
        <f>I15*$C$14</f>
        <v>26109.197238374993</v>
      </c>
      <c r="M15" s="219">
        <f>K15*$C$14</f>
        <v>27023.019141718116</v>
      </c>
      <c r="O15" s="219">
        <f>M15*$C$14</f>
        <v>27968.824811678249</v>
      </c>
      <c r="Q15" s="219">
        <f>O15*$C$14</f>
        <v>28947.733680086985</v>
      </c>
      <c r="S15" s="219">
        <f>Q15*$C$14</f>
        <v>29960.904358890028</v>
      </c>
      <c r="U15" s="219">
        <f>S15*$C$14</f>
        <v>31009.536011451175</v>
      </c>
      <c r="W15" s="219">
        <f>U15*$C$14</f>
        <v>32094.869771851965</v>
      </c>
      <c r="Y15" s="219">
        <f>W15*$C$14</f>
        <v>33218.190213866779</v>
      </c>
      <c r="AA15" s="219">
        <f>Y15*$C$14</f>
        <v>34380.826871352117</v>
      </c>
      <c r="AC15" s="219">
        <f>AA15*$C$14</f>
        <v>35584.155811849436</v>
      </c>
      <c r="AE15" s="219">
        <f>AC15*$C$14</f>
        <v>36829.601265264166</v>
      </c>
      <c r="AG15" s="219">
        <f>AE15*$C$14</f>
        <v>38118.637309548409</v>
      </c>
    </row>
    <row r="16" spans="1:34" s="210" customFormat="1" ht="13.8">
      <c r="A16" s="210" t="s">
        <v>343</v>
      </c>
      <c r="C16" s="233"/>
      <c r="E16" s="222">
        <f>Application!W857</f>
        <v>95100</v>
      </c>
      <c r="F16" s="222"/>
      <c r="G16" s="222">
        <f t="shared" ref="G16:AG21" si="0">E16*$C$14</f>
        <v>98428.499999999985</v>
      </c>
      <c r="H16" s="222"/>
      <c r="I16" s="222">
        <f t="shared" si="0"/>
        <v>101873.49749999998</v>
      </c>
      <c r="J16" s="222"/>
      <c r="K16" s="222">
        <f t="shared" si="0"/>
        <v>105439.06991249998</v>
      </c>
      <c r="L16" s="222"/>
      <c r="M16" s="222">
        <f t="shared" si="0"/>
        <v>109129.43735943748</v>
      </c>
      <c r="N16" s="222"/>
      <c r="O16" s="222">
        <f t="shared" si="0"/>
        <v>112948.96766701779</v>
      </c>
      <c r="P16" s="222"/>
      <c r="Q16" s="222">
        <f t="shared" si="0"/>
        <v>116902.1815353634</v>
      </c>
      <c r="R16" s="222"/>
      <c r="S16" s="222">
        <f t="shared" si="0"/>
        <v>120993.75788910111</v>
      </c>
      <c r="T16" s="222"/>
      <c r="U16" s="222">
        <f t="shared" si="0"/>
        <v>125228.53941521964</v>
      </c>
      <c r="V16" s="222"/>
      <c r="W16" s="222">
        <f t="shared" si="0"/>
        <v>129611.53829475232</v>
      </c>
      <c r="X16" s="222"/>
      <c r="Y16" s="222">
        <f t="shared" si="0"/>
        <v>134147.94213506865</v>
      </c>
      <c r="Z16" s="222"/>
      <c r="AA16" s="222">
        <f t="shared" si="0"/>
        <v>138843.12010979603</v>
      </c>
      <c r="AB16" s="222"/>
      <c r="AC16" s="222">
        <f t="shared" si="0"/>
        <v>143702.62931363887</v>
      </c>
      <c r="AD16" s="222"/>
      <c r="AE16" s="222">
        <f t="shared" si="0"/>
        <v>148732.22133961623</v>
      </c>
      <c r="AF16" s="222"/>
      <c r="AG16" s="222">
        <f t="shared" si="0"/>
        <v>153937.84908650277</v>
      </c>
    </row>
    <row r="17" spans="1:33" s="210" customFormat="1" ht="13.8">
      <c r="A17" s="210" t="s">
        <v>560</v>
      </c>
      <c r="C17" s="233"/>
      <c r="E17" s="222">
        <f>Application!W863</f>
        <v>261600</v>
      </c>
      <c r="F17" s="222"/>
      <c r="G17" s="222">
        <f t="shared" si="0"/>
        <v>270756</v>
      </c>
      <c r="H17" s="222"/>
      <c r="I17" s="222">
        <f t="shared" si="0"/>
        <v>280232.45999999996</v>
      </c>
      <c r="J17" s="222"/>
      <c r="K17" s="222">
        <f t="shared" si="0"/>
        <v>290040.59609999997</v>
      </c>
      <c r="L17" s="222"/>
      <c r="M17" s="222">
        <f t="shared" si="0"/>
        <v>300192.01696349995</v>
      </c>
      <c r="N17" s="222"/>
      <c r="O17" s="222">
        <f t="shared" si="0"/>
        <v>310698.73755722243</v>
      </c>
      <c r="P17" s="222"/>
      <c r="Q17" s="222">
        <f t="shared" si="0"/>
        <v>321573.19337172521</v>
      </c>
      <c r="R17" s="222"/>
      <c r="S17" s="222">
        <f t="shared" si="0"/>
        <v>332828.25513973559</v>
      </c>
      <c r="T17" s="222"/>
      <c r="U17" s="222">
        <f t="shared" si="0"/>
        <v>344477.24406962632</v>
      </c>
      <c r="V17" s="222"/>
      <c r="W17" s="222">
        <f t="shared" si="0"/>
        <v>356533.9476120632</v>
      </c>
      <c r="X17" s="222"/>
      <c r="Y17" s="222">
        <f t="shared" si="0"/>
        <v>369012.63577848539</v>
      </c>
      <c r="Z17" s="222"/>
      <c r="AA17" s="222">
        <f t="shared" si="0"/>
        <v>381928.07803073234</v>
      </c>
      <c r="AB17" s="222"/>
      <c r="AC17" s="222">
        <f t="shared" si="0"/>
        <v>395295.56076180795</v>
      </c>
      <c r="AD17" s="222"/>
      <c r="AE17" s="222">
        <f t="shared" si="0"/>
        <v>409130.9053884712</v>
      </c>
      <c r="AF17" s="222"/>
      <c r="AG17" s="222">
        <f t="shared" si="0"/>
        <v>423450.48707706766</v>
      </c>
    </row>
    <row r="18" spans="1:33" s="210" customFormat="1" ht="13.8">
      <c r="A18" s="210" t="s">
        <v>840</v>
      </c>
      <c r="C18" s="233"/>
      <c r="E18" s="222">
        <f>Application!W870</f>
        <v>203000</v>
      </c>
      <c r="F18" s="222"/>
      <c r="G18" s="222">
        <f t="shared" si="0"/>
        <v>210104.99999999997</v>
      </c>
      <c r="H18" s="222"/>
      <c r="I18" s="222">
        <f t="shared" si="0"/>
        <v>217458.67499999996</v>
      </c>
      <c r="J18" s="222"/>
      <c r="K18" s="222">
        <f t="shared" si="0"/>
        <v>225069.72862499993</v>
      </c>
      <c r="L18" s="222"/>
      <c r="M18" s="222">
        <f t="shared" si="0"/>
        <v>232947.16912687491</v>
      </c>
      <c r="N18" s="222"/>
      <c r="O18" s="222">
        <f t="shared" si="0"/>
        <v>241100.32004631552</v>
      </c>
      <c r="P18" s="222"/>
      <c r="Q18" s="222">
        <f t="shared" si="0"/>
        <v>249538.83124793656</v>
      </c>
      <c r="R18" s="222"/>
      <c r="S18" s="222">
        <f t="shared" si="0"/>
        <v>258272.6903416143</v>
      </c>
      <c r="T18" s="222"/>
      <c r="U18" s="222">
        <f t="shared" si="0"/>
        <v>267312.23450357077</v>
      </c>
      <c r="V18" s="222"/>
      <c r="W18" s="222">
        <f t="shared" si="0"/>
        <v>276668.16271119571</v>
      </c>
      <c r="X18" s="222"/>
      <c r="Y18" s="222">
        <f t="shared" si="0"/>
        <v>286351.54840608756</v>
      </c>
      <c r="Z18" s="222"/>
      <c r="AA18" s="222">
        <f t="shared" si="0"/>
        <v>296373.85260030063</v>
      </c>
      <c r="AB18" s="222"/>
      <c r="AC18" s="222">
        <f t="shared" si="0"/>
        <v>306746.93744131114</v>
      </c>
      <c r="AD18" s="222"/>
      <c r="AE18" s="222">
        <f t="shared" si="0"/>
        <v>317483.080251757</v>
      </c>
      <c r="AF18" s="222"/>
      <c r="AG18" s="222">
        <f t="shared" si="0"/>
        <v>328594.98806056846</v>
      </c>
    </row>
    <row r="19" spans="1:33" s="210" customFormat="1" ht="13.8">
      <c r="A19" s="210" t="s">
        <v>155</v>
      </c>
      <c r="C19" s="233"/>
      <c r="E19" s="222">
        <f>Application!W872</f>
        <v>67500</v>
      </c>
      <c r="F19" s="222"/>
      <c r="G19" s="222">
        <f t="shared" si="0"/>
        <v>69862.5</v>
      </c>
      <c r="H19" s="222"/>
      <c r="I19" s="222">
        <f t="shared" si="0"/>
        <v>72307.6875</v>
      </c>
      <c r="J19" s="222"/>
      <c r="K19" s="222">
        <f t="shared" si="0"/>
        <v>74838.456562499996</v>
      </c>
      <c r="L19" s="222"/>
      <c r="M19" s="222">
        <f t="shared" si="0"/>
        <v>77457.802542187492</v>
      </c>
      <c r="N19" s="222"/>
      <c r="O19" s="222">
        <f t="shared" si="0"/>
        <v>80168.825631164043</v>
      </c>
      <c r="P19" s="222"/>
      <c r="Q19" s="222">
        <f t="shared" si="0"/>
        <v>82974.734528254776</v>
      </c>
      <c r="R19" s="222"/>
      <c r="S19" s="222">
        <f t="shared" si="0"/>
        <v>85878.850236743689</v>
      </c>
      <c r="T19" s="222"/>
      <c r="U19" s="222">
        <f t="shared" si="0"/>
        <v>88884.609995029707</v>
      </c>
      <c r="V19" s="222"/>
      <c r="W19" s="222">
        <f t="shared" si="0"/>
        <v>91995.571344855736</v>
      </c>
      <c r="X19" s="222"/>
      <c r="Y19" s="222">
        <f t="shared" si="0"/>
        <v>95215.41634192568</v>
      </c>
      <c r="Z19" s="222"/>
      <c r="AA19" s="222">
        <f t="shared" si="0"/>
        <v>98547.955913893078</v>
      </c>
      <c r="AB19" s="222"/>
      <c r="AC19" s="222">
        <f t="shared" si="0"/>
        <v>101997.13437087933</v>
      </c>
      <c r="AD19" s="222"/>
      <c r="AE19" s="222">
        <f t="shared" si="0"/>
        <v>105567.03407386009</v>
      </c>
      <c r="AF19" s="222"/>
      <c r="AG19" s="222">
        <f t="shared" si="0"/>
        <v>109261.88026644519</v>
      </c>
    </row>
    <row r="20" spans="1:33" s="210" customFormat="1" ht="13.8">
      <c r="A20" s="210" t="s">
        <v>389</v>
      </c>
      <c r="C20" s="233"/>
      <c r="E20" s="222">
        <f>Application!W881</f>
        <v>367500</v>
      </c>
      <c r="F20" s="222"/>
      <c r="G20" s="222">
        <f t="shared" si="0"/>
        <v>380362.49999999994</v>
      </c>
      <c r="H20" s="222"/>
      <c r="I20" s="222">
        <f t="shared" si="0"/>
        <v>393675.18749999988</v>
      </c>
      <c r="J20" s="222"/>
      <c r="K20" s="222">
        <f t="shared" si="0"/>
        <v>407453.81906249985</v>
      </c>
      <c r="L20" s="222"/>
      <c r="M20" s="222">
        <f t="shared" si="0"/>
        <v>421714.70272968733</v>
      </c>
      <c r="N20" s="222"/>
      <c r="O20" s="222">
        <f t="shared" si="0"/>
        <v>436474.71732522635</v>
      </c>
      <c r="P20" s="222"/>
      <c r="Q20" s="222">
        <f t="shared" si="0"/>
        <v>451751.33243160922</v>
      </c>
      <c r="R20" s="222"/>
      <c r="S20" s="222">
        <f t="shared" si="0"/>
        <v>467562.62906671548</v>
      </c>
      <c r="T20" s="222"/>
      <c r="U20" s="222">
        <f t="shared" si="0"/>
        <v>483927.32108405046</v>
      </c>
      <c r="V20" s="222"/>
      <c r="W20" s="222">
        <f t="shared" si="0"/>
        <v>500864.77732199221</v>
      </c>
      <c r="X20" s="222"/>
      <c r="Y20" s="222">
        <f t="shared" si="0"/>
        <v>518395.04452826187</v>
      </c>
      <c r="Z20" s="222"/>
      <c r="AA20" s="222">
        <f t="shared" si="0"/>
        <v>536538.87108675099</v>
      </c>
      <c r="AB20" s="222"/>
      <c r="AC20" s="222">
        <f t="shared" si="0"/>
        <v>555317.73157478729</v>
      </c>
      <c r="AD20" s="222"/>
      <c r="AE20" s="222">
        <f t="shared" si="0"/>
        <v>574753.85217990482</v>
      </c>
      <c r="AF20" s="222"/>
      <c r="AG20" s="222">
        <f t="shared" si="0"/>
        <v>594870.23700620141</v>
      </c>
    </row>
    <row r="21" spans="1:33" s="210" customFormat="1" ht="13.8">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841</v>
      </c>
      <c r="C22" s="233"/>
      <c r="E22" s="223">
        <f>SUM(E15:E21)</f>
        <v>1018249</v>
      </c>
      <c r="G22" s="223">
        <f>SUM(G15:G21)</f>
        <v>1053887.7149999999</v>
      </c>
      <c r="I22" s="223">
        <f>SUM(I15:I21)</f>
        <v>1090773.7850249996</v>
      </c>
      <c r="K22" s="223">
        <f>SUM(K15:K21)</f>
        <v>1128950.8675008747</v>
      </c>
      <c r="M22" s="223">
        <f>SUM(M15:M21)</f>
        <v>1168464.1478634053</v>
      </c>
      <c r="O22" s="223">
        <f>SUM(O15:O21)</f>
        <v>1209360.3930386244</v>
      </c>
      <c r="Q22" s="223">
        <f>SUM(Q15:Q21)</f>
        <v>1251688.0067949763</v>
      </c>
      <c r="S22" s="223">
        <f>SUM(S15:S21)</f>
        <v>1295497.0870328001</v>
      </c>
      <c r="U22" s="223">
        <f>SUM(U15:U21)</f>
        <v>1340839.4850789481</v>
      </c>
      <c r="W22" s="223">
        <f>SUM(W15:W21)</f>
        <v>1387768.8670567111</v>
      </c>
      <c r="Y22" s="223">
        <f>SUM(Y15:Y21)</f>
        <v>1436340.777403696</v>
      </c>
      <c r="AA22" s="223">
        <f>SUM(AA15:AA21)</f>
        <v>1486612.7046128253</v>
      </c>
      <c r="AC22" s="223">
        <f>SUM(AC15:AC21)</f>
        <v>1538644.149274274</v>
      </c>
      <c r="AE22" s="223">
        <f>SUM(AE15:AE21)</f>
        <v>1592496.6944988738</v>
      </c>
      <c r="AG22" s="223">
        <f>SUM(AG15:AG21)</f>
        <v>1648234.0788063339</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1669</v>
      </c>
      <c r="C24" s="233"/>
      <c r="E24" s="906">
        <v>1</v>
      </c>
      <c r="F24" s="222"/>
      <c r="G24" s="222">
        <v>1</v>
      </c>
      <c r="H24" s="222"/>
      <c r="I24" s="222">
        <v>1</v>
      </c>
      <c r="J24" s="222"/>
      <c r="K24" s="222">
        <v>1</v>
      </c>
      <c r="L24" s="222"/>
      <c r="M24" s="222">
        <v>1</v>
      </c>
      <c r="N24" s="222"/>
      <c r="O24" s="222">
        <v>1</v>
      </c>
      <c r="P24" s="222"/>
      <c r="Q24" s="222">
        <v>1</v>
      </c>
      <c r="R24" s="222"/>
      <c r="S24" s="222">
        <v>1</v>
      </c>
      <c r="T24" s="222"/>
      <c r="U24" s="222">
        <v>1</v>
      </c>
      <c r="V24" s="222"/>
      <c r="W24" s="222">
        <v>1</v>
      </c>
      <c r="X24" s="222"/>
      <c r="Y24" s="222">
        <v>1</v>
      </c>
      <c r="Z24" s="222"/>
      <c r="AA24" s="222">
        <v>1</v>
      </c>
      <c r="AB24" s="222"/>
      <c r="AC24" s="222">
        <v>1</v>
      </c>
      <c r="AD24" s="222"/>
      <c r="AE24" s="222">
        <v>1</v>
      </c>
      <c r="AF24" s="222"/>
      <c r="AG24" s="222">
        <v>1</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843</v>
      </c>
      <c r="C27" s="237">
        <v>1.0349999999999999</v>
      </c>
      <c r="E27" s="222">
        <f>Application!AC897</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3.8">
      <c r="A28" s="210" t="s">
        <v>844</v>
      </c>
      <c r="C28" s="237"/>
      <c r="E28" s="222">
        <f>Application!AC898</f>
        <v>75000</v>
      </c>
      <c r="F28" s="222"/>
      <c r="G28" s="222">
        <f>$E$28</f>
        <v>75000</v>
      </c>
      <c r="H28" s="222"/>
      <c r="I28" s="222">
        <f>$E$28</f>
        <v>75000</v>
      </c>
      <c r="J28" s="222"/>
      <c r="K28" s="222">
        <f>$E$28</f>
        <v>75000</v>
      </c>
      <c r="L28" s="222"/>
      <c r="M28" s="222">
        <f>$E$28</f>
        <v>75000</v>
      </c>
      <c r="N28" s="222"/>
      <c r="O28" s="222">
        <f>$E$28</f>
        <v>75000</v>
      </c>
      <c r="P28" s="222"/>
      <c r="Q28" s="222">
        <f>$E$28</f>
        <v>75000</v>
      </c>
      <c r="R28" s="222"/>
      <c r="S28" s="222">
        <f>$E$28</f>
        <v>75000</v>
      </c>
      <c r="T28" s="222"/>
      <c r="U28" s="222">
        <f>$E$28</f>
        <v>75000</v>
      </c>
      <c r="V28" s="222"/>
      <c r="W28" s="222">
        <f>$E$28</f>
        <v>75000</v>
      </c>
      <c r="X28" s="222"/>
      <c r="Y28" s="222">
        <f>$E$28</f>
        <v>75000</v>
      </c>
      <c r="Z28" s="222"/>
      <c r="AA28" s="222">
        <f>$E$28</f>
        <v>75000</v>
      </c>
      <c r="AB28" s="222"/>
      <c r="AC28" s="222">
        <f>$E$28</f>
        <v>75000</v>
      </c>
      <c r="AD28" s="222"/>
      <c r="AE28" s="222">
        <f>$E$28</f>
        <v>75000</v>
      </c>
      <c r="AF28" s="222"/>
      <c r="AG28" s="222">
        <f>$E$28</f>
        <v>75000</v>
      </c>
    </row>
    <row r="29" spans="1:33" s="210" customFormat="1" ht="13.8">
      <c r="A29" s="210" t="s">
        <v>1667</v>
      </c>
      <c r="C29" s="237"/>
      <c r="E29" s="222">
        <f>Application!AC899</f>
        <v>26500</v>
      </c>
      <c r="F29" s="222"/>
      <c r="G29" s="222">
        <f>$E$29</f>
        <v>26500</v>
      </c>
      <c r="H29" s="222"/>
      <c r="I29" s="222">
        <f>$E$29</f>
        <v>26500</v>
      </c>
      <c r="J29" s="222"/>
      <c r="K29" s="222">
        <f>$E$29</f>
        <v>26500</v>
      </c>
      <c r="L29" s="222"/>
      <c r="M29" s="222">
        <f>$E$29</f>
        <v>26500</v>
      </c>
      <c r="N29" s="222"/>
      <c r="O29" s="222">
        <f>$E$29</f>
        <v>26500</v>
      </c>
      <c r="P29" s="222"/>
      <c r="Q29" s="222">
        <f>$E$29</f>
        <v>26500</v>
      </c>
      <c r="R29" s="222"/>
      <c r="S29" s="222">
        <f>$E$29</f>
        <v>26500</v>
      </c>
      <c r="T29" s="222"/>
      <c r="U29" s="222">
        <f>$E$29</f>
        <v>26500</v>
      </c>
      <c r="V29" s="222"/>
      <c r="W29" s="222">
        <f>$E$29</f>
        <v>26500</v>
      </c>
      <c r="X29" s="222"/>
      <c r="Y29" s="222">
        <f>$E$29</f>
        <v>26500</v>
      </c>
      <c r="Z29" s="222"/>
      <c r="AA29" s="222">
        <f>$E$29</f>
        <v>26500</v>
      </c>
      <c r="AB29" s="222"/>
      <c r="AC29" s="222">
        <f>$E$29</f>
        <v>26500</v>
      </c>
      <c r="AD29" s="222"/>
      <c r="AE29" s="222">
        <f>$E$29</f>
        <v>26500</v>
      </c>
      <c r="AF29" s="222"/>
      <c r="AG29" s="222">
        <f>$E$29</f>
        <v>26500</v>
      </c>
    </row>
    <row r="30" spans="1:33" s="210" customFormat="1" ht="13.8">
      <c r="A30" s="210" t="s">
        <v>842</v>
      </c>
      <c r="C30" s="237">
        <v>1.02</v>
      </c>
      <c r="E30" s="222">
        <f>Application!AC900</f>
        <v>13750</v>
      </c>
      <c r="F30" s="222"/>
      <c r="G30" s="222">
        <f>E30*$C$30</f>
        <v>14025</v>
      </c>
      <c r="H30" s="222"/>
      <c r="I30" s="222">
        <f>G30*$C$30</f>
        <v>14305.5</v>
      </c>
      <c r="J30" s="222"/>
      <c r="K30" s="222">
        <f>I30*$C$30</f>
        <v>14591.61</v>
      </c>
      <c r="L30" s="222"/>
      <c r="M30" s="222">
        <f>K30*$C$30</f>
        <v>14883.442200000001</v>
      </c>
      <c r="N30" s="222"/>
      <c r="O30" s="222">
        <f>M30*$C$30</f>
        <v>15181.111044000001</v>
      </c>
      <c r="P30" s="222"/>
      <c r="Q30" s="222">
        <f>O30*$C$30</f>
        <v>15484.733264880002</v>
      </c>
      <c r="R30" s="222"/>
      <c r="S30" s="222">
        <f>Q30*$C$30</f>
        <v>15794.427930177602</v>
      </c>
      <c r="T30" s="222"/>
      <c r="U30" s="222">
        <f>S30*$C$30</f>
        <v>16110.316488781154</v>
      </c>
      <c r="V30" s="222"/>
      <c r="W30" s="222">
        <f>U30*$C$30</f>
        <v>16432.522818556779</v>
      </c>
      <c r="X30" s="222"/>
      <c r="Y30" s="222">
        <f>W30*$C$30</f>
        <v>16761.173274927914</v>
      </c>
      <c r="Z30" s="222"/>
      <c r="AA30" s="222">
        <f>Y30*$C$30</f>
        <v>17096.396740426473</v>
      </c>
      <c r="AB30" s="222"/>
      <c r="AC30" s="222">
        <f>AA30*$C$30</f>
        <v>17438.324675235002</v>
      </c>
      <c r="AD30" s="222"/>
      <c r="AE30" s="222">
        <f>AC30*$C$30</f>
        <v>17787.091168739702</v>
      </c>
      <c r="AF30" s="222"/>
      <c r="AG30" s="222">
        <f>AE30*$C$30</f>
        <v>18142.832992114498</v>
      </c>
    </row>
    <row r="31" spans="1:33" s="210" customFormat="1" ht="13.8">
      <c r="A31" s="210" t="s">
        <v>1668</v>
      </c>
      <c r="C31" s="237">
        <v>1.02</v>
      </c>
      <c r="E31" s="222">
        <f>Application!AC902</f>
        <v>146000</v>
      </c>
      <c r="F31" s="222"/>
      <c r="G31" s="222">
        <f>E31*$C$31</f>
        <v>148920</v>
      </c>
      <c r="H31" s="222"/>
      <c r="I31" s="222">
        <f>G31*$C$31</f>
        <v>151898.4</v>
      </c>
      <c r="J31" s="222"/>
      <c r="K31" s="222">
        <f>I31*$C$31</f>
        <v>154936.36799999999</v>
      </c>
      <c r="L31" s="222"/>
      <c r="M31" s="222">
        <f>K31*$C$31</f>
        <v>158035.09535999998</v>
      </c>
      <c r="N31" s="222"/>
      <c r="O31" s="222">
        <f>M31*$C$31</f>
        <v>161195.79726719999</v>
      </c>
      <c r="P31" s="222"/>
      <c r="Q31" s="222">
        <f>O31*$C$31</f>
        <v>164419.71321254398</v>
      </c>
      <c r="R31" s="222"/>
      <c r="S31" s="222">
        <f>Q31*$C$31</f>
        <v>167708.10747679486</v>
      </c>
      <c r="T31" s="222"/>
      <c r="U31" s="222">
        <f>S31*$C$31</f>
        <v>171062.26962633076</v>
      </c>
      <c r="V31" s="222"/>
      <c r="W31" s="222">
        <f>U31*$C$31</f>
        <v>174483.51501885738</v>
      </c>
      <c r="X31" s="222"/>
      <c r="Y31" s="222">
        <f>W31*$C$31</f>
        <v>177973.18531923453</v>
      </c>
      <c r="Z31" s="222"/>
      <c r="AA31" s="222">
        <f>Y31*$C$31</f>
        <v>181532.64902561923</v>
      </c>
      <c r="AB31" s="222"/>
      <c r="AC31" s="222">
        <f>AA31*$C$31</f>
        <v>185163.30200613162</v>
      </c>
      <c r="AD31" s="222"/>
      <c r="AE31" s="222">
        <f>AC31*$C$31</f>
        <v>188866.56804625425</v>
      </c>
      <c r="AF31" s="222"/>
      <c r="AG31" s="222">
        <f>AE31*$C$31</f>
        <v>192643.89940717933</v>
      </c>
    </row>
    <row r="32" spans="1:33" s="210" customFormat="1" ht="13.8">
      <c r="A32" s="210" t="str">
        <f>Application!C903</f>
        <v>Annual Issuer Fees:</v>
      </c>
      <c r="C32" s="316">
        <v>1</v>
      </c>
      <c r="E32" s="222">
        <f>Application!AC903</f>
        <v>5500</v>
      </c>
      <c r="F32" s="222"/>
      <c r="G32" s="222">
        <f>E32*$C$32</f>
        <v>5500</v>
      </c>
      <c r="H32" s="222"/>
      <c r="I32" s="222">
        <f>G32*$C$32</f>
        <v>5500</v>
      </c>
      <c r="J32" s="222"/>
      <c r="K32" s="222">
        <f>I32*$C$32</f>
        <v>5500</v>
      </c>
      <c r="L32" s="222"/>
      <c r="M32" s="222">
        <f>K32*$C$32</f>
        <v>5500</v>
      </c>
      <c r="N32" s="222"/>
      <c r="O32" s="222">
        <f>M32*$C$32</f>
        <v>5500</v>
      </c>
      <c r="P32" s="222"/>
      <c r="Q32" s="222">
        <f>O32*$C$32</f>
        <v>5500</v>
      </c>
      <c r="R32" s="222"/>
      <c r="S32" s="222">
        <f>Q32*$C$32</f>
        <v>5500</v>
      </c>
      <c r="T32" s="222"/>
      <c r="U32" s="222">
        <f>S32*$C$32</f>
        <v>5500</v>
      </c>
      <c r="V32" s="222"/>
      <c r="W32" s="222">
        <f>U32*$C$32</f>
        <v>5500</v>
      </c>
      <c r="X32" s="222"/>
      <c r="Y32" s="222">
        <f>W32*$C$32</f>
        <v>5500</v>
      </c>
      <c r="Z32" s="222"/>
      <c r="AA32" s="222">
        <f>Y32*$C$32</f>
        <v>5500</v>
      </c>
      <c r="AB32" s="222"/>
      <c r="AC32" s="222">
        <f>AA32*$C$32</f>
        <v>5500</v>
      </c>
      <c r="AD32" s="222"/>
      <c r="AE32" s="222">
        <f>AC32*$C$32</f>
        <v>5500</v>
      </c>
      <c r="AF32" s="222"/>
      <c r="AG32" s="222">
        <f>AE32*$C$32</f>
        <v>5500</v>
      </c>
    </row>
    <row r="33" spans="1:33" s="210" customFormat="1" ht="13.8">
      <c r="A33" s="210" t="s">
        <v>954</v>
      </c>
      <c r="C33" s="316">
        <v>1.0349999999999999</v>
      </c>
      <c r="E33" s="222">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1305000</v>
      </c>
      <c r="G35" s="223">
        <f>SUM(G22:G33)</f>
        <v>1344533.7149999999</v>
      </c>
      <c r="I35" s="223">
        <f>SUM(I22:I33)</f>
        <v>1385403.1850249995</v>
      </c>
      <c r="K35" s="223">
        <f>SUM(K22:K33)</f>
        <v>1427654.2030008747</v>
      </c>
      <c r="M35" s="223">
        <f>SUM(M22:M33)</f>
        <v>1471334.1454359051</v>
      </c>
      <c r="O35" s="223">
        <f>SUM(O22:O33)</f>
        <v>1516492.0274627618</v>
      </c>
      <c r="Q35" s="223">
        <f>SUM(Q22:Q33)</f>
        <v>1563178.5597992907</v>
      </c>
      <c r="S35" s="223">
        <f>SUM(S22:S33)</f>
        <v>1611446.2076951039</v>
      </c>
      <c r="U35" s="223">
        <f>SUM(U22:U33)</f>
        <v>1661349.2519333281</v>
      </c>
      <c r="W35" s="223">
        <f>SUM(W22:W33)</f>
        <v>1712943.8519592676</v>
      </c>
      <c r="Y35" s="223">
        <f>SUM(Y22:Y33)</f>
        <v>1766288.111210281</v>
      </c>
      <c r="AA35" s="223">
        <f>SUM(AA22:AA33)</f>
        <v>1821442.1447237283</v>
      </c>
      <c r="AC35" s="223">
        <f>SUM(AC22:AC33)</f>
        <v>1878468.1491025677</v>
      </c>
      <c r="AE35" s="223">
        <f>SUM(AE22:AE33)</f>
        <v>1937430.4749209373</v>
      </c>
      <c r="AG35" s="223">
        <f>SUM(AG22:AG33)</f>
        <v>1998395.701654945</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845</v>
      </c>
      <c r="C37" s="224"/>
      <c r="E37" s="223">
        <f>E11-E35</f>
        <v>1095748.7999999998</v>
      </c>
      <c r="G37" s="223">
        <f>G11-G35</f>
        <v>1116233.8049999997</v>
      </c>
      <c r="I37" s="223">
        <f>I11-I35</f>
        <v>1136883.5229749996</v>
      </c>
      <c r="K37" s="223">
        <f>K11-K35</f>
        <v>1157689.6726991241</v>
      </c>
      <c r="M37" s="223">
        <f>M11-M35</f>
        <v>1178643.3271565936</v>
      </c>
      <c r="O37" s="223">
        <f>O11-O35</f>
        <v>1199734.8819445488</v>
      </c>
      <c r="Q37" s="223">
        <f>Q11-Q35</f>
        <v>1220954.0223432025</v>
      </c>
      <c r="S37" s="223">
        <f>S11-S35</f>
        <v>1242289.6890009509</v>
      </c>
      <c r="U37" s="223">
        <f>U11-U35</f>
        <v>1263730.0421801282</v>
      </c>
      <c r="W37" s="223">
        <f>W11-W35</f>
        <v>1285262.4245070247</v>
      </c>
      <c r="Y37" s="223">
        <f>Y11-Y35</f>
        <v>1306873.3221676685</v>
      </c>
      <c r="AA37" s="223">
        <f>AA11-AA35</f>
        <v>1328548.3244886696</v>
      </c>
      <c r="AC37" s="223">
        <f>AC11-AC35</f>
        <v>1350272.0818401398</v>
      </c>
      <c r="AE37" s="223">
        <f>AE11-AE35</f>
        <v>1372028.2617953378</v>
      </c>
      <c r="AG37" s="223">
        <f>AG11-AG35</f>
        <v>1393799.5034792363</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Citibank, N.A.</v>
      </c>
      <c r="B40" s="226"/>
      <c r="C40" s="220"/>
      <c r="E40" s="222">
        <f>Application!AF635</f>
        <v>726288</v>
      </c>
      <c r="F40" s="222"/>
      <c r="G40" s="222">
        <f>$E$40</f>
        <v>726288</v>
      </c>
      <c r="H40" s="222"/>
      <c r="I40" s="222">
        <f>$E$40</f>
        <v>726288</v>
      </c>
      <c r="J40" s="222"/>
      <c r="K40" s="222">
        <f>$E$40</f>
        <v>726288</v>
      </c>
      <c r="L40" s="222"/>
      <c r="M40" s="222">
        <f>$E$40</f>
        <v>726288</v>
      </c>
      <c r="N40" s="222"/>
      <c r="O40" s="222">
        <f>$E$40</f>
        <v>726288</v>
      </c>
      <c r="P40" s="222"/>
      <c r="Q40" s="222">
        <f>$E$40</f>
        <v>726288</v>
      </c>
      <c r="R40" s="222"/>
      <c r="S40" s="222">
        <f>$E$40</f>
        <v>726288</v>
      </c>
      <c r="T40" s="222"/>
      <c r="U40" s="222">
        <f>$E$40</f>
        <v>726288</v>
      </c>
      <c r="V40" s="222"/>
      <c r="W40" s="222">
        <f>$E$40</f>
        <v>726288</v>
      </c>
      <c r="X40" s="222"/>
      <c r="Y40" s="222">
        <f>$E$40</f>
        <v>726288</v>
      </c>
      <c r="Z40" s="222"/>
      <c r="AA40" s="222">
        <f>$E$40</f>
        <v>726288</v>
      </c>
      <c r="AB40" s="222"/>
      <c r="AC40" s="222">
        <f>$E$40</f>
        <v>726288</v>
      </c>
      <c r="AD40" s="222"/>
      <c r="AE40" s="222">
        <f>$E$40</f>
        <v>726288</v>
      </c>
      <c r="AF40" s="222"/>
      <c r="AG40" s="222">
        <f>$E$40</f>
        <v>726288</v>
      </c>
    </row>
    <row r="41" spans="1:33" s="210" customFormat="1" ht="13.8">
      <c r="A41" s="225" t="s">
        <v>2798</v>
      </c>
      <c r="B41" s="226"/>
      <c r="C41" s="220"/>
      <c r="E41" s="222">
        <v>94476</v>
      </c>
      <c r="F41" s="222"/>
      <c r="G41" s="222">
        <f>$E$41</f>
        <v>94476</v>
      </c>
      <c r="H41" s="222"/>
      <c r="I41" s="222">
        <f>$E$41</f>
        <v>94476</v>
      </c>
      <c r="J41" s="222"/>
      <c r="K41" s="222">
        <f>$E$41</f>
        <v>94476</v>
      </c>
      <c r="L41" s="222"/>
      <c r="M41" s="222">
        <f>$E$41</f>
        <v>94476</v>
      </c>
      <c r="N41" s="222"/>
      <c r="O41" s="222">
        <f>$E$41</f>
        <v>94476</v>
      </c>
      <c r="P41" s="222"/>
      <c r="Q41" s="222">
        <f>$E$41</f>
        <v>94476</v>
      </c>
      <c r="R41" s="222"/>
      <c r="S41" s="222">
        <f>$E$41</f>
        <v>94476</v>
      </c>
      <c r="T41" s="222"/>
      <c r="U41" s="222">
        <f>$E$41</f>
        <v>94476</v>
      </c>
      <c r="V41" s="222"/>
      <c r="W41" s="222">
        <f>$E$41</f>
        <v>94476</v>
      </c>
      <c r="X41" s="222"/>
      <c r="Y41" s="222">
        <f>$E$41</f>
        <v>94476</v>
      </c>
      <c r="Z41" s="222"/>
      <c r="AA41" s="222">
        <f>$E$41</f>
        <v>94476</v>
      </c>
      <c r="AB41" s="222"/>
      <c r="AC41" s="222">
        <f>$E$41</f>
        <v>94476</v>
      </c>
      <c r="AD41" s="222"/>
      <c r="AE41" s="222">
        <f>$E$41</f>
        <v>94476</v>
      </c>
      <c r="AF41" s="222"/>
      <c r="AG41" s="222">
        <f>$E$41</f>
        <v>94476</v>
      </c>
    </row>
    <row r="42" spans="1:33" s="210" customFormat="1" ht="13.8">
      <c r="A42" s="225" t="s">
        <v>2788</v>
      </c>
      <c r="B42" s="226"/>
      <c r="C42" s="220"/>
      <c r="E42" s="232">
        <v>116815</v>
      </c>
      <c r="F42" s="222"/>
      <c r="G42" s="232">
        <v>116815</v>
      </c>
      <c r="H42" s="222"/>
      <c r="I42" s="232">
        <v>116815</v>
      </c>
      <c r="J42" s="222"/>
      <c r="K42" s="232">
        <v>116815</v>
      </c>
      <c r="L42" s="222"/>
      <c r="M42" s="232">
        <v>116815</v>
      </c>
      <c r="N42" s="222"/>
      <c r="O42" s="232">
        <v>116815</v>
      </c>
      <c r="P42" s="222"/>
      <c r="Q42" s="232">
        <v>116815</v>
      </c>
      <c r="R42" s="222"/>
      <c r="S42" s="232">
        <v>116815</v>
      </c>
      <c r="T42" s="222"/>
      <c r="U42" s="232">
        <v>116815</v>
      </c>
      <c r="V42" s="222"/>
      <c r="W42" s="232">
        <v>116815</v>
      </c>
      <c r="X42" s="222"/>
      <c r="Y42" s="232">
        <v>116815</v>
      </c>
      <c r="Z42" s="222"/>
      <c r="AA42" s="232">
        <v>116815</v>
      </c>
      <c r="AB42" s="222"/>
      <c r="AC42" s="232">
        <v>116815</v>
      </c>
      <c r="AD42" s="222"/>
      <c r="AE42" s="232">
        <v>116815</v>
      </c>
      <c r="AF42" s="222"/>
      <c r="AG42" s="232">
        <v>116815</v>
      </c>
    </row>
    <row r="43" spans="1:33" s="223" customFormat="1" ht="13.8">
      <c r="A43" s="223" t="s">
        <v>846</v>
      </c>
      <c r="C43" s="224"/>
      <c r="E43" s="223">
        <f>SUM(E40:E42)</f>
        <v>937579</v>
      </c>
      <c r="G43" s="223">
        <f>SUM(G40:G42)</f>
        <v>937579</v>
      </c>
      <c r="I43" s="223">
        <f>SUM(I40:I42)</f>
        <v>937579</v>
      </c>
      <c r="K43" s="223">
        <f>SUM(K40:K42)</f>
        <v>937579</v>
      </c>
      <c r="M43" s="223">
        <f>SUM(M40:M42)</f>
        <v>937579</v>
      </c>
      <c r="O43" s="223">
        <f>SUM(O40:O42)</f>
        <v>937579</v>
      </c>
      <c r="Q43" s="223">
        <f>SUM(Q40:Q42)</f>
        <v>937579</v>
      </c>
      <c r="S43" s="223">
        <f>SUM(S40:S42)</f>
        <v>937579</v>
      </c>
      <c r="U43" s="223">
        <f>SUM(U40:U42)</f>
        <v>937579</v>
      </c>
      <c r="W43" s="223">
        <f>SUM(W40:W42)</f>
        <v>937579</v>
      </c>
      <c r="Y43" s="223">
        <f>SUM(Y40:Y42)</f>
        <v>937579</v>
      </c>
      <c r="AA43" s="223">
        <f>SUM(AA40:AA42)</f>
        <v>937579</v>
      </c>
      <c r="AC43" s="223">
        <f>SUM(AC40:AC42)</f>
        <v>937579</v>
      </c>
      <c r="AE43" s="223">
        <f>SUM(AE40:AE42)</f>
        <v>937579</v>
      </c>
      <c r="AG43" s="223">
        <f>SUM(AG40:AG42)</f>
        <v>937579</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847</v>
      </c>
      <c r="C45" s="224"/>
      <c r="E45" s="223">
        <f>E37-E43</f>
        <v>158169.79999999981</v>
      </c>
      <c r="G45" s="223">
        <f>G37-G43</f>
        <v>178654.8049999997</v>
      </c>
      <c r="I45" s="223">
        <f>I37-I43</f>
        <v>199304.52297499962</v>
      </c>
      <c r="K45" s="223">
        <f>K37-K43</f>
        <v>220110.67269912409</v>
      </c>
      <c r="M45" s="223">
        <f>M37-M43</f>
        <v>241064.32715659356</v>
      </c>
      <c r="O45" s="223">
        <f>O37-O43</f>
        <v>262155.8819445488</v>
      </c>
      <c r="Q45" s="223">
        <f>Q37-Q43</f>
        <v>283375.02234320249</v>
      </c>
      <c r="S45" s="223">
        <f>S37-S43</f>
        <v>304710.68900095089</v>
      </c>
      <c r="U45" s="223">
        <f>U37-U43</f>
        <v>326151.04218012816</v>
      </c>
      <c r="W45" s="223">
        <f>W37-W43</f>
        <v>347683.4245070247</v>
      </c>
      <c r="Y45" s="223">
        <f>Y37-Y43</f>
        <v>369294.32216766849</v>
      </c>
      <c r="AA45" s="223">
        <f>AA37-AA43</f>
        <v>390969.32448866963</v>
      </c>
      <c r="AC45" s="223">
        <f>AC37-AC43</f>
        <v>412693.08184013981</v>
      </c>
      <c r="AE45" s="223">
        <f>AE37-AE43</f>
        <v>434449.26179533778</v>
      </c>
      <c r="AG45" s="223">
        <f>AG37-AG43</f>
        <v>456220.50347923627</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849</v>
      </c>
      <c r="C47" s="220"/>
      <c r="E47" s="227">
        <f>E45/(E4+E6+E8)</f>
        <v>6.2589351289064399E-2</v>
      </c>
      <c r="G47" s="227">
        <f>G45/(G4+G6+G8)</f>
        <v>6.897119023661355E-2</v>
      </c>
      <c r="I47" s="227">
        <f>I45/(I4+I6+I8)</f>
        <v>7.5066524446137511E-2</v>
      </c>
      <c r="K47" s="227">
        <f>K45/(K4+K6+K8)</f>
        <v>8.0880977199813034E-2</v>
      </c>
      <c r="M47" s="227">
        <f>M45/(M4+M6+M8)</f>
        <v>8.6420021742569797E-2</v>
      </c>
      <c r="O47" s="227">
        <f>O45/(O4+O6+O8)</f>
        <v>9.1688984813740923E-2</v>
      </c>
      <c r="Q47" s="227">
        <f>Q45/(Q4+Q6+Q8)</f>
        <v>9.6693050091342339E-2</v>
      </c>
      <c r="S47" s="227">
        <f>S45/(S4+S6+S8)</f>
        <v>0.10143726155109395</v>
      </c>
      <c r="U47" s="227">
        <f>U45/(U4+U6+U8)</f>
        <v>0.10592652674225375</v>
      </c>
      <c r="W47" s="227">
        <f>W45/(W4+W6+W8)</f>
        <v>0.11016561998228039</v>
      </c>
      <c r="Y47" s="227">
        <f>Y45/(Y4+Y6+Y8)</f>
        <v>0.11415918547229102</v>
      </c>
      <c r="AA47" s="227">
        <f>AA45/(AA4+AA6+AA8)</f>
        <v>0.11791174033523462</v>
      </c>
      <c r="AC47" s="227">
        <f>AC45/(AC4+AC6+AC8)</f>
        <v>0.12142767757865179</v>
      </c>
      <c r="AE47" s="227">
        <f>AE45/(AE4+AE6+AE8)</f>
        <v>0.12471126898384852</v>
      </c>
      <c r="AG47" s="227">
        <f>AG45/(AG4+AG6+AG8)</f>
        <v>0.1277666679232661</v>
      </c>
    </row>
    <row r="48" spans="1:33" s="227" customFormat="1" ht="13.8">
      <c r="A48" s="227" t="s">
        <v>850</v>
      </c>
      <c r="C48" s="220"/>
      <c r="E48" s="227">
        <f>E45/E43</f>
        <v>0.16870023752665089</v>
      </c>
      <c r="G48" s="227">
        <f>G45/G43</f>
        <v>0.19054906839850264</v>
      </c>
      <c r="I48" s="227">
        <f>I45/I43</f>
        <v>0.21257357830646764</v>
      </c>
      <c r="K48" s="227">
        <f>K45/K43</f>
        <v>0.23476493468723605</v>
      </c>
      <c r="M48" s="227">
        <f>M45/M43</f>
        <v>0.25711361619297529</v>
      </c>
      <c r="O48" s="227">
        <f>O45/O43</f>
        <v>0.2796093789905158</v>
      </c>
      <c r="Q48" s="227">
        <f>Q45/Q43</f>
        <v>0.30224122163913919</v>
      </c>
      <c r="S48" s="227">
        <f>S45/S43</f>
        <v>0.32499734849111478</v>
      </c>
      <c r="U48" s="227">
        <f>U45/U43</f>
        <v>0.34786513155705084</v>
      </c>
      <c r="W48" s="227">
        <f>W45/W43</f>
        <v>0.37083107077592897</v>
      </c>
      <c r="Y48" s="227">
        <f>Y45/Y43</f>
        <v>0.393880752627425</v>
      </c>
      <c r="AA48" s="227">
        <f>AA45/AA43</f>
        <v>0.41699880702177589</v>
      </c>
      <c r="AC48" s="227">
        <f>AC45/AC43</f>
        <v>0.44016886240001091</v>
      </c>
      <c r="AE48" s="227">
        <f>AE45/AE43</f>
        <v>0.4633734989748467</v>
      </c>
      <c r="AG48" s="227">
        <f>AG45/AG43</f>
        <v>0.48659420003992865</v>
      </c>
    </row>
    <row r="49" spans="1:34" s="228" customFormat="1" ht="13.8">
      <c r="A49" s="228" t="s">
        <v>848</v>
      </c>
      <c r="C49" s="229"/>
      <c r="E49" s="228">
        <f>E37/E43</f>
        <v>1.1687002375266509</v>
      </c>
      <c r="G49" s="228">
        <f>G37/G43</f>
        <v>1.1905490683985027</v>
      </c>
      <c r="I49" s="228">
        <f>I37/I43</f>
        <v>1.2125735783064677</v>
      </c>
      <c r="K49" s="228">
        <f>K37/K43</f>
        <v>1.234764934687236</v>
      </c>
      <c r="M49" s="228">
        <f>M37/M43</f>
        <v>1.2571136161929752</v>
      </c>
      <c r="O49" s="228">
        <f>O37/O43</f>
        <v>1.2796093789905159</v>
      </c>
      <c r="Q49" s="228">
        <f>Q37/Q43</f>
        <v>1.3022412216391392</v>
      </c>
      <c r="S49" s="228">
        <f>S37/S43</f>
        <v>1.3249973484911148</v>
      </c>
      <c r="U49" s="228">
        <f>U37/U43</f>
        <v>1.3478651315570509</v>
      </c>
      <c r="W49" s="228">
        <f>W37/W43</f>
        <v>1.370831070775929</v>
      </c>
      <c r="Y49" s="228">
        <f>Y37/Y43</f>
        <v>1.3938807526274251</v>
      </c>
      <c r="AA49" s="228">
        <f>AA37/AA43</f>
        <v>1.4169988070217758</v>
      </c>
      <c r="AC49" s="228">
        <f>AC37/AC43</f>
        <v>1.4401688624000109</v>
      </c>
      <c r="AE49" s="228">
        <f>AE37/AE43</f>
        <v>1.4633734989748466</v>
      </c>
      <c r="AG49" s="228">
        <f>AG37/AG43</f>
        <v>1.4865942000399286</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2743</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v>
      </c>
      <c r="E53" s="960">
        <v>15000</v>
      </c>
      <c r="G53" s="956">
        <f>E53*$C$53</f>
        <v>15000</v>
      </c>
      <c r="I53" s="956">
        <f>G53*$C$53</f>
        <v>15000</v>
      </c>
      <c r="K53" s="956">
        <f>I53*$C$53</f>
        <v>15000</v>
      </c>
      <c r="M53" s="956">
        <f>K53*$C$53</f>
        <v>15000</v>
      </c>
      <c r="O53" s="956">
        <f>M53*$C$53</f>
        <v>15000</v>
      </c>
      <c r="Q53" s="956">
        <f>O53*$C$53</f>
        <v>15000</v>
      </c>
      <c r="S53" s="956">
        <f>Q53*$C$53</f>
        <v>15000</v>
      </c>
      <c r="U53" s="956">
        <f>S53*$C$53</f>
        <v>15000</v>
      </c>
      <c r="W53" s="956">
        <f>U53*$C$53</f>
        <v>15000</v>
      </c>
      <c r="Y53" s="956">
        <f>W53*$C$53</f>
        <v>15000</v>
      </c>
      <c r="AA53" s="956">
        <f>Y53*$C$53</f>
        <v>15000</v>
      </c>
      <c r="AC53" s="956">
        <f>AA53*$C$53</f>
        <v>15000</v>
      </c>
      <c r="AE53" s="956">
        <f>AC53*$C$53</f>
        <v>15000</v>
      </c>
      <c r="AG53" s="956">
        <f>AE53*$C$53</f>
        <v>15000</v>
      </c>
    </row>
    <row r="54" spans="1:34" s="3" customFormat="1">
      <c r="A54" s="3" t="s">
        <v>853</v>
      </c>
      <c r="C54" s="954"/>
      <c r="E54" s="961">
        <v>7500</v>
      </c>
      <c r="F54" s="956"/>
      <c r="G54" s="956">
        <f t="shared" ref="G54:AG54" si="1">E54*$C$53</f>
        <v>7500</v>
      </c>
      <c r="H54" s="956"/>
      <c r="I54" s="956">
        <f t="shared" si="1"/>
        <v>7500</v>
      </c>
      <c r="J54" s="956"/>
      <c r="K54" s="956">
        <f t="shared" si="1"/>
        <v>7500</v>
      </c>
      <c r="L54" s="956"/>
      <c r="M54" s="956">
        <f t="shared" si="1"/>
        <v>7500</v>
      </c>
      <c r="N54" s="956"/>
      <c r="O54" s="956">
        <f t="shared" si="1"/>
        <v>7500</v>
      </c>
      <c r="P54" s="956"/>
      <c r="Q54" s="956">
        <f t="shared" si="1"/>
        <v>7500</v>
      </c>
      <c r="R54" s="956"/>
      <c r="S54" s="956">
        <f t="shared" si="1"/>
        <v>7500</v>
      </c>
      <c r="T54" s="956"/>
      <c r="U54" s="956">
        <f t="shared" si="1"/>
        <v>7500</v>
      </c>
      <c r="V54" s="956"/>
      <c r="W54" s="956">
        <f t="shared" si="1"/>
        <v>7500</v>
      </c>
      <c r="X54" s="956"/>
      <c r="Y54" s="956">
        <f t="shared" si="1"/>
        <v>7500</v>
      </c>
      <c r="Z54" s="956"/>
      <c r="AA54" s="956">
        <f t="shared" si="1"/>
        <v>7500</v>
      </c>
      <c r="AB54" s="956"/>
      <c r="AC54" s="956">
        <f t="shared" si="1"/>
        <v>7500</v>
      </c>
      <c r="AD54" s="956"/>
      <c r="AE54" s="956">
        <f t="shared" si="1"/>
        <v>7500</v>
      </c>
      <c r="AF54" s="956"/>
      <c r="AG54" s="956">
        <f t="shared" si="1"/>
        <v>7500</v>
      </c>
      <c r="AH54" s="956"/>
    </row>
    <row r="55" spans="1:34" s="3" customFormat="1">
      <c r="A55" s="3" t="s">
        <v>854</v>
      </c>
      <c r="C55" s="954"/>
      <c r="E55" s="961"/>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row>
    <row r="56" spans="1:34" s="3" customFormat="1">
      <c r="A56" s="962"/>
      <c r="B56" s="962"/>
      <c r="C56" s="954"/>
      <c r="E56" s="961"/>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row>
    <row r="57" spans="1:34" s="3" customFormat="1">
      <c r="A57" s="962"/>
      <c r="B57" s="962"/>
      <c r="C57" s="954"/>
      <c r="E57" s="963"/>
      <c r="F57" s="956"/>
      <c r="G57" s="964"/>
      <c r="H57" s="956"/>
      <c r="I57" s="964"/>
      <c r="J57" s="956"/>
      <c r="K57" s="964"/>
      <c r="L57" s="956"/>
      <c r="M57" s="964"/>
      <c r="N57" s="956"/>
      <c r="O57" s="964"/>
      <c r="P57" s="956"/>
      <c r="Q57" s="964"/>
      <c r="R57" s="956"/>
      <c r="S57" s="964"/>
      <c r="T57" s="956"/>
      <c r="U57" s="964"/>
      <c r="V57" s="956"/>
      <c r="W57" s="964"/>
      <c r="X57" s="956"/>
      <c r="Y57" s="964"/>
      <c r="Z57" s="956"/>
      <c r="AA57" s="964"/>
      <c r="AB57" s="956"/>
      <c r="AC57" s="964"/>
      <c r="AD57" s="956"/>
      <c r="AE57" s="964"/>
      <c r="AF57" s="956"/>
      <c r="AG57" s="964"/>
      <c r="AH57" s="956"/>
    </row>
    <row r="58" spans="1:34" s="3" customFormat="1">
      <c r="A58" s="958" t="s">
        <v>851</v>
      </c>
      <c r="C58" s="957"/>
      <c r="E58" s="956">
        <f>SUM(E53:E57)</f>
        <v>22500</v>
      </c>
      <c r="F58" s="956"/>
      <c r="G58" s="956">
        <f>SUM(G53:G57)</f>
        <v>22500</v>
      </c>
      <c r="H58" s="956"/>
      <c r="I58" s="956">
        <f>SUM(I53:I57)</f>
        <v>22500</v>
      </c>
      <c r="J58" s="956"/>
      <c r="K58" s="956">
        <f>SUM(K53:K57)</f>
        <v>22500</v>
      </c>
      <c r="L58" s="956"/>
      <c r="M58" s="956">
        <f>SUM(M53:M57)</f>
        <v>22500</v>
      </c>
      <c r="N58" s="956"/>
      <c r="O58" s="956">
        <f>SUM(O53:O57)</f>
        <v>22500</v>
      </c>
      <c r="P58" s="956"/>
      <c r="Q58" s="956">
        <f>SUM(Q53:Q57)</f>
        <v>22500</v>
      </c>
      <c r="R58" s="956"/>
      <c r="S58" s="956">
        <f>SUM(S53:S57)</f>
        <v>22500</v>
      </c>
      <c r="T58" s="956"/>
      <c r="U58" s="956">
        <f>SUM(U53:U57)</f>
        <v>22500</v>
      </c>
      <c r="V58" s="956"/>
      <c r="W58" s="956">
        <f>SUM(W53:W57)</f>
        <v>22500</v>
      </c>
      <c r="X58" s="956"/>
      <c r="Y58" s="956">
        <f>SUM(Y53:Y57)</f>
        <v>22500</v>
      </c>
      <c r="Z58" s="956"/>
      <c r="AA58" s="956">
        <f>SUM(AA53:AA57)</f>
        <v>22500</v>
      </c>
      <c r="AB58" s="956"/>
      <c r="AC58" s="956">
        <f>SUM(AC53:AC57)</f>
        <v>22500</v>
      </c>
      <c r="AD58" s="956"/>
      <c r="AE58" s="956">
        <f>SUM(AE53:AE57)</f>
        <v>22500</v>
      </c>
      <c r="AF58" s="956"/>
      <c r="AG58" s="956">
        <f>SUM(AG53:AG57)</f>
        <v>22500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135669.79999999981</v>
      </c>
      <c r="G60" s="958">
        <f>G45-G58</f>
        <v>156154.8049999997</v>
      </c>
      <c r="I60" s="958">
        <f>I45-I58</f>
        <v>176804.52297499962</v>
      </c>
      <c r="K60" s="958">
        <f>K45-K58</f>
        <v>197610.67269912409</v>
      </c>
      <c r="M60" s="958">
        <f>M45-M58</f>
        <v>218564.32715659356</v>
      </c>
      <c r="O60" s="958">
        <f>O45-O58</f>
        <v>239655.8819445488</v>
      </c>
      <c r="Q60" s="958">
        <f>Q45-Q58</f>
        <v>260875.02234320249</v>
      </c>
      <c r="S60" s="958">
        <f>S45-S58</f>
        <v>282210.68900095089</v>
      </c>
      <c r="U60" s="958">
        <f>U45-U58</f>
        <v>303651.04218012816</v>
      </c>
      <c r="W60" s="958">
        <f>W45-W58</f>
        <v>325183.4245070247</v>
      </c>
      <c r="Y60" s="958">
        <f>Y45-Y58</f>
        <v>346794.32216766849</v>
      </c>
      <c r="AA60" s="958">
        <f>AA45-AA58</f>
        <v>368469.32448866963</v>
      </c>
      <c r="AC60" s="958">
        <f>AC45-AC58</f>
        <v>390193.08184013981</v>
      </c>
      <c r="AE60" s="958">
        <f>AE45-AE58</f>
        <v>411949.26179533778</v>
      </c>
      <c r="AG60" s="958">
        <f>AG45-AG58</f>
        <v>433720.50347923627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1</v>
      </c>
      <c r="E62" s="960">
        <f>E60*$C$62</f>
        <v>135669.79999999981</v>
      </c>
      <c r="G62" s="958">
        <f>G60*$C$62</f>
        <v>156154.8049999997</v>
      </c>
      <c r="I62" s="958">
        <f>I60*$C$62</f>
        <v>176804.52297499962</v>
      </c>
      <c r="K62" s="958">
        <f>K60*$C$62</f>
        <v>197610.67269912409</v>
      </c>
      <c r="M62" s="958">
        <f>M60*$C$62</f>
        <v>218564.32715659356</v>
      </c>
      <c r="O62" s="958">
        <f>O60*$C$62</f>
        <v>239655.8819445488</v>
      </c>
      <c r="Q62" s="958">
        <f>Q60*$C$62</f>
        <v>260875.02234320249</v>
      </c>
      <c r="S62" s="958">
        <f>S60*$C$62</f>
        <v>282210.68900095089</v>
      </c>
      <c r="U62" s="958">
        <f>U60*$C$62</f>
        <v>303651.04218012816</v>
      </c>
      <c r="W62" s="958">
        <f>W60*$C$62</f>
        <v>325183.4245070247</v>
      </c>
      <c r="Y62" s="958">
        <f>Y60*$C$62</f>
        <v>346794.32216766849</v>
      </c>
      <c r="AA62" s="958">
        <f>AA60*$C$62</f>
        <v>368469.32448866963</v>
      </c>
      <c r="AC62" s="958">
        <f>AC60*$C$62</f>
        <v>390193.08184013981</v>
      </c>
      <c r="AE62" s="958">
        <f>AE60*$C$62</f>
        <v>411949.26179533778</v>
      </c>
      <c r="AG62" s="958">
        <f>AG60*$C$62</f>
        <v>433720.50347923627</v>
      </c>
    </row>
    <row r="63" spans="1:34" s="958" customFormat="1">
      <c r="A63" s="2685" t="s">
        <v>2744</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2789</v>
      </c>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t="s">
        <v>2769</v>
      </c>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t="s">
        <v>2770</v>
      </c>
      <c r="B68" s="961"/>
      <c r="C68" s="966"/>
      <c r="E68" s="961">
        <v>0</v>
      </c>
      <c r="G68" s="956">
        <f t="shared" ref="G68:AG68"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851</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3" t="s">
        <v>1708</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969</v>
      </c>
    </row>
    <row r="2" spans="1:1" ht="15.6">
      <c r="A2" s="314"/>
    </row>
    <row r="3" spans="1:1" ht="15.6">
      <c r="A3" s="315" t="s">
        <v>964</v>
      </c>
    </row>
    <row r="4" spans="1:1" ht="15.6">
      <c r="A4" s="315" t="s">
        <v>965</v>
      </c>
    </row>
    <row r="5" spans="1:1" ht="15.6">
      <c r="A5" s="315" t="s">
        <v>966</v>
      </c>
    </row>
    <row r="6" spans="1:1" ht="15.6">
      <c r="A6" s="315" t="s">
        <v>968</v>
      </c>
    </row>
    <row r="7" spans="1:1" ht="15.6">
      <c r="A7" s="315" t="s">
        <v>967</v>
      </c>
    </row>
    <row r="8" spans="1:1" ht="15.6">
      <c r="A8" s="346" t="s">
        <v>1022</v>
      </c>
    </row>
    <row r="9" spans="1:1" ht="15.6">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571000</v>
      </c>
      <c r="C11" s="266">
        <f>'Sources and Uses Budget'!$C10</f>
        <v>571000</v>
      </c>
      <c r="D11" s="270">
        <f t="shared" si="0"/>
        <v>0</v>
      </c>
      <c r="E11" s="268"/>
      <c r="F11" s="267"/>
    </row>
    <row r="12" spans="1:6" s="352" customFormat="1">
      <c r="A12" s="365" t="s">
        <v>595</v>
      </c>
      <c r="B12" s="270">
        <f>SUM(B10:B11)</f>
        <v>571000</v>
      </c>
      <c r="C12" s="270">
        <f>SUM(C10:C11)</f>
        <v>571000</v>
      </c>
      <c r="D12" s="270">
        <f t="shared" si="0"/>
        <v>0</v>
      </c>
      <c r="E12" s="268"/>
      <c r="F12" s="267"/>
    </row>
    <row r="13" spans="1:6" s="352" customFormat="1">
      <c r="A13" s="365" t="s">
        <v>84</v>
      </c>
      <c r="B13" s="270">
        <f>SUM(B9+B12)</f>
        <v>571000</v>
      </c>
      <c r="C13" s="270">
        <f>SUM(C9+C12)</f>
        <v>571000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2.8">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3450000</v>
      </c>
      <c r="C30" s="266">
        <f>'Sources and Uses Budget'!$C29</f>
        <v>3450000</v>
      </c>
      <c r="D30" s="270">
        <f t="shared" si="0"/>
        <v>0</v>
      </c>
      <c r="E30" s="268"/>
      <c r="F30" s="267"/>
    </row>
    <row r="31" spans="1:6" s="352" customFormat="1">
      <c r="A31" s="145" t="s">
        <v>598</v>
      </c>
      <c r="B31" s="266">
        <f>'Sources and Uses Budget'!$C30</f>
        <v>58404837</v>
      </c>
      <c r="C31" s="266">
        <f>'Sources and Uses Budget'!$C30</f>
        <v>58404837</v>
      </c>
      <c r="D31" s="270">
        <f t="shared" si="0"/>
        <v>0</v>
      </c>
      <c r="E31" s="268"/>
      <c r="F31" s="267"/>
    </row>
    <row r="32" spans="1:6" s="352" customFormat="1">
      <c r="A32" s="145" t="s">
        <v>599</v>
      </c>
      <c r="B32" s="266">
        <f>'Sources and Uses Budget'!$C31</f>
        <v>3745550</v>
      </c>
      <c r="C32" s="266">
        <f>'Sources and Uses Budget'!$C31</f>
        <v>3745550</v>
      </c>
      <c r="D32" s="270">
        <f t="shared" si="0"/>
        <v>0</v>
      </c>
      <c r="E32" s="268"/>
      <c r="F32" s="267"/>
    </row>
    <row r="33" spans="1:6" s="352" customFormat="1">
      <c r="A33" s="145" t="s">
        <v>137</v>
      </c>
      <c r="B33" s="266">
        <f>'Sources and Uses Budget'!$C32</f>
        <v>1248517</v>
      </c>
      <c r="C33" s="266">
        <f>'Sources and Uses Budget'!$C32</f>
        <v>1248517</v>
      </c>
      <c r="D33" s="270">
        <f t="shared" si="0"/>
        <v>0</v>
      </c>
      <c r="E33" s="268"/>
      <c r="F33" s="267"/>
    </row>
    <row r="34" spans="1:6" s="352" customFormat="1">
      <c r="A34" s="145" t="s">
        <v>138</v>
      </c>
      <c r="B34" s="266">
        <f>'Sources and Uses Budget'!$C33</f>
        <v>3745550</v>
      </c>
      <c r="C34" s="266">
        <f>'Sources and Uses Budget'!$C33</f>
        <v>3745550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200000</v>
      </c>
      <c r="C36" s="266">
        <f>'Sources and Uses Budget'!$C35</f>
        <v>200000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70794454</v>
      </c>
      <c r="C39" s="270">
        <f>SUM(C30:C38)</f>
        <v>70794454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750000</v>
      </c>
      <c r="C41" s="266">
        <f>'Sources and Uses Budget'!$C40</f>
        <v>750000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900000</v>
      </c>
      <c r="C43" s="270">
        <f>SUM(C41:C42)</f>
        <v>900000</v>
      </c>
      <c r="D43" s="270">
        <f t="shared" si="0"/>
        <v>0</v>
      </c>
      <c r="E43" s="268"/>
      <c r="F43" s="267"/>
    </row>
    <row r="44" spans="1:6" s="352" customFormat="1">
      <c r="A44" s="271" t="s">
        <v>148</v>
      </c>
      <c r="B44" s="266">
        <f>'Sources and Uses Budget'!$C43</f>
        <v>290000</v>
      </c>
      <c r="C44" s="266">
        <f>'Sources and Uses Budget'!$C43</f>
        <v>290000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5007000</v>
      </c>
      <c r="C46" s="266">
        <f>'Sources and Uses Budget'!$C45</f>
        <v>5007000</v>
      </c>
      <c r="D46" s="270">
        <f t="shared" si="0"/>
        <v>0</v>
      </c>
      <c r="E46" s="268"/>
      <c r="F46" s="267"/>
    </row>
    <row r="47" spans="1:6" s="352" customFormat="1">
      <c r="A47" s="145" t="s">
        <v>151</v>
      </c>
      <c r="B47" s="266">
        <f>'Sources and Uses Budget'!$C46</f>
        <v>559500</v>
      </c>
      <c r="C47" s="266">
        <f>'Sources and Uses Budget'!$C46</f>
        <v>559500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150000</v>
      </c>
      <c r="C50" s="266">
        <f>'Sources and Uses Budget'!$C49</f>
        <v>150000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173800</v>
      </c>
      <c r="C53" s="266">
        <f>'Sources and Uses Budget'!$C52</f>
        <v>173800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6080300</v>
      </c>
      <c r="C55" s="273">
        <f>SUM(C46:C54)</f>
        <v>6080300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55000</v>
      </c>
      <c r="C57" s="266">
        <f>'Sources and Uses Budget'!$C56</f>
        <v>55000</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80000</v>
      </c>
      <c r="C63" s="270">
        <f>SUM(C57:C62)</f>
        <v>80000</v>
      </c>
      <c r="D63" s="270">
        <f t="shared" si="0"/>
        <v>0</v>
      </c>
      <c r="E63" s="268"/>
      <c r="F63" s="267"/>
    </row>
    <row r="64" spans="1:6" s="352" customFormat="1">
      <c r="A64" s="274" t="s">
        <v>301</v>
      </c>
      <c r="B64" s="270">
        <f>SUM(B9+B12+B14+B15+B17+B26+B28+B39+B43+B44+B55+B63)</f>
        <v>78715754</v>
      </c>
      <c r="C64" s="270">
        <f>SUM(C9+C12+C14+C15+C17+C26+C28+C39+C43+C44+C55+C63)</f>
        <v>78715754</v>
      </c>
      <c r="D64" s="270">
        <f t="shared" si="0"/>
        <v>0</v>
      </c>
      <c r="E64" s="268"/>
      <c r="F64" s="267"/>
    </row>
    <row r="65" spans="1:6" s="352" customFormat="1" ht="22.8">
      <c r="A65" s="141" t="s">
        <v>1631</v>
      </c>
      <c r="B65" s="264"/>
      <c r="C65" s="264"/>
      <c r="D65" s="264"/>
      <c r="E65" s="282"/>
      <c r="F65" s="264"/>
    </row>
    <row r="66" spans="1:6" s="352" customFormat="1">
      <c r="A66" s="145" t="s">
        <v>170</v>
      </c>
      <c r="B66" s="266">
        <f>'Sources and Uses Budget'!$C65</f>
        <v>70000</v>
      </c>
      <c r="C66" s="266">
        <f>'Sources and Uses Budget'!$C65</f>
        <v>70000</v>
      </c>
      <c r="D66" s="270">
        <f t="shared" si="0"/>
        <v>0</v>
      </c>
      <c r="E66" s="268"/>
      <c r="F66" s="267"/>
    </row>
    <row r="67" spans="1:6" s="352" customFormat="1" ht="22.8">
      <c r="A67" s="283" t="s">
        <v>1628</v>
      </c>
      <c r="B67" s="266">
        <f>'Sources and Uses Budget'!$C66</f>
        <v>0</v>
      </c>
      <c r="C67" s="266">
        <f>'Sources and Uses Budget'!$C66</f>
        <v>0</v>
      </c>
      <c r="D67" s="270"/>
      <c r="E67" s="268"/>
      <c r="F67" s="267"/>
    </row>
    <row r="68" spans="1:6" s="352" customFormat="1" ht="22.8">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Bond Counsel</v>
      </c>
      <c r="B70" s="266">
        <f>'Sources and Uses Budget'!$C69</f>
        <v>90000</v>
      </c>
      <c r="C70" s="266">
        <f>'Sources and Uses Budget'!$C69</f>
        <v>90000</v>
      </c>
      <c r="D70" s="270">
        <f t="shared" si="0"/>
        <v>0</v>
      </c>
      <c r="E70" s="268"/>
      <c r="F70" s="267"/>
    </row>
    <row r="71" spans="1:6" s="352" customFormat="1">
      <c r="A71" s="149" t="s">
        <v>1632</v>
      </c>
      <c r="B71" s="270">
        <f>SUM(B66:B70)</f>
        <v>160000</v>
      </c>
      <c r="C71" s="270">
        <f>SUM(C66:C70)</f>
        <v>160000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560645</v>
      </c>
      <c r="C76" s="266">
        <f>'Sources and Uses Budget'!$C75</f>
        <v>560645</v>
      </c>
      <c r="D76" s="270">
        <f t="shared" si="0"/>
        <v>0</v>
      </c>
      <c r="E76" s="268"/>
      <c r="F76" s="267"/>
    </row>
    <row r="77" spans="1:6" s="352" customFormat="1">
      <c r="A77" s="272" t="s">
        <v>34</v>
      </c>
      <c r="B77" s="266">
        <f>'Sources and Uses Budget'!$C76</f>
        <v>470000</v>
      </c>
      <c r="C77" s="266">
        <f>'Sources and Uses Budget'!$C76</f>
        <v>470000</v>
      </c>
      <c r="D77" s="270">
        <f t="shared" si="0"/>
        <v>0</v>
      </c>
      <c r="E77" s="268"/>
      <c r="F77" s="267"/>
    </row>
    <row r="78" spans="1:6" s="352" customFormat="1">
      <c r="A78" s="271" t="s">
        <v>605</v>
      </c>
      <c r="B78" s="270">
        <f>SUM(B73:B77)</f>
        <v>1030645</v>
      </c>
      <c r="C78" s="270">
        <f>SUM(C73:C77)</f>
        <v>1030645</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3600000</v>
      </c>
      <c r="C80" s="266">
        <f>'Sources and Uses Budget'!$C79</f>
        <v>3600000</v>
      </c>
      <c r="D80" s="270">
        <f t="shared" si="1"/>
        <v>0</v>
      </c>
      <c r="E80" s="268"/>
      <c r="F80" s="267"/>
    </row>
    <row r="81" spans="1:6" s="352" customFormat="1">
      <c r="A81" s="510" t="s">
        <v>58</v>
      </c>
      <c r="B81" s="266">
        <f>'Sources and Uses Budget'!$C80</f>
        <v>750000</v>
      </c>
      <c r="C81" s="266">
        <f>'Sources and Uses Budget'!$C80</f>
        <v>750000</v>
      </c>
      <c r="D81" s="270">
        <f>C81-B81</f>
        <v>0</v>
      </c>
      <c r="E81" s="268"/>
      <c r="F81" s="267"/>
    </row>
    <row r="82" spans="1:6" s="352" customFormat="1">
      <c r="A82" s="271" t="s">
        <v>1207</v>
      </c>
      <c r="B82" s="270">
        <f>SUM(B80:B81)</f>
        <v>4350000</v>
      </c>
      <c r="C82" s="270">
        <f>SUM(C80:C81)</f>
        <v>4350000</v>
      </c>
      <c r="D82" s="270">
        <f t="shared" si="1"/>
        <v>0</v>
      </c>
      <c r="E82" s="268"/>
      <c r="F82" s="267"/>
    </row>
    <row r="83" spans="1:6" s="352" customFormat="1">
      <c r="A83" s="264" t="s">
        <v>763</v>
      </c>
      <c r="B83" s="264"/>
      <c r="C83" s="264"/>
      <c r="D83" s="264"/>
      <c r="E83" s="282"/>
      <c r="F83" s="264"/>
    </row>
    <row r="84" spans="1:6" s="352" customFormat="1" ht="13.65" customHeight="1">
      <c r="A84" s="269" t="s">
        <v>764</v>
      </c>
      <c r="B84" s="266">
        <f>'Sources and Uses Budget'!$C83</f>
        <v>117089</v>
      </c>
      <c r="C84" s="266">
        <f>'Sources and Uses Budget'!$C83</f>
        <v>117089</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6154048</v>
      </c>
      <c r="C86" s="266">
        <f>'Sources and Uses Budget'!$C85</f>
        <v>6154048</v>
      </c>
      <c r="D86" s="270">
        <f t="shared" si="1"/>
        <v>0</v>
      </c>
      <c r="E86" s="268"/>
      <c r="F86" s="267"/>
    </row>
    <row r="87" spans="1:6" s="352" customFormat="1">
      <c r="A87" s="269" t="s">
        <v>767</v>
      </c>
      <c r="B87" s="266">
        <f>'Sources and Uses Budget'!$C86</f>
        <v>1000000</v>
      </c>
      <c r="C87" s="266">
        <f>'Sources and Uses Budget'!$C86</f>
        <v>1000000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137323</v>
      </c>
      <c r="C89" s="266">
        <f>'Sources and Uses Budget'!$C88</f>
        <v>137323</v>
      </c>
      <c r="D89" s="270">
        <f t="shared" si="1"/>
        <v>0</v>
      </c>
      <c r="E89" s="268"/>
      <c r="F89" s="267"/>
    </row>
    <row r="90" spans="1:6" s="352" customFormat="1">
      <c r="A90" s="269" t="s">
        <v>770</v>
      </c>
      <c r="B90" s="266">
        <f>'Sources and Uses Budget'!$C89</f>
        <v>50000</v>
      </c>
      <c r="C90" s="266">
        <f>'Sources and Uses Budget'!$C89</f>
        <v>50000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7498460</v>
      </c>
      <c r="C97" s="270">
        <f>SUM(C84:C96)</f>
        <v>7498460</v>
      </c>
      <c r="D97" s="270">
        <f t="shared" si="1"/>
        <v>0</v>
      </c>
      <c r="E97" s="268"/>
      <c r="F97" s="267"/>
    </row>
    <row r="98" spans="1:6" s="352" customFormat="1">
      <c r="A98" s="271" t="s">
        <v>773</v>
      </c>
      <c r="B98" s="270">
        <f>SUM(B64+B71+B78+B82+B97)</f>
        <v>91754859</v>
      </c>
      <c r="C98" s="270">
        <f>SUM(C64+C71+C78+C82+C97)</f>
        <v>91754859</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13544970</v>
      </c>
      <c r="C100" s="266">
        <f>'Sources and Uses Budget'!$C99</f>
        <v>13544970</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13544970</v>
      </c>
      <c r="C105" s="270">
        <f>SUM(C100:C104)</f>
        <v>13544970</v>
      </c>
      <c r="D105" s="270">
        <f t="shared" si="1"/>
        <v>0</v>
      </c>
      <c r="E105" s="268"/>
      <c r="F105" s="267"/>
    </row>
    <row r="106" spans="1:6" s="352" customFormat="1">
      <c r="A106" s="271" t="s">
        <v>778</v>
      </c>
      <c r="B106" s="273">
        <f>SUM(B98+B105)</f>
        <v>105299829</v>
      </c>
      <c r="C106" s="273">
        <f>SUM(C98+C105)</f>
        <v>105299829</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280" t="s">
        <v>1841</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3.2"/>
    <row r="4" spans="1:10" ht="12.75" customHeight="1">
      <c r="A4" s="1282" t="s">
        <v>2005</v>
      </c>
      <c r="B4" s="1282"/>
      <c r="C4" s="1282"/>
      <c r="D4" s="1282"/>
      <c r="E4" s="1282"/>
      <c r="F4" s="1282"/>
      <c r="G4" s="1282"/>
      <c r="H4" s="1282"/>
      <c r="I4" s="1282"/>
      <c r="J4" s="1282"/>
    </row>
    <row r="5" spans="1:10" ht="13.2">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3.2">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3.2"/>
    <row r="10" spans="1:10" ht="12.75" customHeight="1">
      <c r="A10" s="1286" t="s">
        <v>1846</v>
      </c>
      <c r="B10" s="1286"/>
      <c r="C10" s="1286"/>
      <c r="D10" s="1286"/>
      <c r="E10" s="1286"/>
      <c r="F10" s="1286"/>
      <c r="G10" s="1286"/>
      <c r="H10" s="1286"/>
      <c r="I10" s="1286"/>
      <c r="J10" s="1286"/>
    </row>
    <row r="11" spans="1:10" ht="13.2">
      <c r="A11" s="1286"/>
      <c r="B11" s="1286"/>
      <c r="C11" s="1286"/>
      <c r="D11" s="1286"/>
      <c r="E11" s="1286"/>
      <c r="F11" s="1286"/>
      <c r="G11" s="1286"/>
      <c r="H11" s="1286"/>
      <c r="I11" s="1286"/>
      <c r="J11" s="1286"/>
    </row>
    <row r="12" spans="1:10" ht="13.2">
      <c r="A12" s="1286"/>
      <c r="B12" s="1286"/>
      <c r="C12" s="1286"/>
      <c r="D12" s="1286"/>
      <c r="E12" s="1286"/>
      <c r="F12" s="1286"/>
      <c r="G12" s="1286"/>
      <c r="H12" s="1286"/>
      <c r="I12" s="1286"/>
      <c r="J12" s="1286"/>
    </row>
    <row r="13" spans="1:10" ht="13.2">
      <c r="A13" s="1286"/>
      <c r="B13" s="1286"/>
      <c r="C13" s="1286"/>
      <c r="D13" s="1286"/>
      <c r="E13" s="1286"/>
      <c r="F13" s="1286"/>
      <c r="G13" s="1286"/>
      <c r="H13" s="1286"/>
      <c r="I13" s="1286"/>
      <c r="J13" s="1286"/>
    </row>
    <row r="14" spans="1:10" ht="13.2">
      <c r="A14" s="1286"/>
      <c r="B14" s="1286"/>
      <c r="C14" s="1286"/>
      <c r="D14" s="1286"/>
      <c r="E14" s="1286"/>
      <c r="F14" s="1286"/>
      <c r="G14" s="1286"/>
      <c r="H14" s="1286"/>
      <c r="I14" s="1286"/>
      <c r="J14" s="1286"/>
    </row>
    <row r="15" spans="1:10" ht="13.2">
      <c r="A15" s="1286"/>
      <c r="B15" s="1286"/>
      <c r="C15" s="1286"/>
      <c r="D15" s="1286"/>
      <c r="E15" s="1286"/>
      <c r="F15" s="1286"/>
      <c r="G15" s="1286"/>
      <c r="H15" s="1286"/>
      <c r="I15" s="1286"/>
      <c r="J15" s="1286"/>
    </row>
    <row r="16" spans="1:10" ht="13.2">
      <c r="A16" s="524"/>
      <c r="B16" s="524"/>
      <c r="C16" s="524"/>
      <c r="D16" s="524"/>
      <c r="E16" s="524"/>
      <c r="F16" s="524"/>
      <c r="G16" s="524"/>
      <c r="H16" s="524"/>
      <c r="I16" s="524"/>
      <c r="J16" s="524"/>
    </row>
    <row r="17" spans="1:10" ht="13.2">
      <c r="A17" s="476" t="s">
        <v>1845</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285" t="s">
        <v>1187</v>
      </c>
      <c r="B19" s="1285"/>
      <c r="C19" s="1285"/>
      <c r="D19" s="1285"/>
      <c r="E19" s="1285"/>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282" t="s">
        <v>1188</v>
      </c>
      <c r="B76" s="1282"/>
      <c r="C76" s="1282"/>
      <c r="D76" s="1282"/>
      <c r="E76" s="1282"/>
      <c r="F76" s="1282"/>
      <c r="G76" s="1282"/>
      <c r="H76" s="1282"/>
      <c r="I76" s="1282"/>
      <c r="J76" s="1282"/>
    </row>
    <row r="77" spans="1:10" ht="13.2">
      <c r="A77" s="1282"/>
      <c r="B77" s="1282"/>
      <c r="C77" s="1282"/>
      <c r="D77" s="1282"/>
      <c r="E77" s="1282"/>
      <c r="F77" s="1282"/>
      <c r="G77" s="1282"/>
      <c r="H77" s="1282"/>
      <c r="I77" s="1282"/>
      <c r="J77" s="1282"/>
    </row>
    <row r="78" spans="1:10" ht="13.2">
      <c r="A78" s="1282"/>
      <c r="B78" s="1282"/>
      <c r="C78" s="1282"/>
      <c r="D78" s="1282"/>
      <c r="E78" s="1282"/>
      <c r="F78" s="1282"/>
      <c r="G78" s="1282"/>
      <c r="H78" s="1282"/>
      <c r="I78" s="1282"/>
      <c r="J78" s="1282"/>
    </row>
    <row r="79" spans="1:10" ht="13.2"/>
    <row r="80" spans="1:10" ht="13.2">
      <c r="A80" s="402" t="s">
        <v>1187</v>
      </c>
    </row>
    <row r="81" spans="1:9" ht="13.2"/>
    <row r="82" spans="1:9" ht="13.2"/>
    <row r="83" spans="1:9" ht="13.2"/>
    <row r="84" spans="1:9" ht="13.2"/>
    <row r="85" spans="1:9" ht="13.2"/>
    <row r="86" spans="1:9" ht="13.2"/>
    <row r="87" spans="1:9" ht="13.2"/>
    <row r="88" spans="1:9" ht="13.2"/>
    <row r="89" spans="1:9" ht="13.2">
      <c r="A89" s="1283" t="s">
        <v>1842</v>
      </c>
      <c r="B89" s="1283"/>
      <c r="C89" s="1283"/>
      <c r="D89" s="1283"/>
      <c r="E89" s="1283"/>
      <c r="F89" s="1283"/>
      <c r="G89" s="1283"/>
      <c r="H89" s="1283"/>
      <c r="I89" s="1283"/>
    </row>
    <row r="90" spans="1:9" ht="13.2">
      <c r="A90" s="1273" t="s">
        <v>2003</v>
      </c>
      <c r="B90" s="1273"/>
      <c r="C90" s="1273"/>
      <c r="D90" s="1273"/>
      <c r="E90" s="1273"/>
    </row>
    <row r="91" spans="1:9" ht="13.2">
      <c r="A91" s="1273" t="s">
        <v>2004</v>
      </c>
      <c r="B91" s="1273"/>
      <c r="C91" s="1273"/>
      <c r="D91" s="1273"/>
      <c r="E91" s="1273"/>
    </row>
    <row r="92" spans="1:9" ht="13.2">
      <c r="A92" s="1273" t="s">
        <v>1843</v>
      </c>
      <c r="B92" s="1273"/>
      <c r="C92" s="1273"/>
      <c r="D92" s="1273"/>
      <c r="E92" s="1273"/>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Normal="100" workbookViewId="0">
      <selection activeCell="A2" sqref="A2:I2"/>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288" t="s">
        <v>2605</v>
      </c>
      <c r="B2" s="1288"/>
      <c r="C2" s="1288"/>
      <c r="D2" s="1288"/>
      <c r="E2" s="1288"/>
      <c r="F2" s="1288"/>
      <c r="G2" s="1288"/>
      <c r="H2" s="1288"/>
      <c r="I2" s="1288"/>
    </row>
    <row r="3" spans="1:13">
      <c r="A3" s="1289" t="s">
        <v>2172</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2171</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1099</v>
      </c>
      <c r="B9" s="1293"/>
      <c r="C9" s="1293"/>
      <c r="D9" s="1293"/>
      <c r="E9" s="1293"/>
      <c r="F9" s="1293"/>
      <c r="G9" s="1293"/>
      <c r="H9" s="1023"/>
      <c r="I9" s="1024"/>
    </row>
    <row r="10" spans="1:13">
      <c r="A10" s="482"/>
      <c r="B10" s="482"/>
      <c r="E10" s="404"/>
    </row>
    <row r="11" spans="1:13" ht="13.65" customHeight="1">
      <c r="C11" s="482"/>
      <c r="D11" s="1310" t="s">
        <v>1098</v>
      </c>
      <c r="E11" s="1310"/>
      <c r="F11" s="1310"/>
    </row>
    <row r="12" spans="1:13">
      <c r="C12" s="482"/>
      <c r="D12" s="1310"/>
      <c r="E12" s="1310"/>
      <c r="F12" s="1310"/>
    </row>
    <row r="13" spans="1:13">
      <c r="A13" s="483"/>
      <c r="B13" s="483"/>
      <c r="C13" s="483"/>
      <c r="D13" s="1291" t="s">
        <v>1088</v>
      </c>
      <c r="E13" s="1291"/>
      <c r="F13" s="1291"/>
      <c r="M13" s="96"/>
    </row>
    <row r="14" spans="1:13">
      <c r="A14" s="483"/>
      <c r="B14" s="483"/>
      <c r="C14" s="483"/>
      <c r="D14" s="476"/>
      <c r="L14" s="312"/>
    </row>
    <row r="15" spans="1:13" ht="14.4">
      <c r="A15" s="484"/>
      <c r="B15" s="485" t="s">
        <v>2652</v>
      </c>
      <c r="C15" s="483"/>
      <c r="D15" s="1290" t="s">
        <v>1893</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1891</v>
      </c>
      <c r="F18" s="445"/>
      <c r="I18" s="490"/>
    </row>
    <row r="19" spans="1:9">
      <c r="A19" s="483"/>
      <c r="B19" s="483"/>
      <c r="C19" s="483"/>
      <c r="I19" s="490"/>
    </row>
    <row r="20" spans="1:9" ht="14.4">
      <c r="A20" s="484"/>
      <c r="B20" s="485" t="s">
        <v>2652</v>
      </c>
      <c r="D20" s="1290" t="s">
        <v>1894</v>
      </c>
      <c r="E20" s="1290"/>
      <c r="F20" s="1290"/>
      <c r="I20" s="490"/>
    </row>
    <row r="21" spans="1:9" ht="14.4">
      <c r="A21" s="484"/>
      <c r="D21" s="1290"/>
      <c r="E21" s="1290"/>
      <c r="F21" s="1290"/>
      <c r="I21" s="490"/>
    </row>
    <row r="22" spans="1:9" ht="14.4">
      <c r="A22" s="484"/>
      <c r="D22" s="392"/>
      <c r="E22" s="96" t="s">
        <v>1890</v>
      </c>
      <c r="F22" s="392"/>
      <c r="I22" s="490"/>
    </row>
    <row r="23" spans="1:9" ht="14.4">
      <c r="A23" s="484"/>
      <c r="B23" s="484"/>
      <c r="D23" s="446"/>
      <c r="I23" s="490"/>
    </row>
    <row r="24" spans="1:9" ht="14.4">
      <c r="A24" s="484"/>
      <c r="B24" s="485" t="s">
        <v>2651</v>
      </c>
      <c r="D24" s="1290" t="s">
        <v>1089</v>
      </c>
      <c r="E24" s="1290"/>
      <c r="F24" s="1290"/>
      <c r="I24" s="490"/>
    </row>
    <row r="25" spans="1:9" ht="14.4">
      <c r="A25" s="484"/>
      <c r="B25" s="484"/>
      <c r="D25" s="1290"/>
      <c r="E25" s="1290"/>
      <c r="F25" s="1290"/>
      <c r="I25" s="490"/>
    </row>
    <row r="26" spans="1:9">
      <c r="I26" s="490"/>
    </row>
    <row r="27" spans="1:9" ht="14.4">
      <c r="A27" s="484"/>
      <c r="B27" s="485" t="s">
        <v>2652</v>
      </c>
      <c r="D27" s="1290" t="s">
        <v>2006</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2651</v>
      </c>
      <c r="D33" s="1290" t="s">
        <v>2007</v>
      </c>
      <c r="E33" s="1290"/>
      <c r="F33" s="1290"/>
      <c r="I33" s="490"/>
    </row>
    <row r="34" spans="1:9">
      <c r="D34" s="1290"/>
      <c r="E34" s="1290"/>
      <c r="F34" s="1290"/>
      <c r="I34" s="490"/>
    </row>
    <row r="35" spans="1:9" ht="14.4">
      <c r="A35" s="484"/>
      <c r="B35" s="484"/>
      <c r="D35" s="447"/>
      <c r="I35" s="490"/>
    </row>
    <row r="36" spans="1:9" ht="14.4" customHeight="1">
      <c r="A36" s="484"/>
      <c r="B36" s="485" t="s">
        <v>2652</v>
      </c>
      <c r="D36" s="1290" t="s">
        <v>1212</v>
      </c>
      <c r="E36" s="1290"/>
      <c r="F36" s="1290"/>
      <c r="I36" s="490"/>
    </row>
    <row r="37" spans="1:9" ht="14.4">
      <c r="A37" s="484"/>
      <c r="B37" s="484"/>
      <c r="D37" s="1290"/>
      <c r="E37" s="1290"/>
      <c r="F37" s="1290"/>
      <c r="I37" s="490"/>
    </row>
    <row r="38" spans="1:9" ht="14.4">
      <c r="A38" s="484"/>
      <c r="B38" s="484"/>
      <c r="D38" s="1290"/>
      <c r="E38" s="1290"/>
      <c r="F38" s="1290"/>
      <c r="I38" s="490"/>
    </row>
    <row r="39" spans="1:9" ht="14.4">
      <c r="A39" s="484"/>
      <c r="B39" s="484"/>
      <c r="D39" s="1290"/>
      <c r="E39" s="1290"/>
      <c r="F39" s="1290"/>
      <c r="I39" s="490"/>
    </row>
    <row r="40" spans="1:9" ht="14.4">
      <c r="A40" s="484"/>
      <c r="B40" s="484"/>
      <c r="I40" s="490"/>
    </row>
    <row r="41" spans="1:9" ht="14.4">
      <c r="A41" s="484"/>
      <c r="B41" s="485" t="s">
        <v>2651</v>
      </c>
      <c r="D41" s="1290" t="s">
        <v>1090</v>
      </c>
      <c r="E41" s="1290"/>
      <c r="F41" s="1290"/>
      <c r="I41" s="490"/>
    </row>
    <row r="42" spans="1:9" ht="14.4">
      <c r="A42" s="484"/>
      <c r="B42" s="484"/>
      <c r="D42" s="1290"/>
      <c r="E42" s="1290"/>
      <c r="F42" s="1290"/>
      <c r="I42" s="490"/>
    </row>
    <row r="43" spans="1:9" ht="14.4">
      <c r="A43" s="484"/>
      <c r="B43" s="484"/>
      <c r="D43" s="1290"/>
      <c r="E43" s="1290"/>
      <c r="F43" s="1290"/>
      <c r="I43" s="490"/>
    </row>
    <row r="44" spans="1:9" ht="14.4">
      <c r="A44" s="484"/>
      <c r="B44" s="484"/>
      <c r="D44" s="1290"/>
      <c r="E44" s="1290"/>
      <c r="F44" s="1290"/>
      <c r="I44" s="490"/>
    </row>
    <row r="45" spans="1:9" ht="14.4">
      <c r="A45" s="484"/>
      <c r="B45" s="484"/>
      <c r="D45" s="1290"/>
      <c r="E45" s="1290"/>
      <c r="F45" s="1290"/>
      <c r="I45" s="490"/>
    </row>
    <row r="46" spans="1:9" ht="14.4">
      <c r="A46" s="484"/>
      <c r="B46" s="484"/>
      <c r="D46" s="445"/>
      <c r="E46" s="445"/>
      <c r="F46" s="445"/>
      <c r="I46" s="490"/>
    </row>
    <row r="47" spans="1:9" ht="14.4">
      <c r="A47" s="484"/>
      <c r="B47" s="485" t="s">
        <v>2652</v>
      </c>
      <c r="D47" s="1290" t="s">
        <v>1091</v>
      </c>
      <c r="E47" s="1290"/>
      <c r="F47" s="1290"/>
      <c r="I47" s="490"/>
    </row>
    <row r="48" spans="1:9" ht="14.4">
      <c r="A48" s="484"/>
      <c r="B48" s="484"/>
      <c r="D48" s="1290"/>
      <c r="E48" s="1290"/>
      <c r="F48" s="1290"/>
      <c r="I48" s="490"/>
    </row>
    <row r="49" spans="1:9" ht="14.4">
      <c r="A49" s="484"/>
      <c r="B49" s="484"/>
      <c r="D49" s="1290"/>
      <c r="E49" s="1290"/>
      <c r="F49" s="1290"/>
      <c r="I49" s="490"/>
    </row>
    <row r="50" spans="1:9" ht="23.25" customHeight="1">
      <c r="A50" s="484"/>
      <c r="B50" s="484"/>
      <c r="D50" s="1290"/>
      <c r="E50" s="1290"/>
      <c r="F50" s="1290"/>
      <c r="I50" s="490"/>
    </row>
    <row r="51" spans="1:9" ht="14.4">
      <c r="A51" s="484"/>
      <c r="B51" s="484"/>
      <c r="D51" s="446"/>
      <c r="I51" s="490"/>
    </row>
    <row r="52" spans="1:9" ht="14.4" customHeight="1">
      <c r="A52" s="484"/>
      <c r="B52" s="485" t="s">
        <v>2651</v>
      </c>
      <c r="D52" s="1290" t="s">
        <v>1092</v>
      </c>
      <c r="E52" s="1290"/>
      <c r="F52" s="1290"/>
      <c r="I52" s="490"/>
    </row>
    <row r="53" spans="1:9" ht="14.4">
      <c r="A53" s="484"/>
      <c r="B53" s="484"/>
      <c r="D53" s="1290"/>
      <c r="E53" s="1290"/>
      <c r="F53" s="1290"/>
      <c r="I53" s="490"/>
    </row>
    <row r="54" spans="1:9" ht="14.4">
      <c r="A54" s="484"/>
      <c r="B54" s="484"/>
      <c r="D54" s="1290"/>
      <c r="E54" s="1290"/>
      <c r="F54" s="1290"/>
      <c r="I54" s="490"/>
    </row>
    <row r="55" spans="1:9" ht="14.4">
      <c r="A55" s="484"/>
      <c r="B55" s="484"/>
      <c r="I55" s="490"/>
    </row>
    <row r="56" spans="1:9" ht="14.4">
      <c r="A56" s="484"/>
      <c r="B56" s="485" t="s">
        <v>2652</v>
      </c>
      <c r="D56" s="1312" t="s">
        <v>1093</v>
      </c>
      <c r="E56" s="1312"/>
      <c r="F56" s="1312"/>
      <c r="I56" s="490"/>
    </row>
    <row r="57" spans="1:9" ht="14.4">
      <c r="A57" s="484"/>
      <c r="B57" s="484"/>
      <c r="D57" s="1312"/>
      <c r="E57" s="1312"/>
      <c r="F57" s="1312"/>
      <c r="I57" s="490"/>
    </row>
    <row r="58" spans="1:9" ht="14.4">
      <c r="A58" s="484"/>
      <c r="B58" s="484"/>
      <c r="D58" s="392" t="s">
        <v>1892</v>
      </c>
      <c r="E58" s="445"/>
      <c r="F58" s="445"/>
      <c r="I58" s="490"/>
    </row>
    <row r="59" spans="1:9" ht="14.4">
      <c r="A59" s="484"/>
      <c r="B59" s="484"/>
      <c r="D59" s="445"/>
      <c r="E59" s="312" t="s">
        <v>1891</v>
      </c>
      <c r="F59" s="445"/>
      <c r="I59" s="490"/>
    </row>
    <row r="60" spans="1:9">
      <c r="D60" s="447"/>
      <c r="I60" s="490"/>
    </row>
    <row r="61" spans="1:9" ht="14.4">
      <c r="A61" s="484"/>
      <c r="B61" s="485" t="s">
        <v>2651</v>
      </c>
      <c r="D61" s="1290" t="s">
        <v>1094</v>
      </c>
      <c r="E61" s="1290"/>
      <c r="F61" s="1290"/>
      <c r="I61" s="490"/>
    </row>
    <row r="62" spans="1:9">
      <c r="D62" s="1290"/>
      <c r="E62" s="1290"/>
      <c r="F62" s="1290"/>
      <c r="I62" s="490"/>
    </row>
    <row r="63" spans="1:9">
      <c r="D63" s="1290"/>
      <c r="E63" s="1290"/>
      <c r="F63" s="1290"/>
      <c r="I63" s="490"/>
    </row>
    <row r="64" spans="1:9">
      <c r="I64" s="490"/>
    </row>
    <row r="65" spans="1:9" ht="14.4">
      <c r="A65" s="484"/>
      <c r="B65" s="485" t="s">
        <v>2652</v>
      </c>
      <c r="D65" s="1290" t="s">
        <v>1095</v>
      </c>
      <c r="E65" s="1290"/>
      <c r="F65" s="1290"/>
      <c r="I65" s="490"/>
    </row>
    <row r="66" spans="1:9">
      <c r="D66" s="1290"/>
      <c r="E66" s="1290"/>
      <c r="F66" s="1290"/>
      <c r="I66" s="490"/>
    </row>
    <row r="67" spans="1:9">
      <c r="I67" s="490"/>
    </row>
    <row r="68" spans="1:9" ht="14.4">
      <c r="A68" s="484"/>
      <c r="B68" s="485" t="s">
        <v>2651</v>
      </c>
      <c r="D68" s="1290" t="s">
        <v>1096</v>
      </c>
      <c r="E68" s="1290"/>
      <c r="F68" s="1290"/>
      <c r="I68" s="490"/>
    </row>
    <row r="69" spans="1:9">
      <c r="D69" s="1290"/>
      <c r="E69" s="1290"/>
      <c r="F69" s="1290"/>
      <c r="I69" s="490"/>
    </row>
    <row r="70" spans="1:9">
      <c r="D70" s="1290"/>
      <c r="E70" s="1290"/>
      <c r="F70" s="1290"/>
      <c r="I70" s="490"/>
    </row>
    <row r="71" spans="1:9">
      <c r="I71" s="490"/>
    </row>
    <row r="72" spans="1:9" ht="14.4">
      <c r="A72" s="484"/>
      <c r="B72" s="485" t="s">
        <v>2652</v>
      </c>
      <c r="D72" s="1290" t="s">
        <v>1097</v>
      </c>
      <c r="E72" s="1290"/>
      <c r="F72" s="1290"/>
      <c r="I72" s="490"/>
    </row>
    <row r="73" spans="1:9">
      <c r="D73" s="1290"/>
      <c r="E73" s="1290"/>
      <c r="F73" s="1290"/>
      <c r="I73" s="490"/>
    </row>
    <row r="74" spans="1:9" ht="14.4">
      <c r="A74" s="484"/>
      <c r="B74" s="484"/>
      <c r="D74" s="446"/>
      <c r="I74" s="490"/>
    </row>
    <row r="75" spans="1:9">
      <c r="A75" s="1293" t="s">
        <v>1042</v>
      </c>
      <c r="B75" s="1293"/>
      <c r="C75" s="1293"/>
      <c r="D75" s="1293"/>
      <c r="E75" s="1293"/>
      <c r="F75" s="1293"/>
      <c r="G75" s="1293"/>
      <c r="H75" s="1023"/>
      <c r="I75" s="1147"/>
    </row>
    <row r="76" spans="1:9">
      <c r="I76" s="490"/>
    </row>
    <row r="77" spans="1:9">
      <c r="C77" s="486"/>
      <c r="D77" s="1292" t="s">
        <v>1100</v>
      </c>
      <c r="E77" s="1292"/>
      <c r="F77" s="1292"/>
      <c r="I77" s="490"/>
    </row>
    <row r="78" spans="1:9">
      <c r="A78" s="446"/>
      <c r="B78" s="446"/>
      <c r="D78" s="1290" t="s">
        <v>1115</v>
      </c>
      <c r="E78" s="1290"/>
      <c r="F78" s="1290"/>
      <c r="I78" s="490"/>
    </row>
    <row r="79" spans="1:9">
      <c r="A79" s="446"/>
      <c r="B79" s="446"/>
      <c r="I79" s="490"/>
    </row>
    <row r="80" spans="1:9" ht="13.65" customHeight="1">
      <c r="A80" s="484"/>
      <c r="B80" s="485" t="s">
        <v>2652</v>
      </c>
      <c r="D80" s="1290" t="s">
        <v>1243</v>
      </c>
      <c r="E80" s="1290"/>
      <c r="F80" s="1290"/>
      <c r="I80" s="490"/>
    </row>
    <row r="81" spans="1:9" ht="14.4">
      <c r="A81" s="484"/>
      <c r="B81" s="484"/>
      <c r="D81" s="1290"/>
      <c r="E81" s="1290"/>
      <c r="F81" s="1290"/>
      <c r="I81" s="490"/>
    </row>
    <row r="82" spans="1:9" ht="14.4">
      <c r="A82" s="484"/>
      <c r="B82" s="484"/>
      <c r="D82" s="1290"/>
      <c r="E82" s="1290"/>
      <c r="F82" s="1290"/>
      <c r="I82" s="490"/>
    </row>
    <row r="83" spans="1:9" ht="14.4">
      <c r="A83" s="484"/>
      <c r="B83" s="484"/>
      <c r="D83" s="1290"/>
      <c r="E83" s="1290"/>
      <c r="F83" s="1290"/>
      <c r="I83" s="490"/>
    </row>
    <row r="84" spans="1:9" ht="14.4">
      <c r="A84" s="484"/>
      <c r="B84" s="484"/>
      <c r="D84" s="1290"/>
      <c r="E84" s="1290"/>
      <c r="F84" s="1290"/>
      <c r="I84" s="490"/>
    </row>
    <row r="85" spans="1:9" ht="14.4">
      <c r="A85" s="484"/>
      <c r="B85" s="484"/>
      <c r="D85" s="1290"/>
      <c r="E85" s="1290"/>
      <c r="F85" s="1290"/>
      <c r="I85" s="490"/>
    </row>
    <row r="86" spans="1:9" ht="14.4">
      <c r="A86" s="484"/>
      <c r="B86" s="484"/>
      <c r="D86" s="1290"/>
      <c r="E86" s="1290"/>
      <c r="F86" s="1290"/>
      <c r="I86" s="490"/>
    </row>
    <row r="87" spans="1:9" ht="14.4">
      <c r="A87" s="484"/>
      <c r="B87" s="484"/>
      <c r="D87" s="1290"/>
      <c r="E87" s="1290"/>
      <c r="F87" s="1290"/>
      <c r="I87" s="490"/>
    </row>
    <row r="88" spans="1:9" ht="14.4">
      <c r="A88" s="484"/>
      <c r="B88" s="484"/>
      <c r="D88" s="385"/>
      <c r="E88" s="385"/>
      <c r="F88" s="385"/>
      <c r="I88" s="490"/>
    </row>
    <row r="89" spans="1:9" ht="15" customHeight="1">
      <c r="A89" s="484"/>
      <c r="B89" s="485" t="s">
        <v>2652</v>
      </c>
      <c r="D89" s="1290" t="s">
        <v>1729</v>
      </c>
      <c r="E89" s="1290"/>
      <c r="F89" s="1290"/>
      <c r="I89" s="490"/>
    </row>
    <row r="90" spans="1:9" ht="14.4">
      <c r="A90" s="484"/>
      <c r="B90" s="484"/>
      <c r="D90" s="1290"/>
      <c r="E90" s="1290"/>
      <c r="F90" s="1290"/>
      <c r="I90" s="490"/>
    </row>
    <row r="91" spans="1:9" ht="14.4">
      <c r="A91" s="484"/>
      <c r="B91" s="484"/>
      <c r="D91" s="445"/>
      <c r="E91" s="445"/>
      <c r="F91" s="445"/>
      <c r="I91" s="490"/>
    </row>
    <row r="92" spans="1:9" ht="14.4">
      <c r="A92" s="484"/>
      <c r="B92" s="485" t="s">
        <v>2652</v>
      </c>
      <c r="D92" s="1290" t="s">
        <v>1732</v>
      </c>
      <c r="E92" s="1290"/>
      <c r="F92" s="1290"/>
      <c r="I92" s="490"/>
    </row>
    <row r="93" spans="1:9" ht="14.4">
      <c r="A93" s="484"/>
      <c r="B93" s="484"/>
      <c r="D93" s="1290"/>
      <c r="E93" s="1290"/>
      <c r="F93" s="1290"/>
      <c r="I93" s="490"/>
    </row>
    <row r="94" spans="1:9" ht="14.4">
      <c r="A94" s="484"/>
      <c r="B94" s="484"/>
      <c r="D94" s="1290"/>
      <c r="E94" s="1290"/>
      <c r="F94" s="1290"/>
      <c r="I94" s="490"/>
    </row>
    <row r="95" spans="1:9" ht="14.4">
      <c r="A95" s="484"/>
      <c r="B95" s="484"/>
      <c r="D95" s="445"/>
      <c r="E95" s="445"/>
      <c r="F95" s="445"/>
      <c r="I95" s="490"/>
    </row>
    <row r="96" spans="1:9" ht="14.4">
      <c r="A96" s="484"/>
      <c r="B96" s="485" t="s">
        <v>2652</v>
      </c>
      <c r="D96" s="1290" t="s">
        <v>1731</v>
      </c>
      <c r="E96" s="1290"/>
      <c r="F96" s="1290"/>
      <c r="I96" s="490"/>
    </row>
    <row r="97" spans="1:9" s="982" customFormat="1" ht="14.4">
      <c r="A97" s="980"/>
      <c r="B97" s="980"/>
      <c r="C97" s="981"/>
      <c r="D97" s="1290"/>
      <c r="E97" s="1290"/>
      <c r="F97" s="1290"/>
      <c r="I97" s="1148"/>
    </row>
    <row r="98" spans="1:9" ht="14.4">
      <c r="A98" s="484"/>
      <c r="B98" s="484"/>
      <c r="D98" s="392"/>
      <c r="E98" s="312" t="s">
        <v>1895</v>
      </c>
      <c r="F98" s="445"/>
      <c r="I98" s="490"/>
    </row>
    <row r="99" spans="1:9" ht="14.4">
      <c r="A99" s="484"/>
      <c r="B99" s="484"/>
      <c r="D99" s="385"/>
      <c r="E99" s="385"/>
      <c r="F99" s="385"/>
      <c r="I99" s="490"/>
    </row>
    <row r="100" spans="1:9" ht="14.4">
      <c r="A100" s="484"/>
      <c r="B100" s="485" t="s">
        <v>2651</v>
      </c>
      <c r="D100" s="1290" t="s">
        <v>1730</v>
      </c>
      <c r="E100" s="1290"/>
      <c r="F100" s="1290"/>
      <c r="I100" s="490"/>
    </row>
    <row r="101" spans="1:9" ht="14.4">
      <c r="A101" s="484"/>
      <c r="B101" s="484"/>
      <c r="D101" s="1290"/>
      <c r="E101" s="1290"/>
      <c r="F101" s="1290"/>
      <c r="I101" s="490"/>
    </row>
    <row r="102" spans="1:9" ht="14.4">
      <c r="A102" s="484"/>
      <c r="B102" s="484"/>
      <c r="D102" s="445"/>
      <c r="E102" s="445"/>
      <c r="F102" s="445"/>
      <c r="I102" s="490"/>
    </row>
    <row r="103" spans="1:9" ht="14.4" customHeight="1">
      <c r="A103" s="484"/>
      <c r="B103" s="485" t="s">
        <v>2651</v>
      </c>
      <c r="D103" s="1290" t="s">
        <v>1192</v>
      </c>
      <c r="E103" s="1290"/>
      <c r="F103" s="1290"/>
      <c r="I103" s="490"/>
    </row>
    <row r="104" spans="1:9" ht="14.4">
      <c r="A104" s="484"/>
      <c r="B104" s="484"/>
      <c r="D104" s="1290"/>
      <c r="E104" s="1290"/>
      <c r="F104" s="1290"/>
      <c r="I104" s="490"/>
    </row>
    <row r="105" spans="1:9" ht="14.4">
      <c r="A105" s="484"/>
      <c r="B105" s="484"/>
      <c r="D105" s="1290"/>
      <c r="E105" s="1290"/>
      <c r="F105" s="1290"/>
      <c r="I105" s="490"/>
    </row>
    <row r="106" spans="1:9" ht="14.4">
      <c r="A106" s="484"/>
      <c r="B106" s="484"/>
      <c r="D106" s="1290"/>
      <c r="E106" s="1290"/>
      <c r="F106" s="1290"/>
      <c r="I106" s="490"/>
    </row>
    <row r="107" spans="1:9" ht="14.4">
      <c r="A107" s="484"/>
      <c r="B107" s="484"/>
      <c r="D107" s="1290"/>
      <c r="E107" s="1290"/>
      <c r="F107" s="1290"/>
      <c r="I107" s="490"/>
    </row>
    <row r="108" spans="1:9" ht="14.4">
      <c r="A108" s="484"/>
      <c r="B108" s="484"/>
      <c r="D108" s="1290"/>
      <c r="E108" s="1290"/>
      <c r="F108" s="1290"/>
      <c r="I108" s="490"/>
    </row>
    <row r="109" spans="1:9" ht="14.4">
      <c r="A109" s="484"/>
      <c r="B109" s="484"/>
      <c r="D109" s="1290"/>
      <c r="E109" s="1290"/>
      <c r="F109" s="1290"/>
      <c r="I109" s="490"/>
    </row>
    <row r="110" spans="1:9" ht="14.4">
      <c r="A110" s="484"/>
      <c r="B110" s="484"/>
      <c r="D110" s="1290"/>
      <c r="E110" s="1290"/>
      <c r="F110" s="1290"/>
      <c r="I110" s="490"/>
    </row>
    <row r="111" spans="1:9" ht="14.4">
      <c r="A111" s="484"/>
      <c r="B111" s="484"/>
      <c r="D111" s="1290"/>
      <c r="E111" s="1290"/>
      <c r="F111" s="1290"/>
      <c r="I111" s="490"/>
    </row>
    <row r="112" spans="1:9" ht="14.4">
      <c r="A112" s="484"/>
      <c r="B112" s="484"/>
      <c r="D112" s="1290"/>
      <c r="E112" s="1290"/>
      <c r="F112" s="1290"/>
      <c r="I112" s="490"/>
    </row>
    <row r="113" spans="1:9" ht="14.4">
      <c r="A113" s="484"/>
      <c r="B113" s="484"/>
      <c r="D113" s="1290"/>
      <c r="E113" s="1290"/>
      <c r="F113" s="1290"/>
      <c r="I113" s="490"/>
    </row>
    <row r="114" spans="1:9" ht="14.4">
      <c r="A114" s="484"/>
      <c r="B114" s="484"/>
      <c r="D114" s="1290"/>
      <c r="E114" s="1290"/>
      <c r="F114" s="1290"/>
      <c r="I114" s="490"/>
    </row>
    <row r="115" spans="1:9" ht="14.4">
      <c r="A115" s="484"/>
      <c r="B115" s="484"/>
      <c r="D115" s="1290"/>
      <c r="E115" s="1290"/>
      <c r="F115" s="1290"/>
      <c r="I115" s="490"/>
    </row>
    <row r="116" spans="1:9" ht="14.4">
      <c r="A116" s="484"/>
      <c r="B116" s="484"/>
      <c r="D116" s="1290"/>
      <c r="E116" s="1290"/>
      <c r="F116" s="1290"/>
      <c r="I116" s="490"/>
    </row>
    <row r="117" spans="1:9" ht="14.4">
      <c r="A117" s="484"/>
      <c r="B117" s="484"/>
      <c r="D117" s="1290"/>
      <c r="E117" s="1290"/>
      <c r="F117" s="1290"/>
      <c r="I117" s="490"/>
    </row>
    <row r="118" spans="1:9" ht="14.4">
      <c r="A118" s="484"/>
      <c r="B118" s="484"/>
      <c r="D118" s="524"/>
      <c r="E118" s="524"/>
      <c r="F118" s="524"/>
      <c r="I118" s="490"/>
    </row>
    <row r="119" spans="1:9" ht="14.25" customHeight="1">
      <c r="A119" s="484"/>
      <c r="B119" s="485" t="s">
        <v>2651</v>
      </c>
      <c r="D119" s="1308" t="s">
        <v>1101</v>
      </c>
      <c r="E119" s="1308"/>
      <c r="F119" s="1308"/>
      <c r="I119" s="490"/>
    </row>
    <row r="120" spans="1:9" ht="14.4">
      <c r="A120" s="484"/>
      <c r="B120" s="484"/>
      <c r="D120" s="1308"/>
      <c r="E120" s="1308"/>
      <c r="F120" s="1308"/>
      <c r="I120" s="490"/>
    </row>
    <row r="121" spans="1:9" ht="14.4">
      <c r="A121" s="484"/>
      <c r="B121" s="484"/>
      <c r="D121" s="1308"/>
      <c r="E121" s="1308"/>
      <c r="F121" s="1308"/>
      <c r="I121" s="490"/>
    </row>
    <row r="122" spans="1:9" ht="14.4">
      <c r="A122" s="484"/>
      <c r="B122" s="484"/>
      <c r="D122" s="1308"/>
      <c r="E122" s="1308"/>
      <c r="F122" s="1308"/>
      <c r="I122" s="490"/>
    </row>
    <row r="123" spans="1:9" ht="14.4">
      <c r="A123" s="484"/>
      <c r="B123" s="484"/>
      <c r="D123" s="1308"/>
      <c r="E123" s="1308"/>
      <c r="F123" s="1308"/>
      <c r="I123" s="490"/>
    </row>
    <row r="124" spans="1:9" ht="14.4">
      <c r="A124" s="484"/>
      <c r="B124" s="484"/>
      <c r="D124" s="1308"/>
      <c r="E124" s="1308"/>
      <c r="F124" s="1308"/>
      <c r="I124" s="490"/>
    </row>
    <row r="125" spans="1:9" ht="14.4">
      <c r="A125" s="484"/>
      <c r="B125" s="484"/>
      <c r="D125" s="1308"/>
      <c r="E125" s="1308"/>
      <c r="F125" s="1308"/>
      <c r="I125" s="490"/>
    </row>
    <row r="126" spans="1:9" ht="14.4">
      <c r="A126" s="484"/>
      <c r="B126" s="484"/>
      <c r="D126" s="1308"/>
      <c r="E126" s="1308"/>
      <c r="F126" s="1308"/>
      <c r="I126" s="490"/>
    </row>
    <row r="127" spans="1:9">
      <c r="C127" s="402"/>
      <c r="D127" s="525"/>
      <c r="E127" s="525"/>
      <c r="F127" s="525"/>
      <c r="I127" s="490"/>
    </row>
    <row r="128" spans="1:9" ht="14.4">
      <c r="A128" s="484"/>
      <c r="B128" s="485" t="s">
        <v>2652</v>
      </c>
      <c r="C128" s="402"/>
      <c r="D128" s="1308" t="s">
        <v>2008</v>
      </c>
      <c r="E128" s="1308"/>
      <c r="F128" s="1308"/>
      <c r="I128" s="490"/>
    </row>
    <row r="129" spans="1:9" ht="14.4">
      <c r="A129" s="484"/>
      <c r="B129" s="484"/>
      <c r="C129" s="402"/>
      <c r="D129" s="1308"/>
      <c r="E129" s="1308"/>
      <c r="F129" s="1308"/>
      <c r="I129" s="490"/>
    </row>
    <row r="130" spans="1:9">
      <c r="I130" s="490"/>
    </row>
    <row r="131" spans="1:9" ht="14.4">
      <c r="A131" s="484"/>
      <c r="B131" s="485" t="s">
        <v>2651</v>
      </c>
      <c r="D131" s="1290" t="s">
        <v>1102</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4">
      <c r="A137" s="484"/>
      <c r="B137" s="485" t="s">
        <v>2652</v>
      </c>
      <c r="D137" s="1290" t="s">
        <v>1103</v>
      </c>
      <c r="E137" s="1290"/>
      <c r="F137" s="1290"/>
      <c r="I137" s="490"/>
    </row>
    <row r="138" spans="1:9" s="417" customFormat="1" ht="13.65" customHeight="1">
      <c r="A138" s="488"/>
      <c r="B138" s="488"/>
      <c r="C138" s="488"/>
      <c r="D138" s="1290"/>
      <c r="E138" s="1290"/>
      <c r="F138" s="1290"/>
      <c r="I138" s="1149"/>
    </row>
    <row r="139" spans="1:9" ht="13.65" customHeight="1">
      <c r="D139" s="1290"/>
      <c r="E139" s="1290"/>
      <c r="F139" s="1290"/>
      <c r="I139" s="490"/>
    </row>
    <row r="140" spans="1:9" ht="13.65" customHeight="1">
      <c r="D140" s="1290"/>
      <c r="E140" s="1290"/>
      <c r="F140" s="1290"/>
      <c r="I140" s="490"/>
    </row>
    <row r="141" spans="1:9" ht="13.65" customHeight="1">
      <c r="D141" s="1290"/>
      <c r="E141" s="1290"/>
      <c r="F141" s="1290"/>
      <c r="I141" s="490"/>
    </row>
    <row r="142" spans="1:9" ht="13.65" customHeight="1">
      <c r="A142" s="489"/>
      <c r="B142" s="489"/>
      <c r="D142" s="1290"/>
      <c r="E142" s="1290"/>
      <c r="F142" s="1290"/>
      <c r="I142" s="490"/>
    </row>
    <row r="143" spans="1:9" ht="13.65" customHeight="1">
      <c r="D143" s="1290"/>
      <c r="E143" s="1290"/>
      <c r="F143" s="1290"/>
      <c r="I143" s="490"/>
    </row>
    <row r="144" spans="1:9" ht="13.65" customHeight="1">
      <c r="D144" s="1290"/>
      <c r="E144" s="1290"/>
      <c r="F144" s="1290"/>
      <c r="I144" s="490"/>
    </row>
    <row r="145" spans="2:9" ht="13.65" customHeight="1">
      <c r="D145" s="1290"/>
      <c r="E145" s="1290"/>
      <c r="F145" s="1290"/>
      <c r="I145" s="490"/>
    </row>
    <row r="146" spans="2:9" ht="13.65" customHeight="1">
      <c r="D146" s="1290"/>
      <c r="E146" s="1290"/>
      <c r="F146" s="1290"/>
      <c r="I146" s="490"/>
    </row>
    <row r="147" spans="2:9" ht="13.65" customHeight="1">
      <c r="D147" s="1290"/>
      <c r="E147" s="1290"/>
      <c r="F147" s="1290"/>
      <c r="I147" s="490"/>
    </row>
    <row r="148" spans="2:9" ht="13.65" customHeight="1">
      <c r="D148" s="1290"/>
      <c r="E148" s="1290"/>
      <c r="F148" s="1290"/>
      <c r="I148" s="490"/>
    </row>
    <row r="149" spans="2:9" ht="13.65" customHeight="1">
      <c r="D149" s="1290"/>
      <c r="E149" s="1290"/>
      <c r="F149" s="1290"/>
      <c r="I149" s="490"/>
    </row>
    <row r="150" spans="2:9" ht="13.65" customHeight="1">
      <c r="D150" s="476"/>
      <c r="E150" s="446"/>
      <c r="F150" s="446"/>
      <c r="I150" s="490"/>
    </row>
    <row r="151" spans="2:9" ht="13.65" customHeight="1">
      <c r="B151" s="485" t="s">
        <v>2651</v>
      </c>
      <c r="D151" s="1290" t="s">
        <v>1175</v>
      </c>
      <c r="E151" s="1290"/>
      <c r="F151" s="1290"/>
      <c r="I151" s="490"/>
    </row>
    <row r="152" spans="2:9" ht="13.65" customHeight="1">
      <c r="D152" s="1290"/>
      <c r="E152" s="1290"/>
      <c r="F152" s="1290"/>
      <c r="I152" s="490"/>
    </row>
    <row r="153" spans="2:9" ht="13.65" customHeight="1">
      <c r="D153" s="1290"/>
      <c r="E153" s="1290"/>
      <c r="F153" s="1290"/>
      <c r="I153" s="490"/>
    </row>
    <row r="154" spans="2:9" ht="13.65" customHeight="1">
      <c r="D154" s="1290"/>
      <c r="E154" s="1290"/>
      <c r="F154" s="1290"/>
      <c r="I154" s="490"/>
    </row>
    <row r="155" spans="2:9" ht="13.65" customHeight="1">
      <c r="D155" s="1290"/>
      <c r="E155" s="1290"/>
      <c r="F155" s="1290"/>
      <c r="I155" s="490"/>
    </row>
    <row r="156" spans="2:9" ht="13.65" customHeight="1">
      <c r="D156" s="1290"/>
      <c r="E156" s="1290"/>
      <c r="F156" s="1290"/>
      <c r="I156" s="490"/>
    </row>
    <row r="157" spans="2:9" ht="13.65" customHeight="1">
      <c r="D157" s="1290"/>
      <c r="E157" s="1290"/>
      <c r="F157" s="1290"/>
      <c r="I157" s="490"/>
    </row>
    <row r="158" spans="2:9" ht="13.65" customHeight="1">
      <c r="D158" s="1290"/>
      <c r="E158" s="1290"/>
      <c r="F158" s="1290"/>
      <c r="I158" s="490"/>
    </row>
    <row r="159" spans="2:9" ht="13.65" customHeight="1">
      <c r="D159" s="1290"/>
      <c r="E159" s="1290"/>
      <c r="F159" s="1290"/>
      <c r="I159" s="490"/>
    </row>
    <row r="160" spans="2:9" ht="13.65" customHeight="1">
      <c r="D160" s="1290"/>
      <c r="E160" s="1290"/>
      <c r="F160" s="1290"/>
      <c r="I160" s="490"/>
    </row>
    <row r="161" spans="1:9" ht="13.65" customHeight="1">
      <c r="D161" s="1290"/>
      <c r="E161" s="1290"/>
      <c r="F161" s="1290"/>
      <c r="I161" s="490"/>
    </row>
    <row r="162" spans="1:9" ht="13.65" customHeight="1">
      <c r="D162" s="1290"/>
      <c r="E162" s="1290"/>
      <c r="F162" s="1290"/>
      <c r="I162" s="490"/>
    </row>
    <row r="163" spans="1:9" ht="13.65" customHeight="1">
      <c r="D163" s="1290"/>
      <c r="E163" s="1290"/>
      <c r="F163" s="1290"/>
      <c r="I163" s="490"/>
    </row>
    <row r="164" spans="1:9" ht="13.65" customHeight="1">
      <c r="D164" s="1290"/>
      <c r="E164" s="1290"/>
      <c r="F164" s="1290"/>
      <c r="I164" s="490"/>
    </row>
    <row r="165" spans="1:9" ht="13.65" customHeight="1">
      <c r="D165" s="1290"/>
      <c r="E165" s="1290"/>
      <c r="F165" s="1290"/>
      <c r="I165" s="490"/>
    </row>
    <row r="166" spans="1:9" ht="13.65" customHeight="1">
      <c r="D166" s="1290"/>
      <c r="E166" s="1290"/>
      <c r="F166" s="1290"/>
      <c r="I166" s="490"/>
    </row>
    <row r="167" spans="1:9" ht="13.65" customHeight="1">
      <c r="D167" s="1290"/>
      <c r="E167" s="1290"/>
      <c r="F167" s="1290"/>
      <c r="I167" s="490"/>
    </row>
    <row r="168" spans="1:9" ht="13.65" customHeight="1">
      <c r="D168" s="1290"/>
      <c r="E168" s="1290"/>
      <c r="F168" s="1290"/>
      <c r="I168" s="490"/>
    </row>
    <row r="169" spans="1:9" ht="13.65" customHeight="1">
      <c r="D169" s="1309" t="s">
        <v>2030</v>
      </c>
      <c r="E169" s="1309"/>
      <c r="F169" s="1309"/>
      <c r="G169" s="507"/>
      <c r="I169" s="490"/>
    </row>
    <row r="170" spans="1:9" ht="13.65" customHeight="1">
      <c r="D170" s="1304"/>
      <c r="E170" s="1304"/>
      <c r="F170" s="1304"/>
      <c r="G170" s="1304"/>
      <c r="I170" s="490"/>
    </row>
    <row r="171" spans="1:9" ht="14.4" customHeight="1">
      <c r="A171" s="489"/>
      <c r="B171" s="485" t="s">
        <v>2651</v>
      </c>
      <c r="C171" s="476"/>
      <c r="D171" s="1269" t="s">
        <v>2166</v>
      </c>
      <c r="E171" s="1269"/>
      <c r="F171" s="1269"/>
      <c r="G171" s="476"/>
      <c r="I171" s="490"/>
    </row>
    <row r="172" spans="1:9" ht="14.4" customHeight="1">
      <c r="A172" s="489"/>
      <c r="B172" s="489"/>
      <c r="C172" s="476"/>
      <c r="D172" s="1269"/>
      <c r="E172" s="1269"/>
      <c r="F172" s="1269"/>
      <c r="G172" s="476"/>
      <c r="I172" s="490"/>
    </row>
    <row r="173" spans="1:9" ht="14.4" customHeight="1">
      <c r="A173" s="489"/>
      <c r="B173" s="489"/>
      <c r="C173" s="476"/>
      <c r="D173" s="1269"/>
      <c r="E173" s="1269"/>
      <c r="F173" s="1269"/>
      <c r="G173" s="476"/>
      <c r="I173" s="490"/>
    </row>
    <row r="174" spans="1:9" ht="14.4" customHeight="1">
      <c r="A174" s="489"/>
      <c r="B174" s="489"/>
      <c r="C174" s="476"/>
      <c r="D174" s="1269"/>
      <c r="E174" s="1269"/>
      <c r="F174" s="1269"/>
      <c r="G174" s="476"/>
      <c r="I174" s="490"/>
    </row>
    <row r="175" spans="1:9" ht="13.65" customHeight="1">
      <c r="A175" s="489"/>
      <c r="B175" s="489"/>
      <c r="C175" s="476"/>
      <c r="D175" s="1269"/>
      <c r="E175" s="1269"/>
      <c r="F175" s="1269"/>
      <c r="G175" s="476"/>
      <c r="I175" s="490"/>
    </row>
    <row r="176" spans="1:9" ht="13.65" customHeight="1">
      <c r="A176" s="489"/>
      <c r="B176" s="489"/>
      <c r="C176" s="476"/>
      <c r="D176" s="476"/>
      <c r="E176" s="476"/>
      <c r="F176" s="476"/>
      <c r="G176" s="476"/>
      <c r="I176" s="490"/>
    </row>
    <row r="177" spans="1:9" ht="13.65" customHeight="1">
      <c r="A177" s="489"/>
      <c r="B177" s="485" t="s">
        <v>2652</v>
      </c>
      <c r="C177" s="476"/>
      <c r="D177" s="1269" t="s">
        <v>1104</v>
      </c>
      <c r="E177" s="1269"/>
      <c r="F177" s="1269"/>
      <c r="G177" s="476"/>
      <c r="I177" s="490"/>
    </row>
    <row r="178" spans="1:9" ht="13.65" customHeight="1">
      <c r="A178" s="489"/>
      <c r="B178" s="489"/>
      <c r="C178" s="476"/>
      <c r="D178" s="1269"/>
      <c r="E178" s="1269"/>
      <c r="F178" s="1269"/>
      <c r="G178" s="476"/>
      <c r="I178" s="490"/>
    </row>
    <row r="179" spans="1:9" ht="13.65" customHeight="1">
      <c r="A179" s="489"/>
      <c r="B179" s="489"/>
      <c r="C179" s="476"/>
      <c r="D179" s="1269"/>
      <c r="E179" s="1269"/>
      <c r="F179" s="1269"/>
      <c r="G179" s="476"/>
      <c r="I179" s="490"/>
    </row>
    <row r="180" spans="1:9" ht="13.65" customHeight="1">
      <c r="A180" s="489"/>
      <c r="B180" s="489"/>
      <c r="C180" s="476"/>
      <c r="D180" s="1269"/>
      <c r="E180" s="1269"/>
      <c r="F180" s="1269"/>
      <c r="G180" s="476"/>
      <c r="I180" s="490"/>
    </row>
    <row r="181" spans="1:9" ht="13.65" customHeight="1">
      <c r="D181" s="446"/>
      <c r="E181" s="446"/>
      <c r="F181" s="446"/>
      <c r="I181" s="490"/>
    </row>
    <row r="182" spans="1:9" ht="13.65" hidden="1" customHeight="1">
      <c r="B182" s="485" t="s">
        <v>306</v>
      </c>
      <c r="D182" s="1294" t="s">
        <v>2009</v>
      </c>
      <c r="E182" s="1294"/>
      <c r="F182" s="1294"/>
      <c r="I182" s="490"/>
    </row>
    <row r="183" spans="1:9" ht="13.65" hidden="1" customHeight="1">
      <c r="D183" s="1294"/>
      <c r="E183" s="1294"/>
      <c r="F183" s="1294"/>
      <c r="I183" s="490"/>
    </row>
    <row r="184" spans="1:9" ht="13.65" hidden="1" customHeight="1">
      <c r="D184" s="1294"/>
      <c r="E184" s="1294"/>
      <c r="F184" s="1294"/>
      <c r="I184" s="490"/>
    </row>
    <row r="185" spans="1:9" ht="13.65" customHeight="1">
      <c r="A185" s="490"/>
      <c r="B185" s="490"/>
      <c r="E185" s="446"/>
      <c r="F185" s="446"/>
      <c r="I185" s="490"/>
    </row>
    <row r="186" spans="1:9">
      <c r="A186" s="1293" t="s">
        <v>2010</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1847</v>
      </c>
      <c r="C189" s="392"/>
      <c r="D189" s="392"/>
      <c r="E189" s="392"/>
      <c r="F189" s="392"/>
      <c r="I189" s="490"/>
    </row>
    <row r="190" spans="1:9" ht="12" customHeight="1">
      <c r="A190" s="482"/>
      <c r="B190" s="482"/>
      <c r="C190" s="482"/>
      <c r="I190" s="490"/>
    </row>
    <row r="191" spans="1:9">
      <c r="A191" s="1293" t="s">
        <v>1043</v>
      </c>
      <c r="B191" s="1293"/>
      <c r="C191" s="1293"/>
      <c r="D191" s="1293"/>
      <c r="E191" s="1293"/>
      <c r="F191" s="1293"/>
      <c r="G191" s="1293"/>
      <c r="H191" s="1023"/>
      <c r="I191" s="1147"/>
    </row>
    <row r="192" spans="1:9" ht="12" customHeight="1">
      <c r="A192" s="404"/>
      <c r="B192" s="404"/>
      <c r="E192" s="404"/>
      <c r="I192" s="490"/>
    </row>
    <row r="193" spans="1:9" ht="13.65" customHeight="1">
      <c r="A193" s="404"/>
      <c r="B193" s="404"/>
      <c r="D193" s="1292" t="s">
        <v>1733</v>
      </c>
      <c r="E193" s="1292"/>
      <c r="F193" s="1292"/>
      <c r="I193" s="490"/>
    </row>
    <row r="194" spans="1:9">
      <c r="A194" s="404"/>
      <c r="B194" s="404"/>
      <c r="D194" s="1292"/>
      <c r="E194" s="1292"/>
      <c r="F194" s="1292"/>
      <c r="I194" s="490"/>
    </row>
    <row r="195" spans="1:9">
      <c r="A195" s="404"/>
      <c r="B195" s="404"/>
      <c r="D195" s="1297" t="s">
        <v>1193</v>
      </c>
      <c r="E195" s="1297"/>
      <c r="F195" s="1297"/>
      <c r="I195" s="490"/>
    </row>
    <row r="196" spans="1:9">
      <c r="A196" s="404"/>
      <c r="B196" s="404"/>
      <c r="D196" s="392"/>
      <c r="E196" s="392"/>
      <c r="F196" s="392"/>
      <c r="I196" s="490"/>
    </row>
    <row r="197" spans="1:9">
      <c r="A197" s="404"/>
      <c r="B197" s="485" t="s">
        <v>2652</v>
      </c>
      <c r="D197" s="1305" t="s">
        <v>1734</v>
      </c>
      <c r="E197" s="1305"/>
      <c r="F197" s="1305"/>
      <c r="I197" s="490"/>
    </row>
    <row r="198" spans="1:9">
      <c r="A198" s="404"/>
      <c r="B198" s="404"/>
      <c r="D198" s="1306" t="s">
        <v>1873</v>
      </c>
      <c r="E198" s="1306"/>
      <c r="F198" s="1306"/>
      <c r="I198" s="490"/>
    </row>
    <row r="199" spans="1:9">
      <c r="A199" s="404"/>
      <c r="B199" s="404"/>
      <c r="D199" s="96" t="s">
        <v>1735</v>
      </c>
      <c r="E199" s="1307" t="s">
        <v>1896</v>
      </c>
      <c r="F199" s="1307"/>
      <c r="I199" s="490"/>
    </row>
    <row r="200" spans="1:9">
      <c r="A200" s="404"/>
      <c r="B200" s="404"/>
      <c r="D200" s="3"/>
      <c r="E200" s="3"/>
      <c r="F200" s="3"/>
      <c r="I200" s="490"/>
    </row>
    <row r="201" spans="1:9">
      <c r="A201" s="404"/>
      <c r="B201" s="485" t="s">
        <v>2651</v>
      </c>
      <c r="D201" s="1306" t="s">
        <v>1736</v>
      </c>
      <c r="E201" s="1306"/>
      <c r="F201" s="1306"/>
      <c r="I201" s="490"/>
    </row>
    <row r="202" spans="1:9">
      <c r="A202" s="404"/>
      <c r="B202" s="404"/>
      <c r="D202" s="1305" t="s">
        <v>1873</v>
      </c>
      <c r="E202" s="1305"/>
      <c r="F202" s="1305"/>
      <c r="I202" s="490"/>
    </row>
    <row r="203" spans="1:9">
      <c r="A203" s="404"/>
      <c r="B203" s="404"/>
      <c r="D203" s="57" t="s">
        <v>1737</v>
      </c>
      <c r="E203" s="1307" t="s">
        <v>1897</v>
      </c>
      <c r="F203" s="1307"/>
      <c r="I203" s="490"/>
    </row>
    <row r="204" spans="1:9">
      <c r="A204" s="404"/>
      <c r="B204" s="404"/>
      <c r="D204" s="3"/>
      <c r="E204" s="3"/>
      <c r="F204" s="3"/>
      <c r="I204" s="490"/>
    </row>
    <row r="205" spans="1:9">
      <c r="A205" s="404"/>
      <c r="B205" s="485" t="s">
        <v>2651</v>
      </c>
      <c r="D205" s="1306" t="s">
        <v>1738</v>
      </c>
      <c r="E205" s="1306"/>
      <c r="F205" s="1306"/>
      <c r="I205" s="490"/>
    </row>
    <row r="206" spans="1:9">
      <c r="A206" s="404"/>
      <c r="B206" s="404"/>
      <c r="D206" s="1305" t="s">
        <v>1873</v>
      </c>
      <c r="E206" s="1305"/>
      <c r="F206" s="1305"/>
      <c r="I206" s="490"/>
    </row>
    <row r="207" spans="1:9">
      <c r="A207" s="404"/>
      <c r="B207" s="404"/>
      <c r="D207" s="57" t="s">
        <v>1735</v>
      </c>
      <c r="E207" s="1307" t="s">
        <v>1898</v>
      </c>
      <c r="F207" s="1307"/>
      <c r="I207" s="490"/>
    </row>
    <row r="208" spans="1:9">
      <c r="A208" s="404"/>
      <c r="B208" s="404"/>
      <c r="D208" s="392"/>
      <c r="E208" s="392"/>
      <c r="F208" s="392"/>
      <c r="I208" s="490"/>
    </row>
    <row r="209" spans="1:9" ht="14.25" customHeight="1">
      <c r="A209" s="484"/>
      <c r="B209" s="485" t="s">
        <v>2651</v>
      </c>
      <c r="D209" s="386" t="s">
        <v>1866</v>
      </c>
      <c r="E209" s="385"/>
      <c r="F209" s="385"/>
      <c r="I209" s="490"/>
    </row>
    <row r="210" spans="1:9" ht="14.4">
      <c r="A210" s="484"/>
      <c r="B210" s="484"/>
      <c r="D210" s="1305" t="s">
        <v>1873</v>
      </c>
      <c r="E210" s="1305"/>
      <c r="F210" s="1305"/>
      <c r="I210" s="490"/>
    </row>
    <row r="211" spans="1:9">
      <c r="D211" s="385"/>
      <c r="E211" s="1307" t="s">
        <v>1899</v>
      </c>
      <c r="F211" s="1307"/>
      <c r="I211" s="490"/>
    </row>
    <row r="212" spans="1:9">
      <c r="D212" s="447"/>
      <c r="I212" s="490"/>
    </row>
    <row r="213" spans="1:9">
      <c r="B213" s="485" t="s">
        <v>2651</v>
      </c>
      <c r="D213" s="1306" t="s">
        <v>1739</v>
      </c>
      <c r="E213" s="1306"/>
      <c r="F213" s="1306"/>
      <c r="I213" s="490"/>
    </row>
    <row r="214" spans="1:9">
      <c r="D214" s="1305" t="s">
        <v>1873</v>
      </c>
      <c r="E214" s="1305"/>
      <c r="F214" s="1305"/>
      <c r="I214" s="490"/>
    </row>
    <row r="215" spans="1:9">
      <c r="D215" s="57" t="s">
        <v>1735</v>
      </c>
      <c r="E215" s="1307" t="s">
        <v>1900</v>
      </c>
      <c r="F215" s="1307"/>
      <c r="I215" s="490"/>
    </row>
    <row r="216" spans="1:9">
      <c r="D216" s="451"/>
      <c r="E216" s="451"/>
      <c r="F216" s="451"/>
      <c r="I216" s="490"/>
    </row>
    <row r="217" spans="1:9" ht="14.4">
      <c r="A217" s="484"/>
      <c r="B217" s="485" t="s">
        <v>2651</v>
      </c>
      <c r="D217" s="1290" t="s">
        <v>1214</v>
      </c>
      <c r="E217" s="1290"/>
      <c r="F217" s="1290"/>
      <c r="I217" s="490"/>
    </row>
    <row r="218" spans="1:9" ht="14.4" customHeight="1">
      <c r="A218" s="484"/>
      <c r="B218" s="402"/>
      <c r="D218" s="1290"/>
      <c r="E218" s="1290"/>
      <c r="F218" s="1290"/>
      <c r="I218" s="490"/>
    </row>
    <row r="219" spans="1:9" ht="14.4">
      <c r="A219" s="484"/>
      <c r="D219" s="1290"/>
      <c r="E219" s="1290"/>
      <c r="F219" s="1290"/>
      <c r="I219" s="490"/>
    </row>
    <row r="220" spans="1:9" ht="14.4">
      <c r="A220" s="484"/>
      <c r="D220" s="1290"/>
      <c r="E220" s="1290"/>
      <c r="F220" s="1290"/>
      <c r="I220" s="490"/>
    </row>
    <row r="221" spans="1:9">
      <c r="D221" s="451"/>
      <c r="E221" s="451"/>
      <c r="F221" s="451"/>
      <c r="I221" s="490"/>
    </row>
    <row r="222" spans="1:9">
      <c r="A222" s="1293" t="s">
        <v>1044</v>
      </c>
      <c r="B222" s="1293"/>
      <c r="C222" s="1293"/>
      <c r="D222" s="1293"/>
      <c r="E222" s="1293"/>
      <c r="F222" s="1293"/>
      <c r="G222" s="1293"/>
      <c r="H222" s="1023"/>
      <c r="I222" s="1147"/>
    </row>
    <row r="223" spans="1:9" ht="12" customHeight="1">
      <c r="D223" s="446"/>
      <c r="E223" s="446"/>
      <c r="F223" s="446"/>
      <c r="I223" s="490"/>
    </row>
    <row r="224" spans="1:9">
      <c r="C224" s="486"/>
      <c r="D224" s="1299" t="s">
        <v>207</v>
      </c>
      <c r="E224" s="1299"/>
      <c r="F224" s="1299"/>
      <c r="I224" s="490"/>
    </row>
    <row r="225" spans="1:9">
      <c r="A225" s="482"/>
      <c r="B225" s="482"/>
      <c r="C225" s="482"/>
      <c r="D225" s="1291" t="s">
        <v>1118</v>
      </c>
      <c r="E225" s="1291"/>
      <c r="F225" s="1291"/>
      <c r="I225" s="490"/>
    </row>
    <row r="226" spans="1:9" ht="12" customHeight="1">
      <c r="A226" s="490"/>
      <c r="B226" s="490"/>
      <c r="C226" s="490"/>
      <c r="I226" s="490"/>
    </row>
    <row r="227" spans="1:9" ht="13.65" customHeight="1">
      <c r="A227" s="490"/>
      <c r="C227" s="490"/>
      <c r="D227" s="1299" t="s">
        <v>545</v>
      </c>
      <c r="E227" s="1299"/>
      <c r="F227" s="1299"/>
      <c r="I227" s="490"/>
    </row>
    <row r="228" spans="1:9" ht="14.4">
      <c r="A228" s="484"/>
      <c r="B228" s="485" t="s">
        <v>2652</v>
      </c>
      <c r="D228" s="1290" t="s">
        <v>1740</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4">
      <c r="A231" s="484"/>
      <c r="B231" s="484"/>
      <c r="D231" s="1290"/>
      <c r="E231" s="1290"/>
      <c r="F231" s="1290"/>
      <c r="I231" s="490"/>
    </row>
    <row r="232" spans="1:9" ht="14.4">
      <c r="A232" s="484"/>
      <c r="B232" s="484"/>
      <c r="D232" s="445"/>
      <c r="E232" s="445"/>
      <c r="F232" s="445"/>
      <c r="I232" s="490"/>
    </row>
    <row r="233" spans="1:9" ht="14.4">
      <c r="A233" s="484"/>
      <c r="B233" s="485" t="s">
        <v>2652</v>
      </c>
      <c r="D233" s="1290" t="s">
        <v>1741</v>
      </c>
      <c r="E233" s="1290"/>
      <c r="F233" s="1290"/>
      <c r="I233" s="490"/>
    </row>
    <row r="234" spans="1:9" ht="14.4">
      <c r="A234" s="484"/>
      <c r="B234" s="484"/>
      <c r="D234" s="1290"/>
      <c r="E234" s="1290"/>
      <c r="F234" s="1290"/>
      <c r="I234" s="490"/>
    </row>
    <row r="235" spans="1:9" ht="14.4">
      <c r="A235" s="484"/>
      <c r="B235" s="484"/>
      <c r="D235" s="1290"/>
      <c r="E235" s="1290"/>
      <c r="F235" s="1290"/>
      <c r="I235" s="490"/>
    </row>
    <row r="236" spans="1:9" ht="14.4">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4">
      <c r="A239" s="484"/>
      <c r="B239" s="484"/>
      <c r="D239" s="1290" t="s">
        <v>1116</v>
      </c>
      <c r="E239" s="1290"/>
      <c r="F239" s="1290"/>
      <c r="I239" s="490"/>
    </row>
    <row r="240" spans="1:9" ht="14.4">
      <c r="A240" s="484"/>
      <c r="B240" s="484"/>
      <c r="D240" s="1290"/>
      <c r="E240" s="1290"/>
      <c r="F240" s="1290"/>
      <c r="I240" s="490"/>
    </row>
    <row r="241" spans="1:9" ht="14.4">
      <c r="A241" s="484"/>
      <c r="B241" s="484"/>
      <c r="D241" s="1290"/>
      <c r="E241" s="1290"/>
      <c r="F241" s="1290"/>
      <c r="I241" s="490"/>
    </row>
    <row r="242" spans="1:9" ht="14.4">
      <c r="A242" s="484"/>
      <c r="B242" s="484"/>
      <c r="D242" s="1290"/>
      <c r="E242" s="1290"/>
      <c r="F242" s="1290"/>
      <c r="I242" s="490"/>
    </row>
    <row r="243" spans="1:9" ht="14.4">
      <c r="A243" s="484"/>
      <c r="B243" s="484"/>
      <c r="D243" s="1290"/>
      <c r="E243" s="1290"/>
      <c r="F243" s="1290"/>
      <c r="I243" s="490"/>
    </row>
    <row r="244" spans="1:9" ht="14.4">
      <c r="A244" s="484"/>
      <c r="B244" s="484"/>
      <c r="D244" s="446"/>
      <c r="E244" s="446"/>
      <c r="F244" s="446"/>
      <c r="I244" s="490"/>
    </row>
    <row r="245" spans="1:9" ht="14.4">
      <c r="A245" s="484"/>
      <c r="B245" s="485" t="s">
        <v>2651</v>
      </c>
      <c r="D245" s="1290" t="s">
        <v>2011</v>
      </c>
      <c r="E245" s="1290"/>
      <c r="F245" s="1290"/>
      <c r="I245" s="490"/>
    </row>
    <row r="246" spans="1:9" ht="14.4">
      <c r="A246" s="484"/>
      <c r="B246" s="484"/>
      <c r="D246" s="1290"/>
      <c r="E246" s="1290"/>
      <c r="F246" s="1290"/>
      <c r="I246" s="490"/>
    </row>
    <row r="247" spans="1:9" ht="14.4">
      <c r="A247" s="484"/>
      <c r="B247" s="484"/>
      <c r="D247" s="1290"/>
      <c r="E247" s="1290"/>
      <c r="F247" s="1290"/>
      <c r="I247" s="490"/>
    </row>
    <row r="248" spans="1:9" ht="14.4">
      <c r="A248" s="484"/>
      <c r="B248" s="484"/>
      <c r="E248" s="1031" t="s">
        <v>1867</v>
      </c>
      <c r="I248" s="490"/>
    </row>
    <row r="249" spans="1:9" ht="14.4">
      <c r="A249" s="484"/>
      <c r="B249" s="484"/>
      <c r="D249" s="446"/>
      <c r="E249" s="446"/>
      <c r="F249" s="446"/>
      <c r="I249" s="490"/>
    </row>
    <row r="250" spans="1:9" ht="14.4" customHeight="1">
      <c r="A250" s="484"/>
      <c r="B250" s="485" t="s">
        <v>2651</v>
      </c>
      <c r="D250" s="1290" t="s">
        <v>2012</v>
      </c>
      <c r="E250" s="1290"/>
      <c r="F250" s="1290"/>
      <c r="I250" s="490"/>
    </row>
    <row r="251" spans="1:9" ht="14.4">
      <c r="A251" s="484"/>
      <c r="B251" s="484"/>
      <c r="D251" s="1290"/>
      <c r="E251" s="1290"/>
      <c r="F251" s="1290"/>
      <c r="I251" s="490"/>
    </row>
    <row r="252" spans="1:9" ht="14.4">
      <c r="A252" s="484"/>
      <c r="B252" s="484"/>
      <c r="D252" s="1290"/>
      <c r="E252" s="1290"/>
      <c r="F252" s="1290"/>
      <c r="I252" s="490"/>
    </row>
    <row r="253" spans="1:9" ht="14.4">
      <c r="A253" s="484"/>
      <c r="B253" s="484"/>
      <c r="D253" s="1290"/>
      <c r="E253" s="1290"/>
      <c r="F253" s="1290"/>
      <c r="I253" s="490"/>
    </row>
    <row r="254" spans="1:9" ht="14.4">
      <c r="A254" s="484"/>
      <c r="B254" s="484"/>
      <c r="D254" s="1290"/>
      <c r="E254" s="1290"/>
      <c r="F254" s="1290"/>
      <c r="I254" s="490"/>
    </row>
    <row r="255" spans="1:9" ht="14.4">
      <c r="A255" s="484"/>
      <c r="B255" s="484"/>
      <c r="D255" s="445"/>
      <c r="E255" s="445"/>
      <c r="F255" s="445"/>
      <c r="I255" s="490"/>
    </row>
    <row r="256" spans="1:9" ht="14.4">
      <c r="A256" s="484"/>
      <c r="B256" s="485" t="s">
        <v>2652</v>
      </c>
      <c r="D256" s="392" t="s">
        <v>2013</v>
      </c>
      <c r="E256" s="445"/>
      <c r="F256" s="445"/>
      <c r="I256" s="490"/>
    </row>
    <row r="257" spans="1:9" ht="14.4">
      <c r="A257" s="484"/>
      <c r="B257" s="484"/>
      <c r="E257" s="1031" t="s">
        <v>1868</v>
      </c>
      <c r="I257" s="490"/>
    </row>
    <row r="258" spans="1:9">
      <c r="D258" s="446"/>
      <c r="E258" s="446"/>
      <c r="F258" s="446"/>
      <c r="I258" s="490"/>
    </row>
    <row r="259" spans="1:9" ht="14.4">
      <c r="A259" s="484"/>
      <c r="B259" s="485" t="s">
        <v>2652</v>
      </c>
      <c r="D259" s="1290" t="s">
        <v>1117</v>
      </c>
      <c r="E259" s="1290"/>
      <c r="F259" s="1290"/>
      <c r="I259" s="490"/>
    </row>
    <row r="260" spans="1:9" ht="14.4">
      <c r="A260" s="484"/>
      <c r="B260" s="484"/>
      <c r="D260" s="1290"/>
      <c r="E260" s="1290"/>
      <c r="F260" s="1290"/>
      <c r="I260" s="490"/>
    </row>
    <row r="261" spans="1:9">
      <c r="D261" s="491"/>
      <c r="I261" s="490"/>
    </row>
    <row r="262" spans="1:9">
      <c r="A262" s="1293" t="s">
        <v>1045</v>
      </c>
      <c r="B262" s="1293"/>
      <c r="C262" s="1293"/>
      <c r="D262" s="1293"/>
      <c r="E262" s="1293"/>
      <c r="F262" s="1293"/>
      <c r="G262" s="1293"/>
      <c r="H262" s="1023"/>
      <c r="I262" s="1147"/>
    </row>
    <row r="263" spans="1:9">
      <c r="D263" s="491"/>
      <c r="I263" s="490"/>
    </row>
    <row r="264" spans="1:9">
      <c r="C264" s="486"/>
      <c r="D264" s="1299" t="s">
        <v>1119</v>
      </c>
      <c r="E264" s="1299"/>
      <c r="F264" s="1299"/>
      <c r="I264" s="490"/>
    </row>
    <row r="265" spans="1:9">
      <c r="A265" s="482"/>
      <c r="B265" s="482"/>
      <c r="C265" s="482"/>
      <c r="D265" s="446"/>
      <c r="E265" s="446"/>
      <c r="F265" s="446"/>
      <c r="I265" s="490"/>
    </row>
    <row r="266" spans="1:9">
      <c r="A266" s="483"/>
      <c r="B266" s="483"/>
      <c r="C266" s="483"/>
      <c r="D266" s="1299" t="s">
        <v>268</v>
      </c>
      <c r="E266" s="1299"/>
      <c r="F266" s="1299"/>
      <c r="I266" s="490"/>
    </row>
    <row r="267" spans="1:9" ht="14.4" customHeight="1">
      <c r="A267" s="484"/>
      <c r="B267" s="485" t="s">
        <v>2652</v>
      </c>
      <c r="D267" s="1290" t="s">
        <v>1194</v>
      </c>
      <c r="E267" s="1290"/>
      <c r="F267" s="1290"/>
      <c r="I267" s="490"/>
    </row>
    <row r="268" spans="1:9">
      <c r="D268" s="1290"/>
      <c r="E268" s="1290"/>
      <c r="F268" s="1290"/>
      <c r="I268" s="490"/>
    </row>
    <row r="269" spans="1:9">
      <c r="E269" s="1031" t="s">
        <v>1869</v>
      </c>
      <c r="I269" s="490"/>
    </row>
    <row r="270" spans="1:9">
      <c r="D270" s="446"/>
      <c r="E270" s="446"/>
      <c r="F270" s="446"/>
      <c r="I270" s="490"/>
    </row>
    <row r="271" spans="1:9" ht="14.4" customHeight="1">
      <c r="A271" s="484"/>
      <c r="B271" s="485" t="s">
        <v>2651</v>
      </c>
      <c r="D271" s="1290" t="s">
        <v>2014</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4">
      <c r="A278" s="484"/>
      <c r="B278" s="485" t="s">
        <v>2651</v>
      </c>
      <c r="D278" s="1290" t="s">
        <v>1120</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1046</v>
      </c>
      <c r="B282" s="1293"/>
      <c r="C282" s="1293"/>
      <c r="D282" s="1293"/>
      <c r="E282" s="1293"/>
      <c r="F282" s="1293"/>
      <c r="G282" s="1293"/>
      <c r="H282" s="1023"/>
      <c r="I282" s="1147"/>
    </row>
    <row r="283" spans="1:9">
      <c r="D283" s="492"/>
      <c r="E283" s="446"/>
      <c r="F283" s="446"/>
      <c r="I283" s="490"/>
    </row>
    <row r="284" spans="1:9">
      <c r="C284" s="482"/>
      <c r="D284" s="1292" t="s">
        <v>1121</v>
      </c>
      <c r="E284" s="1292"/>
      <c r="F284" s="1292"/>
      <c r="I284" s="490"/>
    </row>
    <row r="285" spans="1:9">
      <c r="C285" s="482"/>
      <c r="D285" s="1292"/>
      <c r="E285" s="1292"/>
      <c r="F285" s="1292"/>
      <c r="I285" s="490"/>
    </row>
    <row r="286" spans="1:9">
      <c r="A286" s="483"/>
      <c r="B286" s="483"/>
      <c r="C286" s="483"/>
      <c r="D286" s="404"/>
      <c r="I286" s="490"/>
    </row>
    <row r="287" spans="1:9">
      <c r="C287" s="483"/>
      <c r="D287" s="1299" t="s">
        <v>208</v>
      </c>
      <c r="E287" s="1299"/>
      <c r="F287" s="1299"/>
      <c r="I287" s="490"/>
    </row>
    <row r="288" spans="1:9" ht="15.75" customHeight="1">
      <c r="A288" s="484"/>
      <c r="B288" s="484"/>
      <c r="D288" s="1302" t="s">
        <v>1122</v>
      </c>
      <c r="E288" s="1302"/>
      <c r="F288" s="1302"/>
      <c r="I288" s="490"/>
    </row>
    <row r="289" spans="1:9">
      <c r="E289" s="446"/>
      <c r="F289" s="446"/>
      <c r="I289" s="490"/>
    </row>
    <row r="290" spans="1:9" ht="14.4">
      <c r="A290" s="484"/>
      <c r="B290" s="485" t="s">
        <v>2651</v>
      </c>
      <c r="D290" s="1290" t="s">
        <v>1123</v>
      </c>
      <c r="E290" s="1290"/>
      <c r="F290" s="1290"/>
      <c r="I290" s="490"/>
    </row>
    <row r="291" spans="1:9" ht="14.4">
      <c r="A291" s="484"/>
      <c r="B291" s="484"/>
      <c r="D291" s="1290"/>
      <c r="E291" s="1290"/>
      <c r="F291" s="1290"/>
      <c r="I291" s="490"/>
    </row>
    <row r="292" spans="1:9">
      <c r="D292" s="446"/>
      <c r="E292" s="446"/>
      <c r="F292" s="446"/>
      <c r="I292" s="490"/>
    </row>
    <row r="293" spans="1:9" ht="14.4">
      <c r="A293" s="484"/>
      <c r="B293" s="485" t="s">
        <v>2651</v>
      </c>
      <c r="D293" s="1290" t="s">
        <v>1124</v>
      </c>
      <c r="E293" s="1290"/>
      <c r="F293" s="1290"/>
      <c r="I293" s="490"/>
    </row>
    <row r="294" spans="1:9" ht="14.4">
      <c r="A294" s="484"/>
      <c r="B294" s="484"/>
      <c r="D294" s="1290"/>
      <c r="E294" s="1290"/>
      <c r="F294" s="1290"/>
      <c r="I294" s="490"/>
    </row>
    <row r="295" spans="1:9" ht="14.4">
      <c r="A295" s="484"/>
      <c r="B295" s="484"/>
      <c r="D295" s="1290"/>
      <c r="E295" s="1290"/>
      <c r="F295" s="1290"/>
      <c r="I295" s="490"/>
    </row>
    <row r="296" spans="1:9">
      <c r="D296" s="446"/>
      <c r="E296" s="446"/>
      <c r="F296" s="446"/>
      <c r="I296" s="490"/>
    </row>
    <row r="297" spans="1:9" ht="14.4">
      <c r="A297" s="484"/>
      <c r="B297" s="485" t="s">
        <v>2651</v>
      </c>
      <c r="D297" s="1290" t="s">
        <v>1125</v>
      </c>
      <c r="E297" s="1290"/>
      <c r="F297" s="1290"/>
      <c r="I297" s="490"/>
    </row>
    <row r="298" spans="1:9" ht="14.4">
      <c r="A298" s="484"/>
      <c r="B298" s="484"/>
      <c r="D298" s="1290"/>
      <c r="E298" s="1290"/>
      <c r="F298" s="1290"/>
      <c r="I298" s="490"/>
    </row>
    <row r="299" spans="1:9">
      <c r="A299" s="490"/>
      <c r="B299" s="490"/>
      <c r="E299" s="446"/>
      <c r="F299" s="446"/>
      <c r="I299" s="490"/>
    </row>
    <row r="300" spans="1:9">
      <c r="A300" s="1293" t="s">
        <v>1047</v>
      </c>
      <c r="B300" s="1293"/>
      <c r="C300" s="1293"/>
      <c r="D300" s="1293"/>
      <c r="E300" s="1293"/>
      <c r="F300" s="1293"/>
      <c r="G300" s="1293"/>
      <c r="H300" s="1023"/>
      <c r="I300" s="1147"/>
    </row>
    <row r="301" spans="1:9">
      <c r="A301" s="490"/>
      <c r="B301" s="490"/>
      <c r="D301" s="446"/>
      <c r="E301" s="446"/>
      <c r="F301" s="446"/>
      <c r="I301" s="490"/>
    </row>
    <row r="302" spans="1:9">
      <c r="C302" s="490"/>
      <c r="D302" s="1299" t="s">
        <v>680</v>
      </c>
      <c r="E302" s="1299"/>
      <c r="F302" s="1299"/>
      <c r="I302" s="490"/>
    </row>
    <row r="303" spans="1:9">
      <c r="C303" s="490"/>
      <c r="D303" s="1291" t="s">
        <v>1126</v>
      </c>
      <c r="E303" s="1291"/>
      <c r="F303" s="1291"/>
      <c r="I303" s="490"/>
    </row>
    <row r="304" spans="1:9">
      <c r="C304" s="490"/>
      <c r="D304" s="493"/>
      <c r="I304" s="490"/>
    </row>
    <row r="305" spans="1:9">
      <c r="B305" s="485" t="s">
        <v>2651</v>
      </c>
      <c r="D305" s="1291" t="s">
        <v>1127</v>
      </c>
      <c r="E305" s="1291"/>
      <c r="F305" s="1291"/>
      <c r="I305" s="490"/>
    </row>
    <row r="306" spans="1:9" ht="14.4">
      <c r="A306" s="484"/>
      <c r="B306" s="484"/>
      <c r="D306" s="494"/>
      <c r="E306" s="495"/>
      <c r="F306" s="495"/>
      <c r="I306" s="490"/>
    </row>
    <row r="307" spans="1:9" ht="13.65" customHeight="1">
      <c r="B307" s="485" t="s">
        <v>2651</v>
      </c>
      <c r="D307" s="1314" t="s">
        <v>1217</v>
      </c>
      <c r="E307" s="1314"/>
      <c r="F307" s="1314"/>
      <c r="I307" s="490"/>
    </row>
    <row r="308" spans="1:9" ht="14.4">
      <c r="A308" s="484"/>
      <c r="B308" s="484"/>
      <c r="D308" s="1314"/>
      <c r="E308" s="1314"/>
      <c r="F308" s="1314"/>
      <c r="I308" s="490"/>
    </row>
    <row r="309" spans="1:9" ht="14.4">
      <c r="A309" s="484"/>
      <c r="B309" s="484"/>
      <c r="D309" s="1314"/>
      <c r="E309" s="1314"/>
      <c r="F309" s="1314"/>
      <c r="I309" s="490"/>
    </row>
    <row r="310" spans="1:9" ht="14.4">
      <c r="A310" s="484"/>
      <c r="B310" s="484"/>
      <c r="D310" s="1314"/>
      <c r="E310" s="1314"/>
      <c r="F310" s="1314"/>
      <c r="I310" s="490"/>
    </row>
    <row r="311" spans="1:9" ht="14.4">
      <c r="A311" s="484"/>
      <c r="B311" s="484"/>
      <c r="D311" s="1314"/>
      <c r="E311" s="1314"/>
      <c r="F311" s="1314"/>
      <c r="I311" s="490"/>
    </row>
    <row r="312" spans="1:9" ht="14.4">
      <c r="A312" s="484"/>
      <c r="B312" s="484"/>
      <c r="D312" s="494"/>
      <c r="E312" s="495"/>
      <c r="F312" s="495"/>
      <c r="I312" s="490"/>
    </row>
    <row r="313" spans="1:9" ht="13.65" customHeight="1">
      <c r="B313" s="485" t="s">
        <v>2651</v>
      </c>
      <c r="D313" s="1314" t="s">
        <v>1128</v>
      </c>
      <c r="E313" s="1314"/>
      <c r="F313" s="1314"/>
      <c r="I313" s="490"/>
    </row>
    <row r="314" spans="1:9">
      <c r="D314" s="1314"/>
      <c r="E314" s="1314"/>
      <c r="F314" s="1314"/>
      <c r="I314" s="490"/>
    </row>
    <row r="315" spans="1:9" ht="14.4">
      <c r="A315" s="484"/>
      <c r="B315" s="484"/>
      <c r="D315" s="494"/>
      <c r="E315" s="495"/>
      <c r="F315" s="495"/>
      <c r="I315" s="490"/>
    </row>
    <row r="316" spans="1:9">
      <c r="B316" s="485" t="s">
        <v>2651</v>
      </c>
      <c r="D316" s="1291" t="s">
        <v>1129</v>
      </c>
      <c r="E316" s="1291"/>
      <c r="F316" s="1291"/>
      <c r="I316" s="490"/>
    </row>
    <row r="317" spans="1:9">
      <c r="E317" s="446"/>
      <c r="F317" s="446"/>
      <c r="I317" s="490"/>
    </row>
    <row r="318" spans="1:9" ht="14.4">
      <c r="A318" s="484"/>
      <c r="B318" s="485" t="s">
        <v>2651</v>
      </c>
      <c r="D318" s="1290" t="s">
        <v>2197</v>
      </c>
      <c r="E318" s="1290"/>
      <c r="F318" s="1290"/>
      <c r="I318" s="490"/>
    </row>
    <row r="319" spans="1:9" ht="14.4">
      <c r="A319" s="484"/>
      <c r="B319" s="484"/>
      <c r="D319" s="1290"/>
      <c r="E319" s="1290"/>
      <c r="F319" s="1290"/>
      <c r="I319" s="490"/>
    </row>
    <row r="320" spans="1:9" ht="14.4">
      <c r="A320" s="484"/>
      <c r="B320" s="484"/>
      <c r="D320" s="1290"/>
      <c r="E320" s="1290"/>
      <c r="F320" s="1290"/>
      <c r="I320" s="490"/>
    </row>
    <row r="321" spans="1:9" ht="14.4">
      <c r="A321" s="484"/>
      <c r="B321" s="484"/>
      <c r="D321" s="1290"/>
      <c r="E321" s="1290"/>
      <c r="F321" s="1290"/>
      <c r="I321" s="490"/>
    </row>
    <row r="322" spans="1:9" ht="14.4">
      <c r="A322" s="484"/>
      <c r="B322" s="484"/>
      <c r="D322" s="1290"/>
      <c r="E322" s="1290"/>
      <c r="F322" s="1290"/>
      <c r="I322" s="490"/>
    </row>
    <row r="323" spans="1:9" ht="14.4">
      <c r="A323" s="484"/>
      <c r="B323" s="484"/>
      <c r="D323" s="1290"/>
      <c r="E323" s="1290"/>
      <c r="F323" s="1290"/>
      <c r="I323" s="490"/>
    </row>
    <row r="324" spans="1:9" ht="14.4">
      <c r="A324" s="484"/>
      <c r="B324" s="484"/>
      <c r="D324" s="1290"/>
      <c r="E324" s="1290"/>
      <c r="F324" s="1290"/>
      <c r="I324" s="490"/>
    </row>
    <row r="325" spans="1:9" ht="14.4">
      <c r="A325" s="484"/>
      <c r="B325" s="484"/>
      <c r="D325" s="1290"/>
      <c r="E325" s="1290"/>
      <c r="F325" s="1290"/>
      <c r="I325" s="490"/>
    </row>
    <row r="326" spans="1:9" ht="14.4">
      <c r="A326" s="484"/>
      <c r="B326" s="484"/>
      <c r="D326" s="1290"/>
      <c r="E326" s="1290"/>
      <c r="F326" s="1290"/>
      <c r="I326" s="490"/>
    </row>
    <row r="327" spans="1:9" ht="14.4">
      <c r="A327" s="484"/>
      <c r="B327" s="484"/>
      <c r="D327" s="1290"/>
      <c r="E327" s="1290"/>
      <c r="F327" s="1290"/>
      <c r="I327" s="490"/>
    </row>
    <row r="328" spans="1:9" ht="14.4">
      <c r="A328" s="484"/>
      <c r="B328" s="484"/>
      <c r="D328" s="1290"/>
      <c r="E328" s="1290"/>
      <c r="F328" s="1290"/>
      <c r="I328" s="490"/>
    </row>
    <row r="329" spans="1:9" ht="14.4">
      <c r="A329" s="484"/>
      <c r="B329" s="484"/>
      <c r="D329" s="1290"/>
      <c r="E329" s="1290"/>
      <c r="F329" s="1290"/>
      <c r="I329" s="490"/>
    </row>
    <row r="330" spans="1:9" ht="14.4">
      <c r="A330" s="484"/>
      <c r="B330" s="484"/>
      <c r="D330" s="1290"/>
      <c r="E330" s="1290"/>
      <c r="F330" s="1290"/>
      <c r="I330" s="490"/>
    </row>
    <row r="331" spans="1:9" ht="14.4">
      <c r="A331" s="484"/>
      <c r="B331" s="484"/>
      <c r="D331" s="1290"/>
      <c r="E331" s="1290"/>
      <c r="F331" s="1290"/>
      <c r="I331" s="490"/>
    </row>
    <row r="332" spans="1:9" ht="14.4">
      <c r="A332" s="484"/>
      <c r="B332" s="484"/>
      <c r="D332" s="1290"/>
      <c r="E332" s="1290"/>
      <c r="F332" s="1290"/>
      <c r="I332" s="490"/>
    </row>
    <row r="333" spans="1:9">
      <c r="D333" s="446"/>
      <c r="E333" s="446"/>
      <c r="F333" s="446"/>
      <c r="I333" s="490"/>
    </row>
    <row r="334" spans="1:9" ht="14.4">
      <c r="A334" s="484"/>
      <c r="B334" s="485" t="s">
        <v>2651</v>
      </c>
      <c r="D334" s="1290" t="s">
        <v>1130</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2651</v>
      </c>
      <c r="D344" s="1290" t="s">
        <v>1874</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8" thickBot="1">
      <c r="A351" s="1017"/>
      <c r="B351" s="1017"/>
      <c r="C351" s="1017"/>
      <c r="D351" s="1323" t="s">
        <v>977</v>
      </c>
      <c r="E351" s="1323"/>
      <c r="F351" s="1323"/>
      <c r="G351" s="1022"/>
      <c r="H351" s="1022"/>
      <c r="I351" s="1150"/>
    </row>
    <row r="352" spans="1:9" ht="13.8" thickTop="1">
      <c r="D352" s="1322" t="s">
        <v>2198</v>
      </c>
      <c r="E352" s="1322"/>
      <c r="F352" s="1322"/>
      <c r="I352" s="490"/>
    </row>
    <row r="353" spans="1:9">
      <c r="D353" s="446"/>
      <c r="E353" s="446"/>
      <c r="F353" s="446"/>
      <c r="I353" s="490"/>
    </row>
    <row r="354" spans="1:9">
      <c r="A354" s="476"/>
      <c r="B354" s="476"/>
      <c r="C354" s="476"/>
      <c r="D354" s="447"/>
      <c r="E354" s="447"/>
      <c r="F354" s="446"/>
      <c r="I354" s="490"/>
    </row>
    <row r="355" spans="1:9" ht="14.4">
      <c r="A355" s="484"/>
      <c r="B355" s="485" t="s">
        <v>2651</v>
      </c>
      <c r="C355" s="487"/>
      <c r="D355" s="1291" t="s">
        <v>1872</v>
      </c>
      <c r="E355" s="1291"/>
      <c r="F355" s="1291"/>
      <c r="I355" s="490"/>
    </row>
    <row r="356" spans="1:9" ht="12.75" customHeight="1">
      <c r="D356" s="1032"/>
      <c r="E356" s="96" t="s">
        <v>1871</v>
      </c>
      <c r="F356" s="1032"/>
      <c r="I356" s="490"/>
    </row>
    <row r="357" spans="1:9">
      <c r="D357" s="1290" t="s">
        <v>1237</v>
      </c>
      <c r="E357" s="1290"/>
      <c r="F357" s="1290"/>
      <c r="I357" s="490"/>
    </row>
    <row r="358" spans="1:9">
      <c r="D358" s="1290"/>
      <c r="E358" s="1290"/>
      <c r="F358" s="1290"/>
      <c r="I358" s="490"/>
    </row>
    <row r="359" spans="1:9">
      <c r="D359" s="1290"/>
      <c r="E359" s="1290"/>
      <c r="F359" s="1290"/>
      <c r="I359" s="490"/>
    </row>
    <row r="360" spans="1:9" ht="14.4">
      <c r="A360" s="484"/>
      <c r="B360" s="485" t="s">
        <v>2651</v>
      </c>
      <c r="C360" s="476"/>
      <c r="D360" s="1304" t="s">
        <v>2015</v>
      </c>
      <c r="E360" s="1304"/>
      <c r="F360" s="1304"/>
      <c r="I360" s="480"/>
    </row>
    <row r="361" spans="1:9">
      <c r="A361" s="476"/>
      <c r="B361" s="476"/>
      <c r="C361" s="476"/>
      <c r="D361" s="447"/>
      <c r="E361" s="447"/>
      <c r="F361" s="446"/>
      <c r="I361" s="490"/>
    </row>
    <row r="362" spans="1:9">
      <c r="A362" s="476"/>
      <c r="B362" s="485" t="s">
        <v>2651</v>
      </c>
      <c r="C362" s="476"/>
      <c r="D362" s="1269" t="s">
        <v>2016</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5" customHeight="1">
      <c r="A375" s="476"/>
      <c r="B375" s="485" t="s">
        <v>2651</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2651</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4">
      <c r="A387" s="484"/>
      <c r="B387" s="485" t="s">
        <v>2651</v>
      </c>
      <c r="C387" s="476"/>
      <c r="D387" s="1269" t="s">
        <v>1131</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1132</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65" customHeight="1">
      <c r="A401" s="476"/>
      <c r="B401" s="476"/>
      <c r="C401" s="476"/>
      <c r="D401" s="1269" t="s">
        <v>1133</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2651</v>
      </c>
      <c r="C420" s="476"/>
      <c r="D420" s="1269" t="s">
        <v>1134</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 customHeight="1">
      <c r="A423" s="484"/>
      <c r="B423" s="485" t="s">
        <v>2651</v>
      </c>
      <c r="D423" s="1269" t="s">
        <v>1854</v>
      </c>
      <c r="E423" s="1269"/>
      <c r="F423" s="1269"/>
      <c r="I423" s="490"/>
    </row>
    <row r="424" spans="1:9" ht="14.4" customHeight="1">
      <c r="A424" s="484"/>
      <c r="D424" s="1269"/>
      <c r="E424" s="1269"/>
      <c r="F424" s="1269"/>
      <c r="I424" s="490"/>
    </row>
    <row r="425" spans="1:9" ht="14.4" customHeight="1">
      <c r="A425" s="484"/>
      <c r="D425" s="1269"/>
      <c r="E425" s="1269"/>
      <c r="F425" s="1269"/>
      <c r="I425" s="490"/>
    </row>
    <row r="426" spans="1:9" ht="14.4" customHeight="1">
      <c r="A426" s="484"/>
      <c r="D426" s="1269"/>
      <c r="E426" s="1269"/>
      <c r="F426" s="1269"/>
      <c r="I426" s="490"/>
    </row>
    <row r="427" spans="1:9" ht="14.4" customHeight="1">
      <c r="A427" s="484"/>
      <c r="D427" s="1269"/>
      <c r="E427" s="1269"/>
      <c r="F427" s="1269"/>
      <c r="I427" s="490"/>
    </row>
    <row r="428" spans="1:9" ht="14.4" customHeight="1">
      <c r="A428" s="484"/>
      <c r="D428" s="385"/>
      <c r="E428" s="385"/>
      <c r="F428" s="385"/>
      <c r="I428" s="490"/>
    </row>
    <row r="429" spans="1:9" ht="13.65" customHeight="1">
      <c r="A429" s="484"/>
      <c r="B429" s="485" t="s">
        <v>2651</v>
      </c>
      <c r="C429" s="476"/>
      <c r="D429" s="1269" t="s">
        <v>1238</v>
      </c>
      <c r="E429" s="1269"/>
      <c r="F429" s="1269"/>
      <c r="I429" s="490"/>
    </row>
    <row r="430" spans="1:9" ht="14.4">
      <c r="A430" s="497"/>
      <c r="B430" s="497"/>
      <c r="C430" s="476"/>
      <c r="D430" s="1269"/>
      <c r="E430" s="1269"/>
      <c r="F430" s="1269"/>
      <c r="I430" s="490"/>
    </row>
    <row r="431" spans="1:9" ht="14.4">
      <c r="A431" s="497"/>
      <c r="B431" s="497"/>
      <c r="C431" s="476"/>
      <c r="D431" s="1269"/>
      <c r="E431" s="1269"/>
      <c r="F431" s="1269"/>
      <c r="I431" s="490"/>
    </row>
    <row r="432" spans="1:9" ht="14.4">
      <c r="A432" s="497"/>
      <c r="B432" s="497"/>
      <c r="C432" s="476"/>
      <c r="D432" s="1269"/>
      <c r="E432" s="1269"/>
      <c r="F432" s="1269"/>
      <c r="I432" s="490"/>
    </row>
    <row r="433" spans="1:9" ht="15.75" customHeight="1">
      <c r="A433" s="497"/>
      <c r="B433" s="497"/>
      <c r="C433" s="476"/>
      <c r="D433" s="1296" t="s">
        <v>2612</v>
      </c>
      <c r="E433" s="1269"/>
      <c r="F433" s="1269"/>
      <c r="I433" s="490"/>
    </row>
    <row r="434" spans="1:9">
      <c r="D434" s="446"/>
      <c r="E434" s="446"/>
      <c r="F434" s="446"/>
      <c r="I434" s="490"/>
    </row>
    <row r="435" spans="1:9" ht="14.4">
      <c r="A435" s="484"/>
      <c r="B435" s="485" t="s">
        <v>2651</v>
      </c>
      <c r="C435" s="487"/>
      <c r="D435" s="1290" t="s">
        <v>2017</v>
      </c>
      <c r="E435" s="1290"/>
      <c r="F435" s="1290"/>
      <c r="I435" s="490"/>
    </row>
    <row r="436" spans="1:9" ht="14.4">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65" customHeight="1">
      <c r="D465" s="1290"/>
      <c r="E465" s="1290"/>
      <c r="F465" s="1290"/>
      <c r="I465" s="490"/>
    </row>
    <row r="466" spans="1:9">
      <c r="D466" s="446"/>
      <c r="E466" s="446"/>
      <c r="F466" s="446"/>
      <c r="I466" s="490"/>
    </row>
    <row r="467" spans="1:9" ht="14.4">
      <c r="A467" s="484"/>
      <c r="B467" s="485" t="s">
        <v>2651</v>
      </c>
      <c r="C467" s="487"/>
      <c r="D467" s="1290" t="s">
        <v>1135</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4">
      <c r="B471" s="485" t="s">
        <v>2651</v>
      </c>
      <c r="C471" s="484"/>
      <c r="D471" s="1290" t="s">
        <v>1195</v>
      </c>
      <c r="E471" s="1290"/>
      <c r="F471" s="1290"/>
      <c r="I471" s="490"/>
    </row>
    <row r="472" spans="1:9">
      <c r="D472" s="1290"/>
      <c r="E472" s="1290"/>
      <c r="F472" s="1290"/>
      <c r="I472" s="490"/>
    </row>
    <row r="473" spans="1:9">
      <c r="D473" s="446"/>
      <c r="E473" s="446"/>
      <c r="F473" s="446"/>
      <c r="I473" s="490"/>
    </row>
    <row r="474" spans="1:9" ht="14.4">
      <c r="B474" s="485" t="s">
        <v>2651</v>
      </c>
      <c r="C474" s="484"/>
      <c r="D474" s="1290" t="s">
        <v>1136</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2651</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2651</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2651</v>
      </c>
      <c r="C486" s="402"/>
      <c r="D486" s="1290"/>
      <c r="E486" s="1290"/>
      <c r="F486" s="1290"/>
      <c r="I486" s="490"/>
    </row>
    <row r="487" spans="1:9">
      <c r="A487" s="402"/>
      <c r="C487" s="402"/>
      <c r="D487" s="1290"/>
      <c r="E487" s="1290"/>
      <c r="F487" s="1290"/>
      <c r="I487" s="490"/>
    </row>
    <row r="488" spans="1:9">
      <c r="A488" s="402"/>
      <c r="B488" s="485" t="s">
        <v>2651</v>
      </c>
      <c r="C488" s="402"/>
      <c r="D488" s="1290" t="s">
        <v>1137</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2651</v>
      </c>
      <c r="D494" s="1291" t="s">
        <v>1138</v>
      </c>
      <c r="E494" s="1291"/>
      <c r="F494" s="1291"/>
      <c r="I494" s="490"/>
    </row>
    <row r="495" spans="1:9">
      <c r="A495" s="446"/>
      <c r="B495" s="446"/>
      <c r="I495" s="490"/>
    </row>
    <row r="496" spans="1:9">
      <c r="A496" s="1293" t="s">
        <v>1048</v>
      </c>
      <c r="B496" s="1293"/>
      <c r="C496" s="1293"/>
      <c r="D496" s="1293"/>
      <c r="E496" s="1293"/>
      <c r="F496" s="1293"/>
      <c r="G496" s="1293"/>
      <c r="H496" s="1023"/>
      <c r="I496" s="1147"/>
    </row>
    <row r="497" spans="1:9">
      <c r="A497" s="446"/>
      <c r="B497" s="446"/>
      <c r="I497" s="490"/>
    </row>
    <row r="498" spans="1:9">
      <c r="D498" s="1303" t="s">
        <v>881</v>
      </c>
      <c r="E498" s="1303"/>
      <c r="F498" s="1303"/>
      <c r="I498" s="490"/>
    </row>
    <row r="499" spans="1:9" ht="14.4">
      <c r="A499" s="484"/>
      <c r="B499" s="484"/>
      <c r="D499" s="1304" t="s">
        <v>1139</v>
      </c>
      <c r="E499" s="1304"/>
      <c r="F499" s="1304"/>
      <c r="I499" s="490"/>
    </row>
    <row r="500" spans="1:9" ht="14.4">
      <c r="A500" s="484"/>
      <c r="B500" s="484"/>
      <c r="D500" s="447"/>
      <c r="I500" s="490"/>
    </row>
    <row r="501" spans="1:9" ht="14.4">
      <c r="A501" s="484"/>
      <c r="B501" s="485" t="s">
        <v>2651</v>
      </c>
      <c r="D501" s="1269" t="s">
        <v>1140</v>
      </c>
      <c r="E501" s="1269"/>
      <c r="F501" s="1269"/>
      <c r="I501" s="490"/>
    </row>
    <row r="502" spans="1:9" ht="14.4">
      <c r="A502" s="484"/>
      <c r="B502" s="484"/>
      <c r="D502" s="1269"/>
      <c r="E502" s="1269"/>
      <c r="F502" s="1269"/>
      <c r="I502" s="490"/>
    </row>
    <row r="503" spans="1:9" ht="14.4">
      <c r="A503" s="484"/>
      <c r="B503" s="484"/>
      <c r="D503" s="446"/>
      <c r="I503" s="490"/>
    </row>
    <row r="504" spans="1:9" ht="12.75" customHeight="1">
      <c r="B504" s="485" t="s">
        <v>2651</v>
      </c>
      <c r="D504" s="1294" t="s">
        <v>1271</v>
      </c>
      <c r="E504" s="1294"/>
      <c r="F504" s="1294"/>
      <c r="I504" s="490"/>
    </row>
    <row r="505" spans="1:9" ht="14.4">
      <c r="A505" s="484"/>
      <c r="D505" s="1294"/>
      <c r="E505" s="1294"/>
      <c r="F505" s="1294"/>
      <c r="I505" s="490"/>
    </row>
    <row r="506" spans="1:9" ht="14.4">
      <c r="A506" s="484"/>
      <c r="B506" s="484"/>
      <c r="D506" s="1294"/>
      <c r="E506" s="1294"/>
      <c r="F506" s="1294"/>
      <c r="I506" s="490"/>
    </row>
    <row r="507" spans="1:9" ht="14.4">
      <c r="A507" s="484"/>
      <c r="B507" s="484"/>
      <c r="D507" s="1294"/>
      <c r="E507" s="1294"/>
      <c r="F507" s="1294"/>
      <c r="I507" s="490"/>
    </row>
    <row r="508" spans="1:9" ht="14.4">
      <c r="A508" s="484"/>
      <c r="D508" s="520"/>
      <c r="E508" s="520"/>
      <c r="F508" s="520"/>
      <c r="I508" s="490"/>
    </row>
    <row r="509" spans="1:9" ht="14.4">
      <c r="A509" s="484"/>
      <c r="B509" s="485" t="s">
        <v>2651</v>
      </c>
      <c r="D509" s="1291" t="s">
        <v>1141</v>
      </c>
      <c r="E509" s="1291"/>
      <c r="F509" s="1291"/>
      <c r="I509" s="490"/>
    </row>
    <row r="510" spans="1:9" ht="14.4">
      <c r="A510" s="484"/>
      <c r="B510" s="484"/>
      <c r="D510" s="446"/>
      <c r="I510" s="490"/>
    </row>
    <row r="511" spans="1:9" ht="14.4">
      <c r="A511" s="484"/>
      <c r="B511" s="485" t="s">
        <v>2651</v>
      </c>
      <c r="D511" s="1290" t="s">
        <v>1142</v>
      </c>
      <c r="E511" s="1290"/>
      <c r="F511" s="1290"/>
      <c r="I511" s="490"/>
    </row>
    <row r="512" spans="1:9" ht="14.4">
      <c r="A512" s="484"/>
      <c r="D512" s="1290"/>
      <c r="E512" s="1290"/>
      <c r="F512" s="1290"/>
      <c r="I512" s="490"/>
    </row>
    <row r="513" spans="1:9">
      <c r="A513" s="490"/>
      <c r="B513" s="490"/>
      <c r="D513" s="447"/>
      <c r="I513" s="490"/>
    </row>
    <row r="514" spans="1:9">
      <c r="A514" s="490"/>
      <c r="B514" s="485" t="s">
        <v>2651</v>
      </c>
      <c r="D514" s="1291" t="s">
        <v>1143</v>
      </c>
      <c r="E514" s="1291"/>
      <c r="F514" s="1291"/>
      <c r="I514" s="490"/>
    </row>
    <row r="515" spans="1:9">
      <c r="D515" s="446"/>
      <c r="E515" s="446"/>
      <c r="F515" s="446"/>
      <c r="I515" s="490"/>
    </row>
    <row r="516" spans="1:9">
      <c r="B516" s="485" t="s">
        <v>2651</v>
      </c>
      <c r="D516" s="1290" t="s">
        <v>2221</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4">
      <c r="A520" s="484"/>
      <c r="B520" s="484"/>
      <c r="D520" s="446"/>
      <c r="I520" s="490"/>
    </row>
    <row r="521" spans="1:9">
      <c r="A521" s="1293" t="s">
        <v>1049</v>
      </c>
      <c r="B521" s="1293"/>
      <c r="C521" s="1293"/>
      <c r="D521" s="1293"/>
      <c r="E521" s="1293"/>
      <c r="F521" s="1293"/>
      <c r="G521" s="1293"/>
      <c r="H521" s="1023"/>
      <c r="I521" s="1147"/>
    </row>
    <row r="522" spans="1:9" ht="12" customHeight="1">
      <c r="A522" s="484"/>
      <c r="B522" s="484"/>
      <c r="D522" s="446"/>
      <c r="I522" s="490"/>
    </row>
    <row r="523" spans="1:9">
      <c r="C523" s="482"/>
      <c r="D523" s="1299" t="s">
        <v>791</v>
      </c>
      <c r="E523" s="1299"/>
      <c r="F523" s="129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65" customHeight="1">
      <c r="A527" s="483"/>
      <c r="B527" s="485" t="s">
        <v>2652</v>
      </c>
      <c r="C527" s="483"/>
      <c r="D527" s="1269" t="s">
        <v>2018</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2651</v>
      </c>
      <c r="D530" s="386" t="s">
        <v>1875</v>
      </c>
      <c r="E530" s="385"/>
      <c r="F530" s="385"/>
      <c r="I530" s="490"/>
    </row>
    <row r="531" spans="1:9">
      <c r="A531" s="483"/>
      <c r="B531" s="483"/>
      <c r="C531" s="483"/>
      <c r="D531" s="385"/>
      <c r="E531" s="96" t="s">
        <v>1876</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 customHeight="1">
      <c r="A536" s="483"/>
      <c r="B536" s="485" t="s">
        <v>2651</v>
      </c>
      <c r="C536" s="483"/>
      <c r="D536" s="1290" t="s">
        <v>2636</v>
      </c>
      <c r="E536" s="1290"/>
      <c r="F536" s="1290"/>
      <c r="I536" s="490"/>
    </row>
    <row r="537" spans="1:9" ht="13.2"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1050</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1051</v>
      </c>
      <c r="B544" s="1298"/>
      <c r="C544" s="1298"/>
      <c r="D544" s="1298"/>
      <c r="E544" s="1298"/>
      <c r="F544" s="1298"/>
      <c r="G544" s="1298"/>
      <c r="H544" s="1023"/>
      <c r="I544" s="1147"/>
    </row>
    <row r="545" spans="1:9">
      <c r="A545" s="446"/>
      <c r="B545" s="446"/>
      <c r="C545" s="487"/>
      <c r="D545" s="446"/>
      <c r="F545" s="446"/>
      <c r="I545" s="490"/>
    </row>
    <row r="546" spans="1:9">
      <c r="C546" s="487"/>
      <c r="D546" s="1299" t="s">
        <v>681</v>
      </c>
      <c r="E546" s="1299"/>
      <c r="F546" s="1299"/>
      <c r="I546" s="490"/>
    </row>
    <row r="547" spans="1:9">
      <c r="C547" s="487"/>
      <c r="D547" s="1291" t="s">
        <v>1079</v>
      </c>
      <c r="E547" s="1291"/>
      <c r="F547" s="1291"/>
      <c r="I547" s="490"/>
    </row>
    <row r="548" spans="1:9">
      <c r="C548" s="487"/>
      <c r="D548" s="446"/>
      <c r="E548" s="446"/>
      <c r="F548" s="446"/>
      <c r="I548" s="490"/>
    </row>
    <row r="549" spans="1:9" ht="13.65" customHeight="1">
      <c r="A549" s="484"/>
      <c r="B549" s="485" t="s">
        <v>2652</v>
      </c>
      <c r="C549" s="487"/>
      <c r="D549" s="1291" t="s">
        <v>882</v>
      </c>
      <c r="E549" s="1291"/>
      <c r="F549" s="1291"/>
      <c r="I549" s="490"/>
    </row>
    <row r="550" spans="1:9" ht="13.65" customHeight="1">
      <c r="A550" s="487"/>
      <c r="B550" s="487"/>
      <c r="C550" s="487"/>
      <c r="D550" s="446"/>
      <c r="I550" s="490"/>
    </row>
    <row r="551" spans="1:9" ht="14.4">
      <c r="A551" s="484"/>
      <c r="B551" s="485" t="s">
        <v>2652</v>
      </c>
      <c r="C551" s="487"/>
      <c r="D551" s="1290" t="s">
        <v>1080</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4">
      <c r="A554" s="484"/>
      <c r="B554" s="485" t="s">
        <v>2652</v>
      </c>
      <c r="C554" s="487"/>
      <c r="D554" s="1290" t="s">
        <v>1081</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4">
      <c r="A557" s="484"/>
      <c r="B557" s="485" t="s">
        <v>2652</v>
      </c>
      <c r="C557" s="487"/>
      <c r="D557" s="1290" t="s">
        <v>1082</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4">
      <c r="A560" s="484"/>
      <c r="B560" s="485" t="s">
        <v>2652</v>
      </c>
      <c r="C560" s="487"/>
      <c r="D560" s="1290" t="s">
        <v>1083</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4">
      <c r="A564" s="484"/>
      <c r="B564" s="485" t="s">
        <v>2651</v>
      </c>
      <c r="C564" s="487"/>
      <c r="D564" s="1290" t="s">
        <v>2199</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4">
      <c r="A567" s="484"/>
      <c r="B567" s="485" t="s">
        <v>2652</v>
      </c>
      <c r="C567" s="487"/>
      <c r="D567" s="1290" t="s">
        <v>1084</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4">
      <c r="A570" s="484"/>
      <c r="B570" s="485" t="s">
        <v>2652</v>
      </c>
      <c r="C570" s="487"/>
      <c r="D570" s="1291" t="s">
        <v>1085</v>
      </c>
      <c r="E570" s="1291"/>
      <c r="F570" s="1291"/>
      <c r="I570" s="490"/>
    </row>
    <row r="571" spans="1:9">
      <c r="A571" s="490"/>
      <c r="B571" s="490"/>
      <c r="C571" s="487"/>
      <c r="D571" s="1291" t="s">
        <v>1878</v>
      </c>
      <c r="E571" s="1291"/>
      <c r="F571" s="1291"/>
      <c r="I571" s="490"/>
    </row>
    <row r="572" spans="1:9">
      <c r="A572" s="490"/>
      <c r="B572" s="490"/>
      <c r="C572" s="487"/>
      <c r="E572" s="96" t="s">
        <v>1877</v>
      </c>
      <c r="F572" s="404"/>
      <c r="I572" s="490"/>
    </row>
    <row r="573" spans="1:9" ht="14.4">
      <c r="A573" s="484"/>
      <c r="B573" s="484"/>
      <c r="C573" s="487"/>
      <c r="E573" s="446"/>
      <c r="F573" s="446"/>
      <c r="I573" s="490"/>
    </row>
    <row r="574" spans="1:9" ht="14.4">
      <c r="A574" s="484"/>
      <c r="B574" s="485" t="s">
        <v>2652</v>
      </c>
      <c r="C574" s="487"/>
      <c r="D574" s="1291" t="s">
        <v>1086</v>
      </c>
      <c r="E574" s="1291"/>
      <c r="F574" s="1291"/>
      <c r="I574" s="490"/>
    </row>
    <row r="575" spans="1:9">
      <c r="C575" s="487"/>
      <c r="D575" s="1290" t="s">
        <v>1087</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4">
      <c r="A579" s="484"/>
      <c r="B579" s="485" t="s">
        <v>2652</v>
      </c>
      <c r="C579" s="487"/>
      <c r="D579" s="1290" t="s">
        <v>2020</v>
      </c>
      <c r="E579" s="1290"/>
      <c r="F579" s="1290"/>
      <c r="I579" s="490"/>
    </row>
    <row r="580" spans="1:9" ht="14.4">
      <c r="A580" s="484"/>
      <c r="B580" s="484"/>
      <c r="C580" s="487"/>
      <c r="D580" s="1290"/>
      <c r="E580" s="1290"/>
      <c r="F580" s="1290"/>
      <c r="I580" s="490"/>
    </row>
    <row r="581" spans="1:9" ht="14.4">
      <c r="A581" s="484"/>
      <c r="B581" s="484"/>
      <c r="C581" s="487"/>
      <c r="D581" s="1290"/>
      <c r="E581" s="1290"/>
      <c r="F581" s="1290"/>
      <c r="I581" s="490"/>
    </row>
    <row r="582" spans="1:9" ht="14.4">
      <c r="A582" s="484"/>
      <c r="B582" s="484"/>
      <c r="C582" s="487"/>
      <c r="D582" s="1290"/>
      <c r="E582" s="1290"/>
      <c r="F582" s="1290"/>
      <c r="I582" s="490"/>
    </row>
    <row r="583" spans="1:9" ht="14.4">
      <c r="A583" s="484"/>
      <c r="B583" s="484"/>
      <c r="C583" s="487"/>
      <c r="D583" s="446"/>
      <c r="E583" s="446"/>
      <c r="F583" s="446"/>
      <c r="I583" s="490"/>
    </row>
    <row r="584" spans="1:9">
      <c r="A584" s="1293" t="s">
        <v>1052</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209</v>
      </c>
      <c r="E586" s="1292"/>
      <c r="F586" s="1292"/>
      <c r="I586" s="490"/>
    </row>
    <row r="587" spans="1:9">
      <c r="A587" s="483"/>
      <c r="B587" s="483"/>
      <c r="C587" s="483"/>
      <c r="D587" s="1294" t="s">
        <v>1065</v>
      </c>
      <c r="E587" s="1294"/>
      <c r="F587" s="1294"/>
      <c r="I587" s="490"/>
    </row>
    <row r="588" spans="1:9">
      <c r="A588" s="402"/>
      <c r="B588" s="402"/>
      <c r="C588" s="483"/>
      <c r="D588" s="499"/>
      <c r="I588" s="490"/>
    </row>
    <row r="589" spans="1:9" hidden="1">
      <c r="A589" s="483"/>
      <c r="B589" s="485" t="s">
        <v>306</v>
      </c>
      <c r="D589" s="1294" t="s">
        <v>886</v>
      </c>
      <c r="E589" s="1294"/>
      <c r="F589" s="1294"/>
      <c r="I589" s="490"/>
    </row>
    <row r="590" spans="1:9" hidden="1">
      <c r="A590" s="490"/>
      <c r="B590" s="490"/>
      <c r="D590" s="476"/>
      <c r="I590" s="490"/>
    </row>
    <row r="591" spans="1:9">
      <c r="A591" s="490"/>
      <c r="B591" s="485" t="s">
        <v>2652</v>
      </c>
      <c r="D591" s="1294" t="s">
        <v>2021</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2651</v>
      </c>
      <c r="D595" s="1294" t="s">
        <v>1066</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2652</v>
      </c>
      <c r="D600" s="1294" t="s">
        <v>2022</v>
      </c>
      <c r="E600" s="1294"/>
      <c r="F600" s="1294"/>
      <c r="I600" s="490"/>
    </row>
    <row r="601" spans="1:9">
      <c r="A601" s="490"/>
      <c r="B601" s="490"/>
      <c r="D601" s="1294"/>
      <c r="E601" s="1294"/>
      <c r="F601" s="1294"/>
      <c r="I601" s="490"/>
    </row>
    <row r="602" spans="1:9">
      <c r="A602" s="490"/>
      <c r="B602" s="490"/>
      <c r="D602" s="499"/>
      <c r="I602" s="490"/>
    </row>
    <row r="603" spans="1:9">
      <c r="A603" s="490"/>
      <c r="B603" s="485" t="s">
        <v>2651</v>
      </c>
      <c r="D603" s="1294" t="s">
        <v>1067</v>
      </c>
      <c r="E603" s="1294"/>
      <c r="F603" s="1294"/>
      <c r="I603" s="490"/>
    </row>
    <row r="604" spans="1:9">
      <c r="A604" s="490"/>
      <c r="B604" s="490"/>
      <c r="D604" s="1294"/>
      <c r="E604" s="1294"/>
      <c r="F604" s="1294"/>
      <c r="I604" s="490"/>
    </row>
    <row r="605" spans="1:9" ht="14.4">
      <c r="A605" s="484"/>
      <c r="B605" s="484"/>
      <c r="D605" s="499"/>
      <c r="I605" s="490"/>
    </row>
    <row r="606" spans="1:9">
      <c r="A606" s="1293" t="s">
        <v>1053</v>
      </c>
      <c r="B606" s="1293"/>
      <c r="C606" s="1293"/>
      <c r="D606" s="1293"/>
      <c r="E606" s="1293"/>
      <c r="F606" s="1293"/>
      <c r="G606" s="1293"/>
      <c r="H606" s="1023"/>
      <c r="I606" s="1147"/>
    </row>
    <row r="607" spans="1:9">
      <c r="I607" s="490"/>
    </row>
    <row r="608" spans="1:9">
      <c r="D608" s="1299" t="s">
        <v>1105</v>
      </c>
      <c r="E608" s="1299"/>
      <c r="F608" s="1299"/>
      <c r="I608" s="490"/>
    </row>
    <row r="609" spans="1:9">
      <c r="D609" s="1300" t="s">
        <v>1106</v>
      </c>
      <c r="E609" s="1300"/>
      <c r="F609" s="1300"/>
      <c r="I609" s="490"/>
    </row>
    <row r="610" spans="1:9">
      <c r="D610" s="444"/>
      <c r="I610" s="490"/>
    </row>
    <row r="611" spans="1:9" ht="14.25" customHeight="1">
      <c r="A611" s="484"/>
      <c r="B611" s="485" t="s">
        <v>2652</v>
      </c>
      <c r="D611" s="1317" t="s">
        <v>1879</v>
      </c>
      <c r="E611" s="1317"/>
      <c r="F611" s="1317"/>
      <c r="I611" s="490"/>
    </row>
    <row r="612" spans="1:9">
      <c r="D612" s="1317"/>
      <c r="E612" s="1317"/>
      <c r="F612" s="1317"/>
      <c r="I612" s="490"/>
    </row>
    <row r="613" spans="1:9">
      <c r="D613" s="385"/>
      <c r="E613" s="1031" t="s">
        <v>1880</v>
      </c>
      <c r="F613" s="385"/>
      <c r="I613" s="490"/>
    </row>
    <row r="614" spans="1:9">
      <c r="I614" s="490"/>
    </row>
    <row r="615" spans="1:9">
      <c r="A615" s="1293" t="s">
        <v>1054</v>
      </c>
      <c r="B615" s="1293"/>
      <c r="C615" s="1293"/>
      <c r="D615" s="1293"/>
      <c r="E615" s="1293"/>
      <c r="F615" s="1293"/>
      <c r="G615" s="1293"/>
      <c r="H615" s="1023"/>
      <c r="I615" s="1147"/>
    </row>
    <row r="616" spans="1:9">
      <c r="A616" s="446"/>
      <c r="B616" s="446"/>
      <c r="I616" s="490"/>
    </row>
    <row r="617" spans="1:9">
      <c r="A617" s="482"/>
      <c r="B617" s="482"/>
      <c r="C617" s="482"/>
      <c r="D617" s="1324" t="s">
        <v>1107</v>
      </c>
      <c r="E617" s="1324"/>
      <c r="F617" s="1324"/>
      <c r="I617" s="490"/>
    </row>
    <row r="618" spans="1:9">
      <c r="A618" s="482"/>
      <c r="B618" s="482"/>
      <c r="C618" s="482"/>
      <c r="D618" s="1324"/>
      <c r="E618" s="1324"/>
      <c r="F618" s="1324"/>
      <c r="I618" s="490"/>
    </row>
    <row r="619" spans="1:9">
      <c r="C619" s="483"/>
      <c r="D619" s="1300" t="s">
        <v>1108</v>
      </c>
      <c r="E619" s="1300"/>
      <c r="F619" s="1300"/>
      <c r="I619" s="490"/>
    </row>
    <row r="620" spans="1:9">
      <c r="C620" s="483"/>
      <c r="D620" s="444"/>
      <c r="E620" s="444"/>
      <c r="F620" s="444"/>
      <c r="I620" s="490"/>
    </row>
    <row r="621" spans="1:9">
      <c r="B621" s="485" t="s">
        <v>2652</v>
      </c>
      <c r="C621" s="483"/>
      <c r="D621" s="1306" t="s">
        <v>2603</v>
      </c>
      <c r="E621" s="1306"/>
      <c r="F621" s="1306"/>
      <c r="I621" s="490"/>
    </row>
    <row r="622" spans="1:9">
      <c r="C622" s="483"/>
      <c r="D622" s="444"/>
      <c r="E622" s="444"/>
      <c r="F622" s="444"/>
      <c r="I622" s="490"/>
    </row>
    <row r="623" spans="1:9" ht="12.75" customHeight="1">
      <c r="A623" s="490"/>
      <c r="B623" s="485" t="s">
        <v>2652</v>
      </c>
      <c r="D623" s="1301" t="s">
        <v>1109</v>
      </c>
      <c r="E623" s="1301"/>
      <c r="F623" s="1301"/>
      <c r="I623" s="490"/>
    </row>
    <row r="624" spans="1:9">
      <c r="D624" s="1301"/>
      <c r="E624" s="1301"/>
      <c r="F624" s="1301"/>
      <c r="I624" s="490"/>
    </row>
    <row r="625" spans="1:9">
      <c r="I625" s="490"/>
    </row>
    <row r="626" spans="1:9">
      <c r="B626" s="485" t="s">
        <v>2652</v>
      </c>
      <c r="D626" s="1301" t="s">
        <v>1110</v>
      </c>
      <c r="E626" s="1301"/>
      <c r="F626" s="1301"/>
      <c r="I626" s="490"/>
    </row>
    <row r="627" spans="1:9">
      <c r="C627" s="500"/>
      <c r="D627" s="1301"/>
      <c r="E627" s="1301"/>
      <c r="F627" s="1301"/>
      <c r="I627" s="490"/>
    </row>
    <row r="628" spans="1:9">
      <c r="C628" s="500"/>
      <c r="I628" s="490"/>
    </row>
    <row r="629" spans="1:9">
      <c r="B629" s="485" t="s">
        <v>2651</v>
      </c>
      <c r="C629" s="500"/>
      <c r="D629" s="1301" t="s">
        <v>1111</v>
      </c>
      <c r="E629" s="1301"/>
      <c r="F629" s="1301"/>
      <c r="I629" s="490"/>
    </row>
    <row r="630" spans="1:9">
      <c r="C630" s="500"/>
      <c r="D630" s="1301"/>
      <c r="E630" s="1301"/>
      <c r="F630" s="1301"/>
      <c r="I630" s="500"/>
    </row>
    <row r="631" spans="1:9">
      <c r="C631" s="500"/>
      <c r="I631" s="490"/>
    </row>
    <row r="632" spans="1:9">
      <c r="B632" s="485" t="s">
        <v>2651</v>
      </c>
      <c r="C632" s="500"/>
      <c r="D632" s="1306" t="s">
        <v>2548</v>
      </c>
      <c r="E632" s="1306"/>
      <c r="F632" s="1306"/>
      <c r="I632" s="490"/>
    </row>
    <row r="633" spans="1:9">
      <c r="C633" s="500"/>
      <c r="I633" s="490"/>
    </row>
    <row r="634" spans="1:9">
      <c r="A634" s="1293" t="s">
        <v>1055</v>
      </c>
      <c r="B634" s="1293"/>
      <c r="C634" s="1293"/>
      <c r="D634" s="1293"/>
      <c r="E634" s="1293"/>
      <c r="F634" s="1293"/>
      <c r="G634" s="1293"/>
      <c r="H634" s="1023"/>
      <c r="I634" s="1147"/>
    </row>
    <row r="635" spans="1:9">
      <c r="A635" s="482"/>
      <c r="B635" s="482"/>
      <c r="C635" s="482"/>
      <c r="I635" s="490"/>
    </row>
    <row r="636" spans="1:9">
      <c r="C636" s="490"/>
      <c r="D636" s="1299" t="s">
        <v>1112</v>
      </c>
      <c r="E636" s="1299"/>
      <c r="F636" s="1299"/>
      <c r="I636" s="490"/>
    </row>
    <row r="637" spans="1:9">
      <c r="A637" s="490"/>
      <c r="B637" s="490"/>
      <c r="D637" s="404"/>
      <c r="I637" s="490"/>
    </row>
    <row r="638" spans="1:9" ht="14.25" customHeight="1">
      <c r="A638" s="484"/>
      <c r="B638" s="485" t="s">
        <v>2652</v>
      </c>
      <c r="D638" s="1317" t="s">
        <v>2023</v>
      </c>
      <c r="E638" s="1317"/>
      <c r="F638" s="1317"/>
      <c r="I638" s="490"/>
    </row>
    <row r="639" spans="1:9">
      <c r="D639" s="1317"/>
      <c r="E639" s="1317"/>
      <c r="F639" s="1317"/>
      <c r="I639" s="490"/>
    </row>
    <row r="640" spans="1:9">
      <c r="D640" s="385"/>
      <c r="E640" s="1031" t="s">
        <v>1882</v>
      </c>
      <c r="F640" s="385"/>
      <c r="I640" s="490"/>
    </row>
    <row r="641" spans="1:9">
      <c r="D641" s="1290" t="s">
        <v>1881</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4">
      <c r="A645" s="484"/>
      <c r="B645" s="485" t="s">
        <v>2651</v>
      </c>
      <c r="D645" s="1290" t="s">
        <v>1113</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4">
      <c r="A648" s="484"/>
      <c r="B648" s="485" t="s">
        <v>2651</v>
      </c>
      <c r="C648" s="487"/>
      <c r="D648" s="1290" t="s">
        <v>1223</v>
      </c>
      <c r="E648" s="1290"/>
      <c r="F648" s="1290"/>
      <c r="I648" s="490"/>
    </row>
    <row r="649" spans="1:9" ht="14.4">
      <c r="A649" s="484"/>
      <c r="B649" s="484"/>
      <c r="C649" s="487"/>
      <c r="D649" s="1290"/>
      <c r="E649" s="1290"/>
      <c r="F649" s="1290"/>
      <c r="I649" s="490"/>
    </row>
    <row r="650" spans="1:9" ht="14.4">
      <c r="A650" s="484"/>
      <c r="B650" s="484"/>
      <c r="C650" s="487"/>
      <c r="D650" s="1290"/>
      <c r="E650" s="1290"/>
      <c r="F650" s="1290"/>
      <c r="I650" s="490"/>
    </row>
    <row r="651" spans="1:9">
      <c r="A651" s="487"/>
      <c r="B651" s="485" t="s">
        <v>2651</v>
      </c>
      <c r="C651" s="487"/>
      <c r="D651" s="1291" t="s">
        <v>1114</v>
      </c>
      <c r="E651" s="1291"/>
      <c r="F651" s="1291"/>
      <c r="I651" s="490"/>
    </row>
    <row r="652" spans="1:9">
      <c r="A652" s="487"/>
      <c r="B652" s="487"/>
      <c r="C652" s="487"/>
      <c r="D652" s="446"/>
      <c r="E652" s="446"/>
      <c r="F652" s="446"/>
      <c r="I652" s="490"/>
    </row>
    <row r="653" spans="1:9">
      <c r="A653" s="1293" t="s">
        <v>1056</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1144</v>
      </c>
      <c r="E655" s="1299"/>
      <c r="F655" s="1299"/>
      <c r="I655" s="490"/>
    </row>
    <row r="656" spans="1:9">
      <c r="A656" s="483"/>
      <c r="B656" s="483"/>
      <c r="C656" s="483"/>
      <c r="D656" s="1291" t="s">
        <v>1145</v>
      </c>
      <c r="E656" s="1291"/>
      <c r="F656" s="1291"/>
      <c r="I656" s="490"/>
    </row>
    <row r="657" spans="1:9">
      <c r="A657" s="483"/>
      <c r="B657" s="483"/>
      <c r="C657" s="483"/>
      <c r="D657" s="446"/>
      <c r="E657" s="446"/>
      <c r="F657" s="446"/>
      <c r="I657" s="490"/>
    </row>
    <row r="658" spans="1:9" ht="12.75" customHeight="1">
      <c r="B658" s="485" t="s">
        <v>2651</v>
      </c>
      <c r="C658" s="487"/>
      <c r="D658" s="1290" t="s">
        <v>1279</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 customHeight="1">
      <c r="A662" s="484"/>
      <c r="B662" s="484"/>
      <c r="C662" s="487"/>
      <c r="D662" s="385"/>
      <c r="E662" s="385"/>
      <c r="F662" s="385"/>
      <c r="I662" s="490"/>
    </row>
    <row r="663" spans="1:9" ht="12.75" customHeight="1">
      <c r="A663" s="483"/>
      <c r="B663" s="485" t="s">
        <v>2651</v>
      </c>
      <c r="C663" s="487"/>
      <c r="D663" s="1290" t="s">
        <v>1281</v>
      </c>
      <c r="E663" s="1290"/>
      <c r="F663" s="1290"/>
      <c r="I663" s="490"/>
    </row>
    <row r="664" spans="1:9" ht="14.4">
      <c r="A664" s="483"/>
      <c r="B664" s="484"/>
      <c r="C664" s="487"/>
      <c r="D664" s="1290"/>
      <c r="E664" s="1290"/>
      <c r="F664" s="1290"/>
      <c r="I664" s="490"/>
    </row>
    <row r="665" spans="1:9" ht="14.4">
      <c r="A665" s="483"/>
      <c r="B665" s="484"/>
      <c r="C665" s="487"/>
      <c r="D665" s="1290"/>
      <c r="E665" s="1290"/>
      <c r="F665" s="1290"/>
      <c r="I665" s="490"/>
    </row>
    <row r="666" spans="1:9" ht="14.4">
      <c r="A666" s="483"/>
      <c r="B666" s="484"/>
      <c r="C666" s="487"/>
      <c r="D666" s="1290"/>
      <c r="E666" s="1290"/>
      <c r="F666" s="1290"/>
      <c r="I666" s="490"/>
    </row>
    <row r="667" spans="1:9" ht="14.4">
      <c r="A667" s="483"/>
      <c r="B667" s="484"/>
      <c r="C667" s="487"/>
      <c r="D667" s="1290"/>
      <c r="E667" s="1290"/>
      <c r="F667" s="1290"/>
      <c r="I667" s="490"/>
    </row>
    <row r="668" spans="1:9" ht="14.25" customHeight="1">
      <c r="A668" s="483"/>
      <c r="B668" s="484"/>
      <c r="C668" s="487"/>
      <c r="F668" s="386"/>
      <c r="I668" s="490"/>
    </row>
    <row r="669" spans="1:9" ht="12.75" customHeight="1">
      <c r="A669" s="483"/>
      <c r="B669" s="485" t="s">
        <v>2651</v>
      </c>
      <c r="C669" s="487"/>
      <c r="D669" s="1290" t="s">
        <v>1280</v>
      </c>
      <c r="E669" s="1290"/>
      <c r="F669" s="1290"/>
      <c r="I669" s="490"/>
    </row>
    <row r="670" spans="1:9" ht="14.4">
      <c r="A670" s="483"/>
      <c r="B670" s="484"/>
      <c r="C670" s="487"/>
      <c r="D670" s="1290"/>
      <c r="E670" s="1290"/>
      <c r="F670" s="1290"/>
      <c r="I670" s="490"/>
    </row>
    <row r="671" spans="1:9" ht="14.4">
      <c r="A671" s="484"/>
      <c r="B671" s="484"/>
      <c r="C671" s="487"/>
      <c r="D671" s="1290"/>
      <c r="E671" s="1290"/>
      <c r="F671" s="1290"/>
      <c r="I671" s="490"/>
    </row>
    <row r="672" spans="1:9" ht="14.4">
      <c r="A672" s="484"/>
      <c r="B672" s="484"/>
      <c r="C672" s="487"/>
      <c r="D672" s="1290"/>
      <c r="E672" s="1290"/>
      <c r="F672" s="1290"/>
      <c r="I672" s="490"/>
    </row>
    <row r="673" spans="1:11" ht="14.4">
      <c r="A673" s="484"/>
      <c r="B673" s="484"/>
      <c r="C673" s="487"/>
      <c r="D673" s="445"/>
      <c r="E673" s="445"/>
      <c r="F673" s="445"/>
      <c r="I673" s="490"/>
    </row>
    <row r="674" spans="1:11" ht="12.75" customHeight="1">
      <c r="A674" s="483"/>
      <c r="B674" s="485" t="s">
        <v>2651</v>
      </c>
      <c r="C674" s="487"/>
      <c r="D674" s="1290" t="s">
        <v>2024</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1057</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1074</v>
      </c>
      <c r="E688" s="1291"/>
      <c r="F688" s="1291"/>
      <c r="H688" s="501"/>
      <c r="I688" s="483"/>
      <c r="J688" s="501"/>
      <c r="K688" s="501"/>
    </row>
    <row r="689" spans="1:11">
      <c r="A689" s="483"/>
      <c r="B689" s="483"/>
      <c r="C689" s="483"/>
      <c r="H689" s="501"/>
      <c r="I689" s="483"/>
      <c r="J689" s="501"/>
      <c r="K689" s="501"/>
    </row>
    <row r="690" spans="1:11" ht="14.4">
      <c r="A690" s="484"/>
      <c r="B690" s="485" t="s">
        <v>2652</v>
      </c>
      <c r="C690" s="483"/>
      <c r="D690" s="1291" t="s">
        <v>883</v>
      </c>
      <c r="E690" s="1291"/>
      <c r="F690" s="1291"/>
      <c r="H690" s="501"/>
      <c r="I690" s="483"/>
      <c r="J690" s="501"/>
      <c r="K690" s="501"/>
    </row>
    <row r="691" spans="1:11">
      <c r="A691" s="483"/>
      <c r="B691" s="483"/>
      <c r="C691" s="483"/>
      <c r="D691" s="1291" t="s">
        <v>892</v>
      </c>
      <c r="E691" s="1291"/>
      <c r="F691" s="1291"/>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4">
      <c r="A695" s="484"/>
      <c r="B695" s="485" t="s">
        <v>2651</v>
      </c>
      <c r="C695" s="483"/>
      <c r="D695" s="1290" t="s">
        <v>2025</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4">
      <c r="A699" s="484"/>
      <c r="B699" s="485" t="s">
        <v>2652</v>
      </c>
      <c r="C699" s="483"/>
      <c r="D699" s="1291" t="s">
        <v>915</v>
      </c>
      <c r="E699" s="1291"/>
      <c r="F699" s="1291"/>
      <c r="H699" s="501"/>
      <c r="I699" s="483"/>
      <c r="J699" s="501"/>
      <c r="K699" s="501"/>
    </row>
    <row r="700" spans="1:11" ht="14.4">
      <c r="A700" s="484"/>
      <c r="B700" s="484"/>
      <c r="C700" s="483"/>
      <c r="D700" s="1291" t="s">
        <v>892</v>
      </c>
      <c r="E700" s="1291"/>
      <c r="F700" s="1291"/>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4">
      <c r="A703" s="484"/>
      <c r="B703" s="485" t="s">
        <v>2651</v>
      </c>
      <c r="C703" s="483"/>
      <c r="D703" s="1291" t="s">
        <v>2399</v>
      </c>
      <c r="E703" s="1291"/>
      <c r="F703" s="1291"/>
      <c r="H703" s="501"/>
      <c r="I703" s="483"/>
      <c r="J703" s="501"/>
      <c r="K703" s="501"/>
    </row>
    <row r="704" spans="1:11" ht="14.4">
      <c r="A704" s="484"/>
      <c r="B704" s="484"/>
      <c r="C704" s="483"/>
      <c r="D704" s="1291" t="s">
        <v>892</v>
      </c>
      <c r="E704" s="1291"/>
      <c r="F704" s="1291"/>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4">
      <c r="A707" s="484"/>
      <c r="B707" s="485" t="s">
        <v>2652</v>
      </c>
      <c r="C707" s="483"/>
      <c r="D707" s="1290" t="s">
        <v>2196</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2652</v>
      </c>
      <c r="C714" s="483"/>
      <c r="D714" s="1290" t="s">
        <v>1199</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4">
      <c r="A717" s="484"/>
      <c r="B717" s="485" t="s">
        <v>2651</v>
      </c>
      <c r="C717" s="483"/>
      <c r="D717" s="1290" t="s">
        <v>1075</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2651</v>
      </c>
      <c r="C730" s="483"/>
      <c r="D730" s="1290" t="s">
        <v>2392</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2651</v>
      </c>
      <c r="C734" s="483"/>
      <c r="D734" s="1290" t="s">
        <v>2391</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2651</v>
      </c>
      <c r="C738" s="483"/>
      <c r="D738" s="1290" t="s">
        <v>2390</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4">
      <c r="A743" s="484"/>
      <c r="B743" s="485" t="s">
        <v>2651</v>
      </c>
      <c r="C743" s="483"/>
      <c r="D743" s="1290" t="s">
        <v>1076</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4">
      <c r="A749" s="484"/>
      <c r="B749" s="485" t="s">
        <v>2651</v>
      </c>
      <c r="C749" s="483"/>
      <c r="D749" s="1290" t="s">
        <v>2099</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2613</v>
      </c>
      <c r="E756" s="1328"/>
      <c r="F756" s="1328"/>
      <c r="H756" s="501"/>
      <c r="I756" s="483"/>
      <c r="J756" s="501"/>
      <c r="K756" s="501"/>
    </row>
    <row r="757" spans="1:11">
      <c r="A757" s="483"/>
      <c r="B757" s="483"/>
      <c r="C757" s="483"/>
      <c r="D757" s="341"/>
      <c r="H757" s="501"/>
      <c r="I757" s="483"/>
      <c r="J757" s="501"/>
      <c r="K757" s="501"/>
    </row>
    <row r="758" spans="1:11">
      <c r="A758" s="1298" t="s">
        <v>1058</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65" customHeight="1">
      <c r="C760" s="483"/>
      <c r="D760" s="1292" t="s">
        <v>1068</v>
      </c>
      <c r="E760" s="1292"/>
      <c r="F760" s="1292"/>
      <c r="G760" s="501"/>
      <c r="H760" s="501"/>
      <c r="I760" s="483"/>
      <c r="J760" s="501"/>
      <c r="K760" s="501"/>
    </row>
    <row r="761" spans="1:11">
      <c r="A761" s="483"/>
      <c r="B761" s="483"/>
      <c r="C761" s="483"/>
      <c r="D761" s="1297" t="s">
        <v>1069</v>
      </c>
      <c r="E761" s="1297"/>
      <c r="F761" s="1297"/>
      <c r="G761" s="501"/>
      <c r="H761" s="501"/>
      <c r="I761" s="483"/>
      <c r="J761" s="501"/>
      <c r="K761" s="501"/>
    </row>
    <row r="762" spans="1:11">
      <c r="A762" s="483"/>
      <c r="B762" s="483"/>
      <c r="C762" s="483"/>
      <c r="G762" s="501"/>
      <c r="H762" s="501"/>
      <c r="I762" s="483"/>
      <c r="J762" s="501"/>
      <c r="K762" s="501"/>
    </row>
    <row r="763" spans="1:11" ht="14.4">
      <c r="A763" s="484"/>
      <c r="B763" s="485" t="s">
        <v>2652</v>
      </c>
      <c r="D763" s="1290" t="s">
        <v>1070</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4">
      <c r="A770" s="503"/>
      <c r="B770" s="485" t="s">
        <v>2651</v>
      </c>
      <c r="C770" s="504"/>
      <c r="D770" s="1290" t="s">
        <v>1239</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4">
      <c r="A775" s="484"/>
      <c r="B775" s="485" t="s">
        <v>2651</v>
      </c>
      <c r="C775" s="504"/>
      <c r="D775" s="1301" t="s">
        <v>1240</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4">
      <c r="A779" s="484"/>
      <c r="B779" s="485" t="s">
        <v>2651</v>
      </c>
      <c r="D779" s="1290" t="s">
        <v>1196</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2651</v>
      </c>
      <c r="D782" s="1290" t="s">
        <v>1213</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1788</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1828</v>
      </c>
      <c r="E788" s="1319"/>
      <c r="F788" s="1319"/>
      <c r="G788" s="3"/>
      <c r="I788" s="490"/>
    </row>
    <row r="789" spans="1:11">
      <c r="A789" s="57"/>
      <c r="B789" s="57"/>
      <c r="C789" s="354"/>
      <c r="D789" s="1304" t="s">
        <v>1742</v>
      </c>
      <c r="E789" s="1304"/>
      <c r="F789" s="1304"/>
      <c r="G789" s="3"/>
      <c r="I789" s="490"/>
    </row>
    <row r="790" spans="1:11">
      <c r="A790" s="57"/>
      <c r="B790" s="57"/>
      <c r="C790" s="354"/>
      <c r="D790" s="447"/>
      <c r="E790" s="447"/>
      <c r="F790" s="447"/>
      <c r="G790" s="3"/>
      <c r="I790" s="490"/>
    </row>
    <row r="791" spans="1:11">
      <c r="A791" s="57"/>
      <c r="B791" s="485" t="s">
        <v>2652</v>
      </c>
      <c r="C791" s="354"/>
      <c r="D791" s="1321" t="s">
        <v>1743</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2652</v>
      </c>
      <c r="C795" s="172"/>
      <c r="D795" s="1321" t="s">
        <v>1744</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4">
      <c r="A799" s="175"/>
      <c r="B799" s="485" t="s">
        <v>2651</v>
      </c>
      <c r="C799" s="984"/>
      <c r="D799" s="1321" t="s">
        <v>1745</v>
      </c>
      <c r="E799" s="1321"/>
      <c r="F799" s="1321"/>
      <c r="G799" s="983"/>
      <c r="I799" s="483"/>
    </row>
    <row r="800" spans="1:11" ht="14.4">
      <c r="A800" s="175"/>
      <c r="B800" s="175"/>
      <c r="C800" s="984"/>
      <c r="D800" s="1321"/>
      <c r="E800" s="1321"/>
      <c r="F800" s="1321"/>
      <c r="G800" s="983"/>
      <c r="I800" s="490"/>
    </row>
    <row r="801" spans="1:9" ht="14.4">
      <c r="A801" s="175"/>
      <c r="B801" s="175"/>
      <c r="C801" s="984"/>
      <c r="D801" s="1321"/>
      <c r="E801" s="1321"/>
      <c r="F801" s="1321"/>
      <c r="G801" s="983"/>
      <c r="I801" s="490"/>
    </row>
    <row r="802" spans="1:9" ht="14.4">
      <c r="A802" s="175"/>
      <c r="B802" s="175"/>
      <c r="C802" s="984"/>
      <c r="D802" s="118"/>
      <c r="E802" s="3"/>
      <c r="F802" s="3"/>
      <c r="G802" s="983"/>
      <c r="I802" s="490"/>
    </row>
    <row r="803" spans="1:9" ht="14.4">
      <c r="A803" s="175"/>
      <c r="B803" s="485" t="s">
        <v>2651</v>
      </c>
      <c r="C803" s="984"/>
      <c r="D803" s="1321" t="s">
        <v>1746</v>
      </c>
      <c r="E803" s="1321"/>
      <c r="F803" s="1321"/>
      <c r="G803" s="983"/>
      <c r="I803" s="483"/>
    </row>
    <row r="804" spans="1:9" ht="14.4">
      <c r="A804" s="175"/>
      <c r="B804" s="175"/>
      <c r="C804" s="984"/>
      <c r="D804" s="1321"/>
      <c r="E804" s="1321"/>
      <c r="F804" s="1321"/>
      <c r="G804" s="983"/>
      <c r="I804" s="490"/>
    </row>
    <row r="805" spans="1:9" ht="14.4">
      <c r="A805" s="175"/>
      <c r="B805" s="175"/>
      <c r="C805" s="984"/>
      <c r="D805" s="1321"/>
      <c r="E805" s="1321"/>
      <c r="F805" s="1321"/>
      <c r="G805" s="983"/>
      <c r="I805" s="490"/>
    </row>
    <row r="806" spans="1:9" ht="14.4">
      <c r="A806" s="175"/>
      <c r="B806" s="175"/>
      <c r="C806" s="984"/>
      <c r="D806" s="1321"/>
      <c r="E806" s="1321"/>
      <c r="F806" s="1321"/>
      <c r="G806" s="983"/>
      <c r="I806" s="490"/>
    </row>
    <row r="807" spans="1:9" ht="14.4">
      <c r="A807" s="175"/>
      <c r="B807" s="175"/>
      <c r="C807" s="984"/>
      <c r="D807" s="1321"/>
      <c r="E807" s="1321"/>
      <c r="F807" s="1321"/>
      <c r="G807" s="983"/>
      <c r="I807" s="490"/>
    </row>
    <row r="808" spans="1:9" ht="14.4">
      <c r="A808" s="175"/>
      <c r="B808" s="175"/>
      <c r="C808" s="984"/>
      <c r="D808" s="1321"/>
      <c r="E808" s="1321"/>
      <c r="F808" s="1321"/>
      <c r="G808" s="983"/>
      <c r="I808" s="490"/>
    </row>
    <row r="809" spans="1:9" ht="14.4">
      <c r="A809" s="175"/>
      <c r="B809" s="175"/>
      <c r="C809" s="984"/>
      <c r="D809" s="1321" t="s">
        <v>1789</v>
      </c>
      <c r="E809" s="1321"/>
      <c r="F809" s="1321"/>
      <c r="G809" s="983"/>
      <c r="I809" s="490"/>
    </row>
    <row r="810" spans="1:9" ht="14.4">
      <c r="A810" s="175"/>
      <c r="B810" s="175"/>
      <c r="C810" s="984"/>
      <c r="D810" s="1321"/>
      <c r="E810" s="1321"/>
      <c r="F810" s="1321"/>
      <c r="G810" s="983"/>
      <c r="I810" s="490"/>
    </row>
    <row r="811" spans="1:9" ht="14.4">
      <c r="A811" s="175"/>
      <c r="B811" s="175"/>
      <c r="C811" s="984"/>
      <c r="D811" s="1321"/>
      <c r="E811" s="1321"/>
      <c r="F811" s="1321"/>
      <c r="G811" s="983"/>
      <c r="I811" s="490"/>
    </row>
    <row r="812" spans="1:9" ht="14.4">
      <c r="A812" s="175"/>
      <c r="B812" s="354"/>
      <c r="C812" s="984"/>
      <c r="D812" s="985"/>
      <c r="E812" s="985"/>
      <c r="F812" s="985"/>
      <c r="G812" s="983"/>
      <c r="I812" s="490"/>
    </row>
    <row r="813" spans="1:9" ht="14.4">
      <c r="A813" s="175"/>
      <c r="B813" s="485" t="s">
        <v>2651</v>
      </c>
      <c r="C813" s="984"/>
      <c r="D813" s="1321" t="s">
        <v>1747</v>
      </c>
      <c r="E813" s="1321"/>
      <c r="F813" s="1321"/>
      <c r="G813" s="983"/>
      <c r="I813" s="483"/>
    </row>
    <row r="814" spans="1:9" ht="14.4">
      <c r="A814" s="175"/>
      <c r="B814" s="175"/>
      <c r="C814" s="984"/>
      <c r="D814" s="1321"/>
      <c r="E814" s="1321"/>
      <c r="F814" s="1321"/>
      <c r="G814" s="983"/>
      <c r="I814" s="490"/>
    </row>
    <row r="815" spans="1:9" ht="14.4">
      <c r="A815" s="175"/>
      <c r="B815" s="175"/>
      <c r="C815" s="984"/>
      <c r="D815" s="1321"/>
      <c r="E815" s="1321"/>
      <c r="F815" s="1321"/>
      <c r="G815" s="983"/>
      <c r="I815" s="490"/>
    </row>
    <row r="816" spans="1:9" ht="14.4">
      <c r="A816" s="175"/>
      <c r="B816" s="175"/>
      <c r="C816" s="984"/>
      <c r="D816" s="1321"/>
      <c r="E816" s="1321"/>
      <c r="F816" s="1321"/>
      <c r="G816" s="983"/>
      <c r="I816" s="490"/>
    </row>
    <row r="817" spans="1:9" ht="14.4">
      <c r="A817" s="175"/>
      <c r="B817" s="175"/>
      <c r="C817" s="984"/>
      <c r="D817" s="1321"/>
      <c r="E817" s="1321"/>
      <c r="F817" s="1321"/>
      <c r="G817" s="983"/>
      <c r="I817" s="490"/>
    </row>
    <row r="818" spans="1:9" ht="14.4">
      <c r="A818" s="175"/>
      <c r="B818" s="175"/>
      <c r="C818" s="984"/>
      <c r="D818" s="1321"/>
      <c r="E818" s="1321"/>
      <c r="F818" s="1321"/>
      <c r="G818" s="983"/>
      <c r="I818" s="490"/>
    </row>
    <row r="819" spans="1:9" ht="14.4">
      <c r="A819" s="175"/>
      <c r="B819" s="175"/>
      <c r="C819" s="984"/>
      <c r="D819" s="977"/>
      <c r="E819" s="977"/>
      <c r="F819" s="977"/>
      <c r="G819" s="983"/>
      <c r="I819" s="490"/>
    </row>
    <row r="820" spans="1:9" ht="14.4">
      <c r="A820" s="175"/>
      <c r="B820" s="485" t="s">
        <v>2651</v>
      </c>
      <c r="C820" s="984"/>
      <c r="D820" s="1321" t="s">
        <v>1748</v>
      </c>
      <c r="E820" s="1321"/>
      <c r="F820" s="1321"/>
      <c r="G820" s="983"/>
      <c r="I820" s="483"/>
    </row>
    <row r="821" spans="1:9" ht="14.4">
      <c r="A821" s="175"/>
      <c r="B821" s="175"/>
      <c r="C821" s="984"/>
      <c r="D821" s="1321"/>
      <c r="E821" s="1321"/>
      <c r="F821" s="1321"/>
      <c r="G821" s="983"/>
      <c r="I821" s="490"/>
    </row>
    <row r="822" spans="1:9" ht="14.4">
      <c r="A822" s="175"/>
      <c r="B822" s="175"/>
      <c r="C822" s="984"/>
      <c r="D822" s="1321"/>
      <c r="E822" s="1321"/>
      <c r="F822" s="1321"/>
      <c r="G822" s="983"/>
      <c r="I822" s="490"/>
    </row>
    <row r="823" spans="1:9" ht="14.4">
      <c r="A823" s="175"/>
      <c r="B823" s="175"/>
      <c r="C823" s="984"/>
      <c r="D823" s="1321"/>
      <c r="E823" s="1321"/>
      <c r="F823" s="1321"/>
      <c r="G823" s="983"/>
      <c r="I823" s="490"/>
    </row>
    <row r="824" spans="1:9" ht="14.4">
      <c r="A824" s="175"/>
      <c r="B824" s="175"/>
      <c r="C824" s="984"/>
      <c r="D824" s="1321"/>
      <c r="E824" s="1321"/>
      <c r="F824" s="1321"/>
      <c r="G824" s="983"/>
      <c r="I824" s="490"/>
    </row>
    <row r="825" spans="1:9" ht="14.4">
      <c r="A825" s="175"/>
      <c r="B825" s="175"/>
      <c r="C825" s="984"/>
      <c r="D825" s="1321"/>
      <c r="E825" s="1321"/>
      <c r="F825" s="1321"/>
      <c r="G825" s="983"/>
      <c r="I825" s="490"/>
    </row>
    <row r="826" spans="1:9" ht="14.4">
      <c r="A826" s="175"/>
      <c r="B826" s="175"/>
      <c r="C826" s="984"/>
      <c r="D826" s="977"/>
      <c r="E826" s="977"/>
      <c r="F826" s="977"/>
      <c r="G826" s="983"/>
      <c r="I826" s="490"/>
    </row>
    <row r="827" spans="1:9" ht="14.4">
      <c r="A827" s="175"/>
      <c r="B827" s="485" t="s">
        <v>2652</v>
      </c>
      <c r="C827" s="984"/>
      <c r="D827" s="1295" t="s">
        <v>1749</v>
      </c>
      <c r="E827" s="1295"/>
      <c r="F827" s="1295"/>
      <c r="G827" s="983"/>
      <c r="I827" s="483"/>
    </row>
    <row r="828" spans="1:9" ht="14.4">
      <c r="A828" s="175"/>
      <c r="B828" s="175"/>
      <c r="C828" s="984"/>
      <c r="D828" s="1295"/>
      <c r="E828" s="1295"/>
      <c r="F828" s="1295"/>
      <c r="G828" s="983"/>
      <c r="I828" s="490"/>
    </row>
    <row r="829" spans="1:9">
      <c r="A829" s="13"/>
      <c r="B829" s="13"/>
      <c r="C829" s="984"/>
      <c r="D829" s="1295"/>
      <c r="E829" s="1295"/>
      <c r="F829" s="1295"/>
      <c r="G829" s="983"/>
      <c r="I829" s="490"/>
    </row>
    <row r="830" spans="1:9" ht="14.4">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1750</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1790</v>
      </c>
      <c r="E836" s="1318"/>
      <c r="F836" s="1318"/>
      <c r="G836" s="3"/>
      <c r="I836" s="490"/>
    </row>
    <row r="837" spans="1:9" ht="14.25" customHeight="1">
      <c r="A837" s="175"/>
      <c r="B837" s="175"/>
      <c r="C837" s="354"/>
      <c r="D837" s="1266" t="s">
        <v>1751</v>
      </c>
      <c r="E837" s="1266"/>
      <c r="F837" s="1266"/>
      <c r="G837" s="3"/>
      <c r="I837" s="490"/>
    </row>
    <row r="838" spans="1:9" ht="12.75" customHeight="1">
      <c r="A838" s="175"/>
      <c r="B838" s="175"/>
      <c r="C838" s="354"/>
      <c r="D838" s="441"/>
      <c r="E838" s="441"/>
      <c r="F838" s="441"/>
      <c r="G838" s="3"/>
      <c r="I838" s="490"/>
    </row>
    <row r="839" spans="1:9" ht="12.75" customHeight="1">
      <c r="A839" s="354"/>
      <c r="B839" s="485" t="s">
        <v>2652</v>
      </c>
      <c r="C839" s="984"/>
      <c r="D839" s="1266" t="s">
        <v>1752</v>
      </c>
      <c r="E839" s="1266"/>
      <c r="F839" s="126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7" t="s">
        <v>2031</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2652</v>
      </c>
      <c r="C853" s="984"/>
      <c r="D853" s="1266" t="s">
        <v>1753</v>
      </c>
      <c r="E853" s="1266"/>
      <c r="F853" s="1266"/>
      <c r="G853" s="3"/>
      <c r="I853" s="490" t="s">
        <v>1855</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2651</v>
      </c>
      <c r="C857" s="984"/>
      <c r="D857" s="1318" t="s">
        <v>1754</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2026</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2651</v>
      </c>
      <c r="C866" s="984"/>
      <c r="D866" s="1266" t="s">
        <v>1755</v>
      </c>
      <c r="E866" s="1266"/>
      <c r="F866" s="1266"/>
      <c r="G866" s="3"/>
      <c r="I866" s="490" t="s">
        <v>1853</v>
      </c>
    </row>
    <row r="867" spans="1:9" ht="12.75" customHeight="1">
      <c r="A867" s="175"/>
      <c r="B867" s="175"/>
      <c r="C867" s="984"/>
      <c r="D867" s="1266" t="s">
        <v>1756</v>
      </c>
      <c r="E867" s="1266"/>
      <c r="F867" s="126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2651</v>
      </c>
      <c r="C870" s="984"/>
      <c r="D870" s="1266" t="s">
        <v>1757</v>
      </c>
      <c r="E870" s="1266"/>
      <c r="F870" s="1266"/>
      <c r="G870" s="3"/>
      <c r="I870" s="490" t="s">
        <v>1856</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1791</v>
      </c>
      <c r="E877" s="1325"/>
      <c r="F877" s="1325"/>
      <c r="G877" s="983"/>
      <c r="I877" s="490"/>
    </row>
    <row r="878" spans="1:9" ht="12.75" customHeight="1">
      <c r="A878" s="354"/>
      <c r="B878" s="354"/>
      <c r="C878" s="174"/>
      <c r="D878" s="1326" t="s">
        <v>1759</v>
      </c>
      <c r="E878" s="1326"/>
      <c r="F878" s="1326"/>
      <c r="G878" s="983"/>
      <c r="I878" s="490"/>
    </row>
    <row r="879" spans="1:9" ht="12.75" customHeight="1">
      <c r="A879" s="354"/>
      <c r="B879" s="354"/>
      <c r="C879" s="174"/>
      <c r="D879" s="990"/>
      <c r="E879" s="990"/>
      <c r="F879" s="990"/>
      <c r="G879" s="983"/>
      <c r="I879" s="490"/>
    </row>
    <row r="880" spans="1:9" ht="12.75" customHeight="1">
      <c r="A880" s="175"/>
      <c r="B880" s="485" t="s">
        <v>2652</v>
      </c>
      <c r="C880" s="354"/>
      <c r="D880" s="1305" t="s">
        <v>1760</v>
      </c>
      <c r="E880" s="1305"/>
      <c r="F880" s="1305"/>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2652</v>
      </c>
      <c r="C883" s="354"/>
      <c r="D883" s="1266" t="s">
        <v>1761</v>
      </c>
      <c r="E883" s="1315"/>
      <c r="F883" s="1315"/>
      <c r="G883" s="3"/>
      <c r="I883" s="490" t="s">
        <v>1856</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2651</v>
      </c>
      <c r="C886" s="354"/>
      <c r="D886" s="1316" t="s">
        <v>1762</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2026</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2651</v>
      </c>
      <c r="C895" s="354"/>
      <c r="D895" s="1306" t="s">
        <v>1755</v>
      </c>
      <c r="E895" s="1306"/>
      <c r="F895" s="1306"/>
      <c r="G895" s="983"/>
      <c r="I895" s="490"/>
    </row>
    <row r="896" spans="1:9" ht="12.75" customHeight="1">
      <c r="A896" s="175"/>
      <c r="B896" s="175"/>
      <c r="C896" s="354"/>
      <c r="D896" s="1306" t="s">
        <v>1756</v>
      </c>
      <c r="E896" s="1306"/>
      <c r="F896" s="1306"/>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2651</v>
      </c>
      <c r="C899" s="354"/>
      <c r="D899" s="1266" t="s">
        <v>1757</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1792</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1798</v>
      </c>
      <c r="E906" s="1329"/>
      <c r="F906" s="1329"/>
      <c r="G906" s="57"/>
      <c r="I906" s="490"/>
    </row>
    <row r="907" spans="1:9" ht="12.75" customHeight="1">
      <c r="A907" s="57"/>
      <c r="B907" s="57"/>
      <c r="C907" s="57"/>
      <c r="D907" s="976"/>
      <c r="E907" s="976"/>
      <c r="F907" s="976"/>
      <c r="G907" s="57"/>
      <c r="I907" s="490"/>
    </row>
    <row r="908" spans="1:9" ht="12.75" customHeight="1">
      <c r="A908" s="57"/>
      <c r="B908" s="485" t="s">
        <v>2652</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1793</v>
      </c>
      <c r="E910" s="1329"/>
      <c r="F910" s="1329"/>
      <c r="G910" s="983"/>
      <c r="I910" s="490"/>
    </row>
    <row r="911" spans="1:9" ht="12.75" customHeight="1">
      <c r="A911" s="172"/>
      <c r="B911" s="172"/>
      <c r="C911" s="172"/>
      <c r="D911" s="1305" t="s">
        <v>1763</v>
      </c>
      <c r="E911" s="1305"/>
      <c r="F911" s="1305"/>
      <c r="G911" s="983"/>
      <c r="I911" s="490"/>
    </row>
    <row r="912" spans="1:9" ht="12.75" customHeight="1">
      <c r="A912" s="984"/>
      <c r="B912" s="984"/>
      <c r="C912" s="984"/>
      <c r="D912" s="2"/>
      <c r="E912" s="983"/>
      <c r="F912" s="983"/>
      <c r="G912" s="983"/>
      <c r="I912" s="490"/>
    </row>
    <row r="913" spans="1:9" ht="12.75" customHeight="1">
      <c r="A913" s="175"/>
      <c r="B913" s="485" t="s">
        <v>2652</v>
      </c>
      <c r="C913" s="354"/>
      <c r="D913" s="1266" t="s">
        <v>1767</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1766</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2652</v>
      </c>
      <c r="C918" s="174"/>
      <c r="D918" s="1270" t="s">
        <v>1764</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2651</v>
      </c>
      <c r="C927" s="984"/>
      <c r="D927" s="1266" t="s">
        <v>1768</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2651</v>
      </c>
      <c r="C930" s="984"/>
      <c r="D930" s="1295" t="s">
        <v>1769</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2651</v>
      </c>
      <c r="C935" s="984"/>
      <c r="D935" s="1305" t="s">
        <v>2027</v>
      </c>
      <c r="E935" s="1305"/>
      <c r="F935" s="1305"/>
      <c r="G935" s="983"/>
      <c r="I935" s="490"/>
    </row>
    <row r="936" spans="1:9" ht="12.75" customHeight="1">
      <c r="A936" s="984"/>
      <c r="B936" s="984"/>
      <c r="C936" s="984"/>
      <c r="D936" s="118"/>
      <c r="E936" s="983"/>
      <c r="F936" s="983"/>
      <c r="G936" s="983"/>
      <c r="I936" s="490"/>
    </row>
    <row r="937" spans="1:9" ht="12.75" customHeight="1">
      <c r="A937" s="984"/>
      <c r="B937" s="485" t="s">
        <v>2651</v>
      </c>
      <c r="C937" s="984"/>
      <c r="D937" s="1305" t="s">
        <v>2028</v>
      </c>
      <c r="E937" s="1305"/>
      <c r="F937" s="1305"/>
      <c r="G937" s="983"/>
      <c r="I937" s="490"/>
    </row>
    <row r="938" spans="1:9" ht="12.75" customHeight="1">
      <c r="A938" s="174"/>
      <c r="B938" s="174"/>
      <c r="C938" s="174"/>
      <c r="D938" s="2"/>
      <c r="E938" s="3"/>
      <c r="F938" s="983"/>
      <c r="G938" s="983"/>
      <c r="I938" s="490"/>
    </row>
    <row r="939" spans="1:9" ht="12.75" customHeight="1">
      <c r="A939" s="992"/>
      <c r="B939" s="485" t="s">
        <v>2652</v>
      </c>
      <c r="C939" s="993"/>
      <c r="D939" s="1270" t="s">
        <v>1765</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2652</v>
      </c>
      <c r="C949" s="174"/>
      <c r="D949" s="1330" t="s">
        <v>1859</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2652</v>
      </c>
      <c r="C957" s="174"/>
      <c r="D957" s="1269" t="s">
        <v>2092</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2651</v>
      </c>
      <c r="C964" s="984"/>
      <c r="D964" s="1295" t="s">
        <v>1770</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2651</v>
      </c>
      <c r="C969" s="174"/>
      <c r="D969" s="1270" t="s">
        <v>1858</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1771</v>
      </c>
      <c r="E974" s="1325"/>
      <c r="F974" s="1325"/>
      <c r="G974" s="3"/>
      <c r="I974" s="490"/>
    </row>
    <row r="975" spans="1:9" ht="12.75" customHeight="1">
      <c r="A975" s="175"/>
      <c r="B975" s="485" t="s">
        <v>2651</v>
      </c>
      <c r="C975" s="354"/>
      <c r="D975" s="1305" t="s">
        <v>1794</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1772</v>
      </c>
      <c r="E977" s="1325"/>
      <c r="F977" s="1325"/>
      <c r="G977"/>
      <c r="I977" s="490"/>
    </row>
    <row r="978" spans="1:9" ht="12.75" customHeight="1">
      <c r="A978" s="175"/>
      <c r="B978" s="485" t="s">
        <v>2651</v>
      </c>
      <c r="C978" s="354"/>
      <c r="D978" s="1266" t="s">
        <v>2029</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1773</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1795</v>
      </c>
      <c r="E996" s="1325"/>
      <c r="F996" s="1325"/>
      <c r="G996" s="3"/>
      <c r="I996" s="490"/>
    </row>
    <row r="997" spans="1:9" ht="12.75" customHeight="1">
      <c r="A997" s="172"/>
      <c r="B997" s="172"/>
      <c r="C997" s="172"/>
      <c r="D997" s="1305" t="s">
        <v>1774</v>
      </c>
      <c r="E997" s="1305"/>
      <c r="F997" s="1305"/>
      <c r="G997" s="3"/>
      <c r="I997" s="490"/>
    </row>
    <row r="998" spans="1:9" ht="12.75" customHeight="1">
      <c r="A998" s="172"/>
      <c r="B998" s="172"/>
      <c r="C998" s="172"/>
      <c r="D998" s="3"/>
      <c r="E998" s="3"/>
      <c r="F998" s="983"/>
      <c r="G998"/>
      <c r="I998" s="490"/>
    </row>
    <row r="999" spans="1:9" ht="12.75" customHeight="1">
      <c r="A999" s="354"/>
      <c r="B999" s="485" t="s">
        <v>2652</v>
      </c>
      <c r="C999" s="354"/>
      <c r="D999" s="1335" t="s">
        <v>1887</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2" t="s">
        <v>1886</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2651</v>
      </c>
      <c r="C1007" s="174"/>
      <c r="D1007" s="1266" t="s">
        <v>1775</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2651</v>
      </c>
      <c r="C1012" s="174"/>
      <c r="D1012" s="1266" t="s">
        <v>2183</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2651</v>
      </c>
      <c r="C1015" s="354"/>
      <c r="D1015" s="1305" t="s">
        <v>1776</v>
      </c>
      <c r="E1015" s="1305"/>
      <c r="F1015" s="1305"/>
      <c r="G1015"/>
      <c r="I1015" s="490"/>
    </row>
    <row r="1016" spans="1:9" ht="12.75" customHeight="1">
      <c r="A1016" s="354"/>
      <c r="B1016" s="354"/>
      <c r="C1016" s="354"/>
      <c r="D1016" s="3"/>
      <c r="E1016" s="3"/>
      <c r="F1016" s="3"/>
      <c r="G1016"/>
      <c r="I1016" s="490"/>
    </row>
    <row r="1017" spans="1:9" ht="12.75" customHeight="1">
      <c r="A1017" s="175"/>
      <c r="B1017" s="485" t="s">
        <v>2651</v>
      </c>
      <c r="C1017" s="354"/>
      <c r="D1017" s="1305" t="s">
        <v>1777</v>
      </c>
      <c r="E1017" s="1305"/>
      <c r="F1017" s="1305"/>
      <c r="G1017"/>
      <c r="I1017" s="490"/>
    </row>
    <row r="1018" spans="1:9" ht="12.75" customHeight="1">
      <c r="A1018" s="354"/>
      <c r="B1018" s="354"/>
      <c r="C1018" s="354"/>
      <c r="D1018" s="118"/>
      <c r="E1018" s="3"/>
      <c r="F1018" s="3"/>
      <c r="G1018"/>
      <c r="I1018" s="490"/>
    </row>
    <row r="1019" spans="1:9" ht="12.75" customHeight="1">
      <c r="A1019" s="175"/>
      <c r="B1019" s="485" t="s">
        <v>2652</v>
      </c>
      <c r="C1019" s="354"/>
      <c r="D1019" s="1305" t="s">
        <v>1778</v>
      </c>
      <c r="E1019" s="1305"/>
      <c r="F1019" s="1305"/>
      <c r="G1019"/>
      <c r="I1019" s="490"/>
    </row>
    <row r="1020" spans="1:9" ht="12.75" customHeight="1">
      <c r="A1020" s="354"/>
      <c r="B1020" s="354"/>
      <c r="C1020" s="354"/>
      <c r="D1020" s="118"/>
      <c r="E1020" s="3"/>
      <c r="F1020" s="3"/>
      <c r="G1020"/>
      <c r="I1020" s="490"/>
    </row>
    <row r="1021" spans="1:9" ht="12.75" customHeight="1">
      <c r="A1021" s="175"/>
      <c r="B1021" s="485" t="s">
        <v>2652</v>
      </c>
      <c r="C1021" s="354"/>
      <c r="D1021" s="1266" t="s">
        <v>1779</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2651</v>
      </c>
      <c r="C1024" s="995"/>
      <c r="D1024" s="1321" t="s">
        <v>1780</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2651</v>
      </c>
      <c r="C1027" s="995"/>
      <c r="D1027" s="1336" t="s">
        <v>1781</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2651</v>
      </c>
      <c r="C1029" s="354"/>
      <c r="D1029" s="1305" t="s">
        <v>1782</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2651</v>
      </c>
      <c r="C1031" s="354"/>
      <c r="D1031" s="1266" t="s">
        <v>1783</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1784</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1785</v>
      </c>
      <c r="E1036" s="1329"/>
      <c r="F1036" s="1329"/>
      <c r="G1036" s="3"/>
      <c r="I1036" s="490"/>
    </row>
    <row r="1037" spans="1:9" ht="12.75" customHeight="1">
      <c r="A1037" s="354"/>
      <c r="B1037" s="354"/>
      <c r="C1037" s="354"/>
      <c r="D1037" s="1336" t="s">
        <v>1786</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1800</v>
      </c>
      <c r="E1039" s="1329"/>
      <c r="F1039" s="1329"/>
      <c r="G1039" s="3"/>
      <c r="I1039" s="490"/>
    </row>
    <row r="1040" spans="1:9" ht="12.75" customHeight="1">
      <c r="A1040" s="354"/>
      <c r="B1040" s="485" t="s">
        <v>2652</v>
      </c>
      <c r="C1040" s="354"/>
      <c r="D1040" s="1336" t="s">
        <v>1269</v>
      </c>
      <c r="E1040" s="1336"/>
      <c r="F1040" s="1336"/>
      <c r="G1040" s="3"/>
      <c r="I1040" s="490"/>
    </row>
    <row r="1041" spans="1:9" ht="12.75" customHeight="1">
      <c r="A1041" s="354"/>
      <c r="B1041" s="175"/>
      <c r="C1041" s="354"/>
      <c r="D1041" s="1336" t="s">
        <v>1787</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1796</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1270</v>
      </c>
      <c r="E1045" s="1337"/>
      <c r="F1045" s="1337"/>
      <c r="G1045" s="3"/>
      <c r="I1045" s="490"/>
    </row>
    <row r="1046" spans="1:9" ht="12.75" hidden="1" customHeight="1">
      <c r="A1046" s="118"/>
      <c r="B1046" s="485" t="s">
        <v>306</v>
      </c>
      <c r="D1046" s="1300" t="s">
        <v>1269</v>
      </c>
      <c r="E1046" s="1300"/>
      <c r="F1046" s="1300"/>
      <c r="G1046" s="3"/>
      <c r="I1046" s="490"/>
    </row>
    <row r="1047" spans="1:9" ht="12.75" hidden="1" customHeight="1">
      <c r="A1047" s="118"/>
      <c r="B1047" s="402"/>
      <c r="D1047" s="1300" t="s">
        <v>1797</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1064</v>
      </c>
      <c r="E1049" s="1338"/>
      <c r="F1049" s="1338"/>
      <c r="G1049" s="3"/>
      <c r="I1049" s="490"/>
    </row>
    <row r="1050" spans="1:9" ht="12.75" customHeight="1">
      <c r="A1050" s="319"/>
      <c r="B1050" s="319"/>
      <c r="C1050" s="319"/>
      <c r="D1050" s="1306" t="s">
        <v>2200</v>
      </c>
      <c r="E1050" s="1306"/>
      <c r="F1050" s="1306"/>
      <c r="G1050" s="98"/>
      <c r="I1050" s="490"/>
    </row>
    <row r="1051" spans="1:9" ht="12.75" customHeight="1">
      <c r="A1051" s="175"/>
      <c r="B1051" s="485" t="s">
        <v>2651</v>
      </c>
      <c r="C1051" s="354"/>
      <c r="D1051" s="1306" t="s">
        <v>983</v>
      </c>
      <c r="E1051" s="1306"/>
      <c r="F1051" s="1306"/>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13" t="s">
        <v>2616</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2651</v>
      </c>
      <c r="C1059" s="402"/>
      <c r="D1059" s="1287" t="s">
        <v>1801</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2620</v>
      </c>
      <c r="I1065" s="490"/>
    </row>
    <row r="1066" spans="1:9">
      <c r="A1066" s="402"/>
      <c r="B1066" s="402"/>
      <c r="C1066" s="402"/>
      <c r="I1066" s="490"/>
    </row>
    <row r="1067" spans="1:9">
      <c r="A1067" s="402"/>
      <c r="B1067" s="485" t="s">
        <v>2652</v>
      </c>
      <c r="C1067" s="402"/>
      <c r="D1067" s="402" t="s">
        <v>1799</v>
      </c>
      <c r="I1067" s="490"/>
    </row>
    <row r="1068" spans="1:9">
      <c r="A1068" s="402"/>
      <c r="B1068" s="402"/>
      <c r="C1068" s="402"/>
      <c r="I1068" s="490"/>
    </row>
    <row r="1069" spans="1:9">
      <c r="A1069" s="402"/>
      <c r="B1069" s="485" t="s">
        <v>2652</v>
      </c>
      <c r="C1069" s="402"/>
      <c r="D1069" s="1287" t="s">
        <v>1802</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1803</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2652</v>
      </c>
      <c r="C1078" s="402"/>
      <c r="D1078" s="527" t="s">
        <v>1806</v>
      </c>
      <c r="I1078" s="490"/>
    </row>
    <row r="1079" spans="1:9">
      <c r="A1079" s="402"/>
      <c r="B1079" s="402"/>
      <c r="C1079" s="402"/>
      <c r="D1079" s="527" t="s">
        <v>2629</v>
      </c>
      <c r="I1079" s="490"/>
    </row>
    <row r="1080" spans="1:9">
      <c r="A1080" s="402"/>
      <c r="B1080" s="402"/>
      <c r="C1080" s="402"/>
      <c r="D1080" s="527"/>
      <c r="I1080" s="490"/>
    </row>
    <row r="1081" spans="1:9">
      <c r="A1081" s="402"/>
      <c r="B1081" s="485" t="s">
        <v>2652</v>
      </c>
      <c r="C1081" s="402"/>
      <c r="D1081" s="1334" t="s">
        <v>2622</v>
      </c>
      <c r="E1081" s="1334"/>
      <c r="F1081" s="1334"/>
      <c r="I1081" s="490"/>
    </row>
    <row r="1082" spans="1:9">
      <c r="A1082" s="402"/>
      <c r="B1082" s="402"/>
      <c r="C1082" s="402"/>
      <c r="D1082" s="1334"/>
      <c r="E1082" s="1334"/>
      <c r="F1082" s="1334"/>
      <c r="I1082" s="490"/>
    </row>
    <row r="1083" spans="1:9">
      <c r="A1083" s="402"/>
      <c r="B1083" s="402"/>
      <c r="C1083" s="402"/>
      <c r="D1083" s="527" t="s">
        <v>2621</v>
      </c>
      <c r="I1083" s="490"/>
    </row>
    <row r="1084" spans="1:9">
      <c r="A1084" s="402"/>
      <c r="B1084" s="402"/>
      <c r="C1084" s="402"/>
      <c r="D1084" s="527"/>
      <c r="I1084" s="490"/>
    </row>
    <row r="1085" spans="1:9">
      <c r="A1085" s="402"/>
      <c r="B1085" s="485" t="s">
        <v>2651</v>
      </c>
      <c r="C1085" s="402"/>
      <c r="D1085" s="119" t="s">
        <v>2630</v>
      </c>
      <c r="I1085" s="490"/>
    </row>
    <row r="1086" spans="1:9">
      <c r="A1086" s="402"/>
      <c r="B1086" s="402"/>
      <c r="C1086" s="402"/>
      <c r="D1086" s="1266" t="s">
        <v>2632</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1804</v>
      </c>
      <c r="I1092" s="490"/>
    </row>
    <row r="1093" spans="1:9">
      <c r="A1093" s="402"/>
      <c r="B1093" s="485" t="s">
        <v>2651</v>
      </c>
      <c r="C1093" s="402"/>
      <c r="D1093" s="1331" t="s">
        <v>1805</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2633</v>
      </c>
      <c r="I1098" s="490"/>
    </row>
    <row r="1099" spans="1:9">
      <c r="A1099" s="402"/>
      <c r="B1099" s="402"/>
      <c r="C1099" s="402"/>
      <c r="I1099" s="490"/>
    </row>
    <row r="1100" spans="1:9">
      <c r="A1100" s="402"/>
      <c r="B1100" s="485" t="s">
        <v>2651</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1807</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2651</v>
      </c>
      <c r="C1107" s="402"/>
      <c r="D1107" s="1332" t="s">
        <v>1901</v>
      </c>
      <c r="E1107" s="1332"/>
      <c r="F1107" s="1332"/>
      <c r="I1107" s="490"/>
    </row>
    <row r="1108" spans="1:9">
      <c r="A1108" s="402"/>
      <c r="B1108" s="402"/>
      <c r="C1108" s="402"/>
      <c r="D1108" s="1332"/>
      <c r="E1108" s="1332"/>
      <c r="F1108" s="1332"/>
      <c r="I1108" s="490"/>
    </row>
    <row r="1109" spans="1:9">
      <c r="A1109" s="402"/>
      <c r="B1109" s="402"/>
      <c r="C1109" s="402"/>
      <c r="D1109" s="1333" t="s">
        <v>2637</v>
      </c>
      <c r="E1109" s="1266"/>
      <c r="F1109" s="1266"/>
      <c r="I1109" s="490"/>
    </row>
    <row r="1110" spans="1:9">
      <c r="A1110" s="402"/>
      <c r="B1110" s="402"/>
      <c r="C1110" s="402"/>
      <c r="D1110" s="527"/>
      <c r="I1110" s="490"/>
    </row>
    <row r="1111" spans="1:9">
      <c r="A1111" s="402"/>
      <c r="B1111" s="485" t="s">
        <v>2651</v>
      </c>
      <c r="C1111" s="402"/>
      <c r="D1111" s="1331" t="s">
        <v>2585</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2651</v>
      </c>
      <c r="C1115" s="402"/>
      <c r="D1115" s="1331" t="s">
        <v>2604</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2651</v>
      </c>
      <c r="C1121" s="402"/>
      <c r="D1121" s="1331" t="s">
        <v>1808</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2652</v>
      </c>
      <c r="C1125" s="402"/>
      <c r="D1125" s="1272" t="s">
        <v>1860</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2652</v>
      </c>
      <c r="C1129" s="402"/>
      <c r="D1129" s="1266" t="s">
        <v>1861</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2651</v>
      </c>
      <c r="C1134" s="402"/>
      <c r="D1134" s="1272" t="s">
        <v>2614</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2651</v>
      </c>
      <c r="C1141" s="402"/>
      <c r="D1141" s="1287" t="s">
        <v>2586</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Normal="100" workbookViewId="0">
      <selection activeCell="AT6" sqref="AT6"/>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2427</v>
      </c>
      <c r="BE1" s="3"/>
      <c r="BF1" s="3"/>
    </row>
    <row r="2" spans="1:58" ht="12.9" customHeight="1">
      <c r="BD2" s="3" t="s">
        <v>2428</v>
      </c>
      <c r="BE2" s="3" t="s">
        <v>2429</v>
      </c>
      <c r="BF2" s="3" t="s">
        <v>2430</v>
      </c>
    </row>
    <row r="3" spans="1:58" ht="12.9" customHeight="1">
      <c r="BD3" s="3" t="s">
        <v>2522</v>
      </c>
      <c r="BE3" t="str">
        <f>AC220</f>
        <v>Bay Area ((Alameda, Contra Costa, Marin, San Francisco, San Mateo, Santa Clara, and Santa Cruz Counties)</v>
      </c>
    </row>
    <row r="4" spans="1:58" ht="12.9" customHeight="1">
      <c r="BD4" s="3" t="s">
        <v>2437</v>
      </c>
      <c r="BE4" s="1180"/>
    </row>
    <row r="5" spans="1:58" ht="12.9" customHeight="1">
      <c r="BD5" s="3" t="s">
        <v>2438</v>
      </c>
      <c r="BE5">
        <f>SUMIF($AC$726:$AC$760,"&lt;=20%",$G$726:G$760)</f>
        <v>0</v>
      </c>
      <c r="BF5" s="3" t="s">
        <v>2443</v>
      </c>
    </row>
    <row r="6" spans="1:58" ht="12.9" customHeight="1">
      <c r="BD6" s="3" t="s">
        <v>2439</v>
      </c>
      <c r="BE6" s="1183">
        <f>SUMIF($AC$726:$AC$760,"&lt;=25%",$G$726:G$760)-SUM($BE$5:BE5)</f>
        <v>0</v>
      </c>
    </row>
    <row r="7" spans="1:58" ht="12.9" customHeight="1">
      <c r="BD7" s="1181" t="s">
        <v>2431</v>
      </c>
      <c r="BE7" s="1183">
        <f>SUMIF($AC$726:$AC$760,"&lt;=30%",$G$726:G$760)-SUM($BE$5:BE6)</f>
        <v>74</v>
      </c>
    </row>
    <row r="8" spans="1:58" ht="26.25" customHeight="1">
      <c r="A8" s="1826" t="s">
        <v>100</v>
      </c>
      <c r="B8" s="1826"/>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c r="AT8" s="1826"/>
      <c r="AU8" s="894"/>
      <c r="AV8" s="894"/>
      <c r="AW8" s="894"/>
      <c r="AX8" s="894"/>
      <c r="AY8" s="894"/>
      <c r="BD8" s="3" t="s">
        <v>2440</v>
      </c>
      <c r="BE8" s="1183">
        <f>SUMIF($AC$726:$AC$760,"&lt;=35%",$G$726:G$760)-SUM($BE$5:BE7)</f>
        <v>0</v>
      </c>
    </row>
    <row r="9" spans="1:58" ht="12.9" customHeight="1">
      <c r="A9" s="1827" t="s">
        <v>2032</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3"/>
      <c r="AV9" s="13"/>
      <c r="AW9" s="13"/>
      <c r="AX9" s="13"/>
      <c r="AY9" s="13"/>
      <c r="BD9" s="1182" t="s">
        <v>2432</v>
      </c>
      <c r="BE9" s="1183">
        <f>SUMIF($AC$726:$AC$760,"&lt;=40%",$G$726:G$760)-SUM($BE$5:BE8)</f>
        <v>0</v>
      </c>
    </row>
    <row r="10" spans="1:58" ht="12.9" customHeight="1">
      <c r="A10" s="1827" t="s">
        <v>2606</v>
      </c>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3"/>
      <c r="AV10" s="13"/>
      <c r="AW10" s="13"/>
      <c r="AX10" s="13"/>
      <c r="AY10" s="13"/>
      <c r="BD10" s="3" t="s">
        <v>2441</v>
      </c>
      <c r="BE10" s="1183">
        <f>SUMIF($AC$726:$AC$760,"&lt;=45%",$G$726:G$760)-SUM($BE$5:BE9)</f>
        <v>0</v>
      </c>
    </row>
    <row r="11" spans="1:58" ht="12.9" customHeight="1">
      <c r="A11" s="1827" t="s">
        <v>2530</v>
      </c>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3"/>
      <c r="AV11" s="13"/>
      <c r="AW11" s="13"/>
      <c r="AX11" s="13"/>
      <c r="AY11" s="13"/>
      <c r="BD11" s="1181" t="s">
        <v>2433</v>
      </c>
      <c r="BE11" s="1183">
        <f>SUMIF($AC$726:$AC$760,"&lt;=50%",$G$726:G$760)-SUM($BE$5:BE10)</f>
        <v>58</v>
      </c>
    </row>
    <row r="12" spans="1:58" ht="12.9" customHeight="1">
      <c r="A12" s="1828" t="s">
        <v>2641</v>
      </c>
      <c r="B12" s="1828"/>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8"/>
      <c r="Y12" s="1828"/>
      <c r="Z12" s="1828"/>
      <c r="AA12" s="1828"/>
      <c r="AB12" s="1828"/>
      <c r="AC12" s="1828"/>
      <c r="AD12" s="1828"/>
      <c r="AE12" s="1828"/>
      <c r="AF12" s="1828"/>
      <c r="AG12" s="1828"/>
      <c r="AH12" s="1828"/>
      <c r="AI12" s="1828"/>
      <c r="AJ12" s="1828"/>
      <c r="AK12" s="1828"/>
      <c r="AL12" s="1828"/>
      <c r="AM12" s="1828"/>
      <c r="AN12" s="1828"/>
      <c r="AO12" s="1828"/>
      <c r="AP12" s="1828"/>
      <c r="AQ12" s="1828"/>
      <c r="AR12" s="1828"/>
      <c r="AS12" s="1828"/>
      <c r="AT12" s="1828"/>
      <c r="AU12" s="6"/>
      <c r="AV12" s="6"/>
      <c r="AW12" s="6"/>
      <c r="AX12" s="6"/>
      <c r="AY12" s="6"/>
      <c r="BD12" s="3" t="s">
        <v>2442</v>
      </c>
      <c r="BE12" s="1183">
        <f>SUMIF($AC$726:$AC$760,"&lt;=55%",$G$726:G$760)-SUM($BE$5:BE11)</f>
        <v>0</v>
      </c>
    </row>
    <row r="13" spans="1:58" ht="12.9" customHeight="1">
      <c r="A13" s="1276" t="s">
        <v>2033</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2434</v>
      </c>
      <c r="BE13" s="1183">
        <f>SUMIF($AC$726:$AC$760,"&lt;=60%",$G$726:G$760)-SUM($BE$5:BE12)</f>
        <v>17</v>
      </c>
    </row>
    <row r="14" spans="1:58" ht="12.9"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2435</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 customHeight="1">
      <c r="A16" s="57" t="s">
        <v>2034</v>
      </c>
      <c r="C16" s="4"/>
      <c r="D16" s="4"/>
      <c r="E16" s="4"/>
      <c r="F16" s="4"/>
      <c r="G16" s="4"/>
      <c r="H16" s="1528" t="s">
        <v>2790</v>
      </c>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BD16" s="1182" t="s">
        <v>654</v>
      </c>
      <c r="BE16" s="1183" t="str">
        <f>Application!H18</f>
        <v>Metrowalk at Richmond Station</v>
      </c>
    </row>
    <row r="17" spans="1:58" ht="12.9" customHeight="1">
      <c r="BD17" s="1181" t="s">
        <v>2448</v>
      </c>
      <c r="BE17" s="1183">
        <f>Application!AA943</f>
        <v>0</v>
      </c>
    </row>
    <row r="18" spans="1:58" ht="12.9" customHeight="1">
      <c r="A18" s="57" t="s">
        <v>101</v>
      </c>
      <c r="C18" s="4"/>
      <c r="D18" s="4"/>
      <c r="E18" s="4"/>
      <c r="F18" s="4"/>
      <c r="G18" s="4"/>
      <c r="H18" s="1426" t="s">
        <v>2748</v>
      </c>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BD18" s="1182" t="s">
        <v>2449</v>
      </c>
      <c r="BE18" s="1183">
        <f>AA943</f>
        <v>0</v>
      </c>
    </row>
    <row r="19" spans="1:58" ht="12.9" customHeight="1">
      <c r="BD19" s="1181" t="s">
        <v>2450</v>
      </c>
      <c r="BE19" s="1183">
        <f>Application!M26</f>
        <v>5399928</v>
      </c>
    </row>
    <row r="20" spans="1:58" ht="12.9" customHeight="1">
      <c r="A20" s="1829" t="s">
        <v>871</v>
      </c>
      <c r="B20" s="1829"/>
      <c r="C20" s="1829"/>
      <c r="D20" s="1829"/>
      <c r="E20" s="1829"/>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c r="AT20" s="1829"/>
      <c r="AU20" s="896"/>
      <c r="AV20" s="896"/>
      <c r="AW20" s="896"/>
      <c r="AX20" s="896"/>
      <c r="AY20" s="896"/>
      <c r="BD20" s="1182" t="s">
        <v>2451</v>
      </c>
      <c r="BE20" s="1183">
        <f>Application!M27</f>
        <v>0</v>
      </c>
    </row>
    <row r="21" spans="1:58" ht="12.9" customHeight="1">
      <c r="A21" s="1850" t="s">
        <v>1007</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2452</v>
      </c>
      <c r="BE21" s="1183">
        <f>Application!AM562</f>
        <v>28600000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105299829</v>
      </c>
      <c r="BF22" s="3" t="s">
        <v>2523</v>
      </c>
    </row>
    <row r="23" spans="1:58" ht="12.9" customHeight="1">
      <c r="A23" s="1332" t="s">
        <v>2100</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2453</v>
      </c>
      <c r="BE23" s="1183">
        <f>'Sources and Uses Budget'!B4</f>
        <v>0</v>
      </c>
    </row>
    <row r="24" spans="1:58" ht="12.9"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2454</v>
      </c>
      <c r="BE24" s="1183">
        <f>Application!AG459</f>
        <v>170399</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v>
      </c>
    </row>
    <row r="26" spans="1:58" ht="12.9" customHeight="1">
      <c r="A26" s="4"/>
      <c r="C26" s="4"/>
      <c r="D26" s="4"/>
      <c r="E26" s="4"/>
      <c r="F26" s="4"/>
      <c r="G26" s="4"/>
      <c r="H26" s="4"/>
      <c r="I26" s="4"/>
      <c r="J26" s="4"/>
      <c r="K26" s="4"/>
      <c r="L26" s="4"/>
      <c r="M26" s="1831">
        <f>'Basis &amp; Credits'!AB56</f>
        <v>5399928</v>
      </c>
      <c r="N26" s="1831"/>
      <c r="O26" s="1831"/>
      <c r="P26" s="1831"/>
      <c r="Q26" s="1831"/>
      <c r="R26" s="4" t="s">
        <v>757</v>
      </c>
      <c r="S26" s="4"/>
      <c r="T26" s="4"/>
      <c r="U26" s="4"/>
      <c r="V26" s="4"/>
      <c r="W26" s="4"/>
      <c r="X26" s="4"/>
      <c r="Y26" s="4"/>
      <c r="Z26" s="4"/>
      <c r="AF26" s="4"/>
      <c r="AG26" s="4"/>
      <c r="AH26" s="4"/>
      <c r="AI26" s="4"/>
      <c r="AJ26" s="4"/>
      <c r="AK26" s="4"/>
      <c r="BD26" s="1182" t="s">
        <v>1626</v>
      </c>
      <c r="BE26" s="1183" t="b">
        <f>Application!M365="Yes"</f>
        <v>0</v>
      </c>
    </row>
    <row r="27" spans="1:58" ht="12.9" customHeight="1">
      <c r="A27" s="4"/>
      <c r="C27" s="4"/>
      <c r="D27" s="4"/>
      <c r="E27" s="4"/>
      <c r="F27" s="4"/>
      <c r="G27" s="4"/>
      <c r="H27" s="4"/>
      <c r="I27" s="4"/>
      <c r="J27" s="4"/>
      <c r="K27" s="4"/>
      <c r="L27" s="4"/>
      <c r="M27" s="1406">
        <f>'Basis &amp; Credits'!AB78</f>
        <v>0</v>
      </c>
      <c r="N27" s="1406"/>
      <c r="O27" s="1406"/>
      <c r="P27" s="1406"/>
      <c r="Q27" s="1406"/>
      <c r="R27" s="3" t="s">
        <v>1265</v>
      </c>
      <c r="S27" s="4"/>
      <c r="T27" s="4"/>
      <c r="U27" s="4"/>
      <c r="V27" s="4"/>
      <c r="W27" s="4"/>
      <c r="X27" s="4"/>
      <c r="Y27" s="4"/>
      <c r="Z27" s="4"/>
      <c r="AF27" s="4"/>
      <c r="AG27" s="4"/>
      <c r="AH27" s="4"/>
      <c r="AI27" s="4"/>
      <c r="AJ27" s="4"/>
      <c r="AK27" s="4"/>
      <c r="BD27" s="1181" t="s">
        <v>2053</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 customHeight="1">
      <c r="A29" s="1535" t="s">
        <v>2101</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181" t="s">
        <v>2457</v>
      </c>
      <c r="BE29" s="1183" t="b">
        <f>Application!M367="Yes"</f>
        <v>0</v>
      </c>
    </row>
    <row r="30" spans="1:58" ht="12.9"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182" t="s">
        <v>28</v>
      </c>
      <c r="BE30" s="1183" t="b">
        <f>Application!AJ364="Yes"</f>
        <v>0</v>
      </c>
    </row>
    <row r="31" spans="1:58" ht="12.9"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181" t="s">
        <v>2458</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 hidden="1" customHeight="1">
      <c r="A33" s="519" t="s">
        <v>1276</v>
      </c>
      <c r="C33" s="519"/>
      <c r="D33" s="519"/>
      <c r="E33" s="519"/>
      <c r="F33" s="519"/>
      <c r="G33" s="519"/>
      <c r="H33" s="519"/>
      <c r="I33" s="519"/>
      <c r="J33" s="519"/>
      <c r="K33" s="519"/>
      <c r="L33" s="519"/>
      <c r="M33" s="519"/>
      <c r="N33" s="519"/>
      <c r="O33" s="1381" t="s">
        <v>667</v>
      </c>
      <c r="P33" s="1381"/>
      <c r="Q33" s="1830" t="s">
        <v>2102</v>
      </c>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c r="AS33" s="1830"/>
      <c r="AT33" s="1830"/>
      <c r="AU33" s="20"/>
      <c r="AV33" s="20"/>
      <c r="AW33" s="20"/>
      <c r="AX33" s="20"/>
      <c r="AY33" s="20"/>
      <c r="BD33" s="1181" t="s">
        <v>2524</v>
      </c>
      <c r="BE33" s="1183" t="str">
        <f>Application!D220</f>
        <v>East Bay Region: Alameda and Contra Costa Counties</v>
      </c>
    </row>
    <row r="34" spans="1:57" ht="12.9" hidden="1" customHeight="1">
      <c r="A34" s="1535" t="s">
        <v>2103</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182" t="s">
        <v>2460</v>
      </c>
      <c r="BE34" s="1183">
        <f>Application!I185</f>
        <v>0</v>
      </c>
    </row>
    <row r="35" spans="1:57" ht="12.9" hidden="1"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181" t="s">
        <v>2461</v>
      </c>
      <c r="BE35" s="1183" t="str">
        <f>IF(Application!E187="","",Application!E187)</f>
        <v>Nevin Avenue &amp; 19th Street</v>
      </c>
    </row>
    <row r="36" spans="1:57" ht="12.9" hidden="1"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182" t="s">
        <v>2462</v>
      </c>
      <c r="BE36" s="1183" t="str">
        <f>Application!I189</f>
        <v>Richmond</v>
      </c>
    </row>
    <row r="37" spans="1:57" ht="12.9" hidden="1"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181" t="s">
        <v>2463</v>
      </c>
      <c r="BE37" s="1183" t="str">
        <f>Application!T189</f>
        <v>Contra Costa</v>
      </c>
    </row>
    <row r="38" spans="1:57" ht="12.9" hidden="1" customHeight="1">
      <c r="A38" s="3"/>
      <c r="AZ38" s="20"/>
      <c r="BD38" s="1182" t="s">
        <v>2464</v>
      </c>
      <c r="BE38" s="1183">
        <f>Application!I190</f>
        <v>94801</v>
      </c>
    </row>
    <row r="39" spans="1:57" ht="12.9" customHeight="1">
      <c r="A39" s="1266" t="s">
        <v>2104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2465</v>
      </c>
      <c r="BE39" s="1183">
        <f>Application!AG446</f>
        <v>150</v>
      </c>
    </row>
    <row r="40" spans="1:57" ht="12.9"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383</v>
      </c>
      <c r="BE40" s="1183">
        <f>Application!AG449</f>
        <v>149</v>
      </c>
    </row>
    <row r="41" spans="1:57" ht="12.9"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286</v>
      </c>
      <c r="BE41" s="1183">
        <f>Application!AG447</f>
        <v>0</v>
      </c>
    </row>
    <row r="42" spans="1:57" ht="12.9"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2466</v>
      </c>
      <c r="BE42" s="1185">
        <f>Application!AC761</f>
        <v>0.41208053691275154</v>
      </c>
    </row>
    <row r="43" spans="1:57" ht="12.9"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2467</v>
      </c>
      <c r="BE43" s="1185">
        <f>Application!AH761</f>
        <v>0.41211645405785891</v>
      </c>
    </row>
    <row r="44" spans="1:57" ht="12.9"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2468</v>
      </c>
      <c r="BE44" s="1183">
        <f>Application!AC463</f>
        <v>701998.86</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v>
      </c>
    </row>
    <row r="46" spans="1:57" ht="12.9" customHeight="1">
      <c r="A46" s="1332" t="s">
        <v>2105</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2470</v>
      </c>
      <c r="BE46" s="1183" t="b">
        <f>Application!T195="Yes"</f>
        <v>0</v>
      </c>
    </row>
    <row r="47" spans="1:57" ht="12.9"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2471</v>
      </c>
      <c r="BE47" s="1183" t="b">
        <f>Application!T196="Yes"</f>
        <v>1</v>
      </c>
    </row>
    <row r="48" spans="1:57" ht="12.9"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2472</v>
      </c>
      <c r="BE48" s="1183" t="str">
        <f>Application!M252</f>
        <v>Central Valley Coalition for Affordable Housing</v>
      </c>
    </row>
    <row r="49" spans="1:57" ht="12.9"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2473</v>
      </c>
      <c r="BE49" s="1183" t="str">
        <f>Application!M255</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N/A</v>
      </c>
    </row>
    <row r="51" spans="1:57" ht="12.9" customHeight="1">
      <c r="A51" s="1266" t="s">
        <v>2106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2475</v>
      </c>
      <c r="BE51" s="1183" t="str">
        <f>Application!M260</f>
        <v>TPC Holdings IX, LLC</v>
      </c>
    </row>
    <row r="52" spans="1:57" ht="12.9"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2476</v>
      </c>
      <c r="BE52" s="1183" t="str">
        <f>Application!M263</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The Pacific Companies</v>
      </c>
    </row>
    <row r="54" spans="1:57" ht="12.9" customHeight="1">
      <c r="A54" s="1266" t="s">
        <v>2107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2478</v>
      </c>
      <c r="BE54" s="1183">
        <f>Application!M268</f>
        <v>0</v>
      </c>
    </row>
    <row r="55" spans="1:57" ht="12.9"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2479</v>
      </c>
      <c r="BE55" s="1183">
        <f>Application!M271</f>
        <v>0</v>
      </c>
    </row>
    <row r="56" spans="1:57" ht="12.9"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2480</v>
      </c>
      <c r="BE56" s="1183">
        <f>Application!AA274</f>
        <v>0</v>
      </c>
    </row>
    <row r="57" spans="1:57" ht="12.9"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2481</v>
      </c>
      <c r="BE57" s="1183" t="str">
        <f>Application!H296</f>
        <v>Pacific West Communities, Inc.</v>
      </c>
    </row>
    <row r="58" spans="1:57" ht="12.9"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2482</v>
      </c>
      <c r="BE58" s="1183" t="str">
        <f>Application!H297</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Eagle, ID 83616</v>
      </c>
    </row>
    <row r="60" spans="1:57" ht="12.9" customHeight="1">
      <c r="A60" s="1266" t="s">
        <v>2108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2484</v>
      </c>
      <c r="BE60" s="1183" t="str">
        <f>Application!H299</f>
        <v>Caleb Roope</v>
      </c>
    </row>
    <row r="61" spans="1:57" ht="12.9"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2485</v>
      </c>
      <c r="BE61" s="1183" t="str">
        <f>Application!H302</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0.839916</v>
      </c>
    </row>
    <row r="63" spans="1:57" ht="12.9"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2.9" customHeight="1">
      <c r="A65" s="1542" t="s">
        <v>2110</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c r="BD65" s="1181" t="s">
        <v>2521</v>
      </c>
      <c r="BE65" s="1183" t="str">
        <f>Z205</f>
        <v>(select)</v>
      </c>
    </row>
    <row r="66" spans="1:57" ht="12.9"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c r="BD66" s="1182" t="s">
        <v>2488</v>
      </c>
      <c r="BE66" s="1183" t="b">
        <f>Application!Z205="State Farmworker Credit"</f>
        <v>0</v>
      </c>
    </row>
    <row r="67" spans="1:57" ht="12.9"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c r="BD67" s="1181" t="s">
        <v>2489</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 customHeight="1">
      <c r="A69" s="1542" t="s">
        <v>2111</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c r="BD69" s="1181" t="s">
        <v>2491</v>
      </c>
      <c r="BE69" s="1183" t="str">
        <f>Application!W708</f>
        <v>California Municipal Finance Authority (CMFA)</v>
      </c>
    </row>
    <row r="70" spans="1:57" ht="12.9"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c r="BD70" s="1182" t="s">
        <v>2492</v>
      </c>
      <c r="BE70" s="1183">
        <f ca="1">'Points System'!AF843</f>
        <v>111</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2.9" customHeight="1">
      <c r="A72" s="1535" t="s">
        <v>2112</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182" t="s">
        <v>2493</v>
      </c>
      <c r="BE72" s="1183">
        <f>'Points System'!AF827</f>
        <v>10</v>
      </c>
    </row>
    <row r="73" spans="1:57" ht="12.9"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181" t="s">
        <v>2494</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 customHeight="1">
      <c r="A75" s="1541" t="s">
        <v>2113</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c r="BD75" s="1181" t="s">
        <v>2496</v>
      </c>
      <c r="BE75" s="1183">
        <f>'Points System'!AF830</f>
        <v>10</v>
      </c>
    </row>
    <row r="76" spans="1:57" ht="12.9"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c r="BD76" s="1182" t="s">
        <v>2497</v>
      </c>
      <c r="BE76" s="1183">
        <f>'Points System'!AF833</f>
        <v>10</v>
      </c>
    </row>
    <row r="77" spans="1:57" ht="12.9"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c r="BD77" s="1181" t="s">
        <v>2498</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 customHeight="1">
      <c r="A79" s="1542" t="s">
        <v>2114</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c r="BD79" s="1181" t="s">
        <v>2618</v>
      </c>
      <c r="BE79" s="1183">
        <f>'Points System'!AF837</f>
        <v>9</v>
      </c>
    </row>
    <row r="80" spans="1:57" ht="12.9"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c r="BD80" s="1182" t="s">
        <v>2500</v>
      </c>
      <c r="BE80" s="1183">
        <f>'Points System'!AF839</f>
        <v>10</v>
      </c>
    </row>
    <row r="81" spans="1:57" ht="12.9"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c r="BD81" s="1181" t="s">
        <v>2501</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 customHeight="1">
      <c r="A83" s="1266" t="s">
        <v>2115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2503</v>
      </c>
      <c r="BE83" s="1187">
        <f>'Tie Breaker'!H5</f>
        <v>2.7153824564697047</v>
      </c>
    </row>
    <row r="84" spans="1:57" ht="12.9"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2504</v>
      </c>
      <c r="BE84" s="1183" t="str">
        <f>Application!O153</f>
        <v>City of Richmond</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Shasa Curl</v>
      </c>
    </row>
    <row r="86" spans="1:57" ht="12.9" customHeight="1">
      <c r="A86" s="1266" t="s">
        <v>2116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2506</v>
      </c>
      <c r="BE86" s="1183" t="str">
        <f>Application!O155</f>
        <v>City Manager</v>
      </c>
    </row>
    <row r="87" spans="1:57" ht="12.9"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2507</v>
      </c>
      <c r="BE87" s="1183" t="str">
        <f>Application!O156</f>
        <v>450 Civic Center Plaza, Suite 300</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Richmond</v>
      </c>
    </row>
    <row r="89" spans="1:57" ht="12.9" customHeight="1">
      <c r="A89" s="1552" t="s">
        <v>2117</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181" t="s">
        <v>2509</v>
      </c>
      <c r="BE89" s="1183">
        <f>Application!O158</f>
        <v>94804</v>
      </c>
    </row>
    <row r="90" spans="1:57" ht="12.9"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182" t="s">
        <v>2510</v>
      </c>
      <c r="BE90" s="1183" t="str">
        <f>Application!H16</f>
        <v>Richmond Metrowalk Associates, a California Limited Partnership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430 E. State Street, Suite 100</v>
      </c>
    </row>
    <row r="92" spans="1:57" ht="12.9" customHeight="1">
      <c r="A92" s="1541" t="s">
        <v>2118</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c r="BD92" s="1182" t="s">
        <v>2512</v>
      </c>
      <c r="BE92" s="1183" t="str">
        <f>Application!M243</f>
        <v>Eagle</v>
      </c>
    </row>
    <row r="93" spans="1:57" ht="12.9"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c r="BD93" s="1181" t="s">
        <v>2513</v>
      </c>
      <c r="BE93" s="1183" t="str">
        <f>Application!W243</f>
        <v>ID</v>
      </c>
    </row>
    <row r="94" spans="1:57" ht="12.9"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c r="BD94" s="1182" t="s">
        <v>2514</v>
      </c>
      <c r="BE94" s="1183">
        <f>Application!AC243</f>
        <v>83616</v>
      </c>
    </row>
    <row r="95" spans="1:57" ht="12.9"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c r="BD95" s="1181" t="s">
        <v>2515</v>
      </c>
      <c r="BE95" s="1183" t="str">
        <f>Application!M244</f>
        <v>Caleb Roope</v>
      </c>
    </row>
    <row r="96" spans="1:57" ht="12.9"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c r="BD96" s="1182" t="s">
        <v>2516</v>
      </c>
      <c r="BE96" s="1183" t="str">
        <f>Application!M246</f>
        <v>calebr@tpchousing.com</v>
      </c>
    </row>
    <row r="97" spans="1:57" ht="12.9"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c r="BD97" s="1181" t="s">
        <v>2517</v>
      </c>
      <c r="BE97" s="1183" t="str">
        <f>Application!M257</f>
        <v>chris@centralvalleycoalition.com</v>
      </c>
    </row>
    <row r="98" spans="1:57" ht="12.9"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c r="BD98" s="1182" t="s">
        <v>2518</v>
      </c>
      <c r="BE98" s="1183" t="str">
        <f>Application!M265</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2.9" customHeight="1">
      <c r="A100" s="1553" t="s">
        <v>2119</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182" t="s">
        <v>2520</v>
      </c>
      <c r="BE100" s="1183" t="str">
        <f>Application!L288</f>
        <v>tonyc@tpchousing.com</v>
      </c>
    </row>
    <row r="101" spans="1:57" ht="12.9"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2525</v>
      </c>
      <c r="BE101">
        <f>'Sources and Uses Budget'!C105</f>
        <v>105299829</v>
      </c>
    </row>
    <row r="102" spans="1:57" ht="12.9"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2526</v>
      </c>
      <c r="BE102" t="b">
        <f>T197="Yes"</f>
        <v>0</v>
      </c>
    </row>
    <row r="103" spans="1:57" ht="12.9"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c r="BD103" t="s">
        <v>2129</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 customHeight="1">
      <c r="A105" s="1553" t="s">
        <v>2120</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c r="BD105" s="3" t="s">
        <v>2542</v>
      </c>
      <c r="BE105" s="1183" t="b">
        <f>V224="Yes"</f>
        <v>0</v>
      </c>
    </row>
    <row r="106" spans="1:57" ht="12.9"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c r="BD106" s="3" t="s">
        <v>2543</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1</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545" t="s">
        <v>2799</v>
      </c>
      <c r="H113" s="1545"/>
      <c r="I113" s="3" t="s">
        <v>181</v>
      </c>
      <c r="L113" s="1545" t="s">
        <v>2642</v>
      </c>
      <c r="M113" s="1545"/>
      <c r="N113" s="1545"/>
      <c r="O113" s="1545"/>
      <c r="P113" s="1561" t="s">
        <v>2610</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46" t="s">
        <v>2643</v>
      </c>
      <c r="D115" s="1546"/>
      <c r="E115" s="1546"/>
      <c r="F115" s="1546"/>
      <c r="G115" s="1546"/>
      <c r="H115" s="1546"/>
      <c r="I115" s="1546"/>
      <c r="J115" s="1546"/>
      <c r="K115" s="1546"/>
      <c r="L115" s="202" t="s">
        <v>2791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626</v>
      </c>
      <c r="Y117" s="1545"/>
      <c r="Z117" s="1545"/>
      <c r="AA117" s="1545"/>
      <c r="AB117" s="1545"/>
      <c r="AC117" s="1545"/>
      <c r="AD117" s="1545"/>
      <c r="AE117" s="1545"/>
      <c r="AF117" s="1545"/>
      <c r="AG117" s="1545"/>
      <c r="AH117" s="1545"/>
      <c r="AI117" s="1545"/>
      <c r="AJ117" s="1545"/>
      <c r="AK117" s="1545"/>
    </row>
    <row r="118" spans="1:117" ht="12.9" customHeight="1">
      <c r="X118" s="3"/>
      <c r="Y118" s="3"/>
      <c r="Z118" s="3" t="s">
        <v>627</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45" t="s">
        <v>2644</v>
      </c>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83" t="s">
        <v>468</v>
      </c>
      <c r="CV122" s="1684"/>
      <c r="CW122" s="14"/>
      <c r="CX122" s="14" t="s">
        <v>632</v>
      </c>
      <c r="CY122" s="14"/>
      <c r="CZ122" s="14"/>
      <c r="DA122" s="14"/>
      <c r="DB122" s="14"/>
      <c r="DC122" s="14"/>
      <c r="DD122" s="14"/>
      <c r="DE122" s="14"/>
      <c r="DF122" s="14"/>
      <c r="DG122" s="1680" t="str">
        <f>T189</f>
        <v>Contra Costa</v>
      </c>
      <c r="DH122" s="1681"/>
      <c r="DI122" s="1681"/>
      <c r="DJ122" s="1681"/>
      <c r="DK122" s="1681"/>
      <c r="DL122" s="1681"/>
      <c r="DM122" s="1682"/>
    </row>
    <row r="123" spans="1:117" ht="12.9" customHeight="1">
      <c r="A123" s="3"/>
      <c r="B123" s="3"/>
      <c r="T123" s="3"/>
      <c r="U123" s="3"/>
      <c r="V123" s="3"/>
      <c r="W123" s="3"/>
      <c r="X123" s="3"/>
      <c r="Y123" s="1545" t="s">
        <v>2792</v>
      </c>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 customHeight="1">
      <c r="A150" s="3"/>
      <c r="B150" s="3"/>
      <c r="D150" s="3"/>
      <c r="E150" s="3"/>
      <c r="F150" s="1449"/>
      <c r="G150" s="1449"/>
      <c r="H150" s="1449"/>
      <c r="I150" s="1449"/>
      <c r="J150" s="1449"/>
      <c r="K150" s="1449"/>
      <c r="L150" s="1449"/>
      <c r="M150" s="1449"/>
      <c r="N150" s="1449"/>
      <c r="O150" s="1449"/>
      <c r="P150" s="1449"/>
      <c r="Q150" s="1449"/>
      <c r="R150" s="1449"/>
      <c r="S150" s="1449"/>
      <c r="T150" s="144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 customHeight="1">
      <c r="BM152">
        <v>4</v>
      </c>
      <c r="BN152" s="3" t="s">
        <v>2395</v>
      </c>
    </row>
    <row r="153" spans="1:108" ht="12.9" customHeight="1">
      <c r="D153" t="s">
        <v>643</v>
      </c>
      <c r="O153" s="1426" t="s">
        <v>2749</v>
      </c>
      <c r="P153" s="1519"/>
      <c r="Q153" s="1519"/>
      <c r="R153" s="1519"/>
      <c r="S153" s="1519"/>
      <c r="T153" s="1519"/>
      <c r="U153" s="1519"/>
      <c r="V153" s="1519"/>
      <c r="W153" s="1519"/>
      <c r="X153" s="1519"/>
      <c r="Y153" s="1519"/>
      <c r="Z153" s="1519"/>
      <c r="AA153" s="1519"/>
      <c r="AB153" s="1519"/>
      <c r="AC153" s="1519"/>
      <c r="AD153" s="1519"/>
      <c r="AE153" s="1519"/>
      <c r="AF153" s="1519"/>
      <c r="AG153" s="1519"/>
      <c r="AH153" s="1519"/>
      <c r="BM153">
        <v>5</v>
      </c>
      <c r="BN153" s="3" t="s">
        <v>2397</v>
      </c>
      <c r="CR153" s="31" t="s">
        <v>2639</v>
      </c>
      <c r="CS153" s="32"/>
      <c r="CT153" s="32"/>
      <c r="CU153" s="32"/>
      <c r="CV153" s="32"/>
      <c r="CW153" s="32"/>
      <c r="CX153" s="14"/>
      <c r="CY153" s="31" t="s">
        <v>2640</v>
      </c>
      <c r="CZ153" s="14"/>
      <c r="DA153" s="14"/>
      <c r="DB153" s="14"/>
      <c r="DC153" s="14"/>
      <c r="DD153" s="14"/>
    </row>
    <row r="154" spans="1:108" ht="12.9" customHeight="1">
      <c r="D154" s="303" t="s">
        <v>438</v>
      </c>
      <c r="O154" s="1368" t="s">
        <v>2750</v>
      </c>
      <c r="P154" s="1370"/>
      <c r="Q154" s="1370"/>
      <c r="R154" s="1370"/>
      <c r="S154" s="1370"/>
      <c r="T154" s="1370"/>
      <c r="U154" s="1370"/>
      <c r="V154" s="1370"/>
      <c r="W154" s="1370"/>
      <c r="X154" s="1370"/>
      <c r="Y154" s="1370"/>
      <c r="Z154" s="1370"/>
      <c r="AA154" s="1370"/>
      <c r="AB154" s="1370"/>
      <c r="AC154" s="1370"/>
      <c r="AD154" s="1370"/>
      <c r="AE154" s="1370"/>
      <c r="AF154" s="1370"/>
      <c r="AG154" s="1370"/>
      <c r="AH154" s="1370"/>
      <c r="BM154">
        <v>6</v>
      </c>
      <c r="BN154" s="3" t="s">
        <v>2398</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532" t="s">
        <v>439</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427" t="s">
        <v>2751</v>
      </c>
      <c r="P156" s="1427"/>
      <c r="Q156" s="1427"/>
      <c r="R156" s="1427"/>
      <c r="S156" s="1427"/>
      <c r="T156" s="1427"/>
      <c r="U156" s="1427"/>
      <c r="V156" s="1427"/>
      <c r="W156" s="1427"/>
      <c r="X156" s="1427"/>
      <c r="Y156" s="1427"/>
      <c r="Z156" s="1427"/>
      <c r="AA156" s="1427"/>
      <c r="AB156" s="1427"/>
      <c r="AC156" s="1427"/>
      <c r="AD156" s="1427"/>
      <c r="AE156" s="1427"/>
      <c r="AF156" s="1427"/>
      <c r="AG156" s="1427"/>
      <c r="AH156" s="1427"/>
      <c r="BT156" t="s">
        <v>306</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26" t="s">
        <v>2752</v>
      </c>
      <c r="P157" s="1519"/>
      <c r="Q157" s="1519"/>
      <c r="R157" s="1519"/>
      <c r="S157" s="1519"/>
      <c r="T157" s="1519"/>
      <c r="U157" s="1519"/>
      <c r="V157" s="1519"/>
      <c r="W157" s="1519"/>
      <c r="X157" s="1519"/>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56">
        <v>94804</v>
      </c>
      <c r="P158" s="1556"/>
      <c r="Q158" s="1556"/>
      <c r="R158" s="1556"/>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51" t="s">
        <v>2753</v>
      </c>
      <c r="P159" s="1551"/>
      <c r="Q159" s="1551"/>
      <c r="R159" s="1551"/>
      <c r="S159" s="1551"/>
      <c r="T159" s="1551"/>
      <c r="V159" s="97" t="s">
        <v>270</v>
      </c>
      <c r="W159" s="1557"/>
      <c r="X159" s="1557"/>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2.9" customHeight="1">
      <c r="D160" t="s">
        <v>316</v>
      </c>
      <c r="O160" s="1551" t="s">
        <v>2754</v>
      </c>
      <c r="P160" s="1551"/>
      <c r="Q160" s="1551"/>
      <c r="R160" s="1551"/>
      <c r="S160" s="1551"/>
      <c r="T160" s="1551"/>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 customHeight="1">
      <c r="D161" t="s">
        <v>317</v>
      </c>
      <c r="O161" s="1530" t="s">
        <v>2755</v>
      </c>
      <c r="P161" s="1530"/>
      <c r="Q161" s="1530"/>
      <c r="R161" s="1530"/>
      <c r="S161" s="1530"/>
      <c r="T161" s="1530"/>
      <c r="U161" s="1530"/>
      <c r="V161" s="1530"/>
      <c r="W161" s="1530"/>
      <c r="X161" s="1530"/>
      <c r="Y161" s="1530"/>
      <c r="Z161" s="1530"/>
      <c r="AA161" s="1530"/>
      <c r="AB161" s="1530"/>
      <c r="AC161" s="1530"/>
      <c r="AD161" s="1530"/>
      <c r="AE161" s="1530"/>
      <c r="AF161" s="1530"/>
      <c r="AG161" s="1530"/>
      <c r="AH161" s="1530"/>
      <c r="BJ161" t="s">
        <v>667</v>
      </c>
      <c r="BN161" s="23" t="s">
        <v>659</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 customHeight="1">
      <c r="C164" s="27"/>
      <c r="D164" s="1547" t="s">
        <v>2170</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662</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 customHeight="1">
      <c r="A169" s="1534" t="s">
        <v>538</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 customHeight="1">
      <c r="C173" s="24"/>
      <c r="D173" t="s">
        <v>320</v>
      </c>
      <c r="J173" s="1531" t="s">
        <v>370</v>
      </c>
      <c r="K173" s="1531"/>
      <c r="L173" s="1531"/>
      <c r="M173" s="1531"/>
      <c r="N173" s="1531"/>
      <c r="O173" s="1531"/>
      <c r="P173" s="1531"/>
      <c r="Q173" s="1531"/>
      <c r="R173" s="1531"/>
      <c r="S173" s="153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 customHeight="1">
      <c r="C174" s="24"/>
      <c r="D174" s="3" t="s">
        <v>1200</v>
      </c>
      <c r="J174" s="1427" t="s">
        <v>2056</v>
      </c>
      <c r="K174" s="1427"/>
      <c r="L174" s="1427"/>
      <c r="M174" s="1427"/>
      <c r="N174" s="1427"/>
      <c r="O174" s="1427"/>
      <c r="P174" s="1427"/>
      <c r="Q174" s="1427"/>
      <c r="R174" s="1427"/>
      <c r="S174" s="1427"/>
      <c r="T174" s="1427"/>
      <c r="U174" s="1427"/>
      <c r="V174" s="1427"/>
      <c r="W174" s="1427"/>
      <c r="X174" s="1427"/>
      <c r="Y174" s="1427"/>
      <c r="Z174" s="1427"/>
      <c r="AA174" s="1427"/>
      <c r="AB174" s="1427"/>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381" t="s">
        <v>544</v>
      </c>
      <c r="V175" s="1381"/>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2035</v>
      </c>
      <c r="T176" s="27" t="s">
        <v>304</v>
      </c>
      <c r="U176" s="1550">
        <v>25</v>
      </c>
      <c r="V176" s="1550"/>
      <c r="W176" s="1" t="s">
        <v>305</v>
      </c>
      <c r="X176" s="1563">
        <v>752</v>
      </c>
      <c r="Y176" s="1563"/>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381" t="s">
        <v>667</v>
      </c>
      <c r="S177" s="1381"/>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1201</v>
      </c>
      <c r="AA178" t="s">
        <v>2035</v>
      </c>
      <c r="AE178" s="27" t="s">
        <v>304</v>
      </c>
      <c r="AF178" s="1562"/>
      <c r="AG178" s="1562"/>
      <c r="AH178" s="1" t="s">
        <v>305</v>
      </c>
      <c r="AI178" s="1451"/>
      <c r="AJ178" s="1451"/>
      <c r="AK178" s="1451"/>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2635</v>
      </c>
      <c r="X180" s="1381" t="s">
        <v>667</v>
      </c>
      <c r="Y180" s="1381"/>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577</v>
      </c>
      <c r="I184" s="1371" t="str">
        <f>H18</f>
        <v>Metrowalk at Richmond Station</v>
      </c>
      <c r="J184" s="1371"/>
      <c r="K184" s="1371"/>
      <c r="L184" s="1371"/>
      <c r="M184" s="1371"/>
      <c r="N184" s="1371"/>
      <c r="O184" s="1371"/>
      <c r="P184" s="1371"/>
      <c r="Q184" s="1371"/>
      <c r="R184" s="1371"/>
      <c r="S184" s="1371"/>
      <c r="T184" s="1371"/>
      <c r="U184" s="1371"/>
      <c r="V184" s="1371"/>
      <c r="W184" s="1371"/>
      <c r="X184" s="1371"/>
      <c r="Y184" s="1371"/>
      <c r="Z184" s="1371"/>
      <c r="AA184" s="1371"/>
      <c r="AB184" s="1371"/>
      <c r="AC184" s="1371"/>
      <c r="AD184" s="1371"/>
      <c r="AE184" s="1371"/>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578</v>
      </c>
      <c r="I185" s="1369"/>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524" t="s">
        <v>2756</v>
      </c>
      <c r="F187" s="1524"/>
      <c r="G187" s="1524"/>
      <c r="H187" s="1524"/>
      <c r="I187" s="1524"/>
      <c r="J187" s="1524"/>
      <c r="K187" s="1524"/>
      <c r="L187" s="1524"/>
      <c r="M187" s="1524"/>
      <c r="N187" s="1524"/>
      <c r="O187" s="1524"/>
      <c r="P187" s="1524"/>
      <c r="Q187" s="1524"/>
      <c r="R187" s="1524"/>
      <c r="S187" s="1524"/>
      <c r="T187" s="1524"/>
      <c r="U187" s="1524"/>
      <c r="V187" s="1524"/>
      <c r="W187" s="1524"/>
      <c r="X187" s="1524"/>
      <c r="Y187" s="1524"/>
      <c r="Z187" s="1524"/>
      <c r="AA187" s="1524"/>
      <c r="AB187" s="1524"/>
      <c r="AC187" s="1524"/>
      <c r="AD187" s="1524"/>
      <c r="AE187" s="1524"/>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525"/>
      <c r="F188" s="1525"/>
      <c r="G188" s="1525"/>
      <c r="H188" s="1525"/>
      <c r="I188" s="1525"/>
      <c r="J188" s="1525"/>
      <c r="K188" s="1525"/>
      <c r="L188" s="1525"/>
      <c r="M188" s="1525"/>
      <c r="N188" s="1525"/>
      <c r="O188" s="1525"/>
      <c r="P188" s="1525"/>
      <c r="Q188" s="1525"/>
      <c r="R188" s="1525"/>
      <c r="S188" s="1525"/>
      <c r="T188" s="1525"/>
      <c r="U188" s="1525"/>
      <c r="V188" s="1525"/>
      <c r="W188" s="1525"/>
      <c r="X188" s="1525"/>
      <c r="Y188" s="1525"/>
      <c r="Z188" s="1525"/>
      <c r="AA188" s="1525"/>
      <c r="AB188" s="1525"/>
      <c r="AC188" s="1525"/>
      <c r="AD188" s="1525"/>
      <c r="AE188" s="1525"/>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579</v>
      </c>
      <c r="I189" s="1426" t="s">
        <v>2752</v>
      </c>
      <c r="J189" s="1427"/>
      <c r="K189" s="1427"/>
      <c r="L189" s="1427"/>
      <c r="M189" s="1427"/>
      <c r="N189" s="1427"/>
      <c r="O189" s="1427"/>
      <c r="P189" s="1427"/>
      <c r="Q189" t="s">
        <v>581</v>
      </c>
      <c r="T189" s="1427" t="s">
        <v>481</v>
      </c>
      <c r="U189" s="1427"/>
      <c r="V189" s="1427"/>
      <c r="W189" s="1427"/>
      <c r="X189" s="1427"/>
      <c r="Y189" s="1427"/>
      <c r="Z189" s="1427"/>
      <c r="AA189" s="1427"/>
      <c r="AB189" s="1427"/>
      <c r="AC189" s="1427"/>
      <c r="AD189" s="1427"/>
      <c r="AE189" s="1427"/>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582</v>
      </c>
      <c r="I190" s="1369">
        <v>94801</v>
      </c>
      <c r="J190" s="1369"/>
      <c r="K190" s="1369"/>
      <c r="L190" s="1369"/>
      <c r="M190" s="1369"/>
      <c r="N190" s="1369"/>
      <c r="O190" t="s">
        <v>584</v>
      </c>
      <c r="T190" s="1554">
        <v>3750</v>
      </c>
      <c r="U190" s="1554"/>
      <c r="V190" s="1554"/>
      <c r="W190" s="1554"/>
      <c r="X190" s="1554"/>
      <c r="Y190" s="1554"/>
      <c r="Z190" s="1554"/>
      <c r="AA190" s="1554"/>
      <c r="AB190" s="1554"/>
      <c r="AC190" s="1554"/>
      <c r="AD190" s="1554"/>
      <c r="AE190" s="1554"/>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461</v>
      </c>
      <c r="N191" s="1524" t="s">
        <v>2757</v>
      </c>
      <c r="O191" s="1524"/>
      <c r="P191" s="1524"/>
      <c r="Q191" s="1524"/>
      <c r="R191" s="1524"/>
      <c r="S191" s="1524"/>
      <c r="T191" s="1524"/>
      <c r="U191" s="1524"/>
      <c r="V191" s="1524"/>
      <c r="W191" s="1524"/>
      <c r="X191" s="1524"/>
      <c r="Y191" s="1524"/>
      <c r="Z191" s="1524"/>
      <c r="AA191" s="1524"/>
      <c r="AB191" s="1524"/>
      <c r="AC191" s="1524"/>
      <c r="AD191" s="1524"/>
      <c r="AE191" s="1524"/>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525"/>
      <c r="O192" s="1525"/>
      <c r="P192" s="1525"/>
      <c r="Q192" s="1525"/>
      <c r="R192" s="1525"/>
      <c r="S192" s="1525"/>
      <c r="T192" s="1525"/>
      <c r="U192" s="1525"/>
      <c r="V192" s="1525"/>
      <c r="W192" s="1525"/>
      <c r="X192" s="1525"/>
      <c r="Y192" s="1525"/>
      <c r="Z192" s="1525"/>
      <c r="AA192" s="1525"/>
      <c r="AB192" s="1525"/>
      <c r="AC192" s="1525"/>
      <c r="AD192" s="1525"/>
      <c r="AE192" s="1525"/>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2036</v>
      </c>
      <c r="M193" s="40"/>
      <c r="N193" s="890"/>
      <c r="O193" s="890"/>
      <c r="P193" s="890"/>
      <c r="Q193" s="890"/>
      <c r="R193" s="890"/>
      <c r="S193" s="890"/>
      <c r="T193" s="1558" t="s">
        <v>2167</v>
      </c>
      <c r="U193" s="1558"/>
      <c r="V193" s="1558"/>
      <c r="W193" s="1558"/>
      <c r="X193" s="1558"/>
      <c r="Y193" s="1558"/>
      <c r="Z193" s="1558"/>
      <c r="AA193" s="1558"/>
      <c r="AB193" s="1558"/>
      <c r="AC193" s="1558"/>
      <c r="AD193" s="1558"/>
      <c r="AE193" s="1558"/>
      <c r="AF193" s="1558"/>
      <c r="AG193" s="1558"/>
      <c r="AH193" s="1558"/>
      <c r="AI193" s="1558"/>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 customHeight="1">
      <c r="C194" s="21"/>
      <c r="D194" s="3" t="s">
        <v>2169</v>
      </c>
      <c r="M194" s="40"/>
      <c r="N194" s="890"/>
      <c r="O194" s="890"/>
      <c r="P194" s="890"/>
      <c r="Q194" s="890"/>
      <c r="R194" s="890"/>
      <c r="S194" s="890"/>
      <c r="AH194" s="1381" t="s">
        <v>667</v>
      </c>
      <c r="AI194" s="1381"/>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 customHeight="1">
      <c r="C195" s="21"/>
      <c r="D195" t="s">
        <v>330</v>
      </c>
      <c r="T195" s="1381" t="s">
        <v>667</v>
      </c>
      <c r="U195" s="1381"/>
      <c r="W195" t="s">
        <v>682</v>
      </c>
      <c r="AH195" s="1381">
        <v>8</v>
      </c>
      <c r="AI195" s="1381"/>
      <c r="BC195" t="s">
        <v>1830</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 customHeight="1">
      <c r="C196" s="21"/>
      <c r="D196" t="s">
        <v>385</v>
      </c>
      <c r="T196" s="1394" t="s">
        <v>544</v>
      </c>
      <c r="U196" s="1394"/>
      <c r="W196" t="s">
        <v>683</v>
      </c>
      <c r="AH196" s="1381">
        <v>14</v>
      </c>
      <c r="AI196" s="1381"/>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 customHeight="1">
      <c r="C197" s="21"/>
      <c r="D197" s="3" t="s">
        <v>168</v>
      </c>
      <c r="T197" s="1394" t="s">
        <v>667</v>
      </c>
      <c r="U197" s="1394"/>
      <c r="W197" t="s">
        <v>684</v>
      </c>
      <c r="AH197" s="1381">
        <v>7</v>
      </c>
      <c r="AI197" s="1381"/>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 customHeight="1">
      <c r="A198"/>
      <c r="B198"/>
      <c r="C198" s="21"/>
      <c r="D198" s="3" t="s">
        <v>1639</v>
      </c>
      <c r="E198"/>
      <c r="F198"/>
      <c r="G198"/>
      <c r="H198"/>
      <c r="I198"/>
      <c r="J198"/>
      <c r="K198"/>
      <c r="L198"/>
      <c r="M198"/>
      <c r="N198"/>
      <c r="O198"/>
      <c r="P198"/>
      <c r="Q198"/>
      <c r="R198"/>
      <c r="S198"/>
      <c r="T198" s="1394" t="s">
        <v>590</v>
      </c>
      <c r="U198" s="1394"/>
      <c r="V198"/>
      <c r="X198" s="1535" t="s">
        <v>2444</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2447</v>
      </c>
      <c r="E199"/>
      <c r="F199"/>
      <c r="G199"/>
      <c r="H199"/>
      <c r="I199"/>
      <c r="J199"/>
      <c r="K199"/>
      <c r="L199"/>
      <c r="M199"/>
      <c r="N199"/>
      <c r="O199"/>
      <c r="P199"/>
      <c r="Q199"/>
      <c r="R199"/>
      <c r="S199"/>
      <c r="T199" s="1381" t="s">
        <v>667</v>
      </c>
      <c r="U199" s="1381"/>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2445</v>
      </c>
      <c r="T200" s="1381" t="s">
        <v>667</v>
      </c>
      <c r="U200" s="1381"/>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2446</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 customHeight="1">
      <c r="D204" s="1371" t="s">
        <v>384</v>
      </c>
      <c r="E204" s="1371"/>
      <c r="F204" s="1371"/>
      <c r="G204" s="1371"/>
      <c r="H204" s="1371"/>
      <c r="I204" s="1371"/>
      <c r="J204" s="1371"/>
      <c r="K204" s="1371"/>
      <c r="L204" s="1371"/>
      <c r="M204" s="1371"/>
      <c r="P204" s="1548">
        <f>M26</f>
        <v>5399928</v>
      </c>
      <c r="Q204" s="1549"/>
      <c r="R204" s="1549"/>
      <c r="S204" s="1549"/>
      <c r="T204" s="1549"/>
      <c r="U204" s="1549"/>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 customHeight="1">
      <c r="C205" s="21"/>
      <c r="D205" s="1537" t="s">
        <v>1245</v>
      </c>
      <c r="E205" s="1371"/>
      <c r="F205" s="1371"/>
      <c r="G205" s="1371"/>
      <c r="H205" s="1371"/>
      <c r="I205" s="1371"/>
      <c r="J205" s="1371"/>
      <c r="K205" s="1371"/>
      <c r="L205" s="1371"/>
      <c r="M205" s="1371"/>
      <c r="P205" s="1549">
        <f>M27</f>
        <v>0</v>
      </c>
      <c r="Q205" s="1549"/>
      <c r="R205" s="1549"/>
      <c r="S205" s="1549"/>
      <c r="T205" s="1549"/>
      <c r="U205" s="1549"/>
      <c r="V205" s="28"/>
      <c r="W205" s="3" t="s">
        <v>1707</v>
      </c>
      <c r="Z205" s="1533" t="s">
        <v>1182</v>
      </c>
      <c r="AA205" s="1533"/>
      <c r="AB205" s="1533"/>
      <c r="AC205" s="1533"/>
      <c r="AD205" s="1533"/>
      <c r="AE205" s="1533"/>
      <c r="AF205" s="1533"/>
      <c r="AG205" s="1533"/>
      <c r="AH205" s="1533"/>
      <c r="AI205" s="1533"/>
      <c r="AJ205" s="1533"/>
      <c r="AK205" s="1533"/>
      <c r="AL205" s="1533"/>
      <c r="AM205" s="1533"/>
      <c r="AN205" s="1533"/>
      <c r="AP205" s="1449"/>
      <c r="AQ205" s="1449"/>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 customHeight="1">
      <c r="C208" s="21"/>
      <c r="D208" s="1519" t="s">
        <v>2758</v>
      </c>
      <c r="E208" s="1519"/>
      <c r="F208" s="1519"/>
      <c r="G208" s="1519"/>
      <c r="H208" s="1519"/>
      <c r="I208" s="1519"/>
      <c r="J208" s="1519"/>
      <c r="K208" s="1519"/>
      <c r="L208" s="1519"/>
      <c r="M208" s="1519"/>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519" t="s">
        <v>1039</v>
      </c>
      <c r="E211" s="1519"/>
      <c r="F211" s="1519"/>
      <c r="G211" s="1519"/>
      <c r="H211" s="1519"/>
      <c r="I211" s="1519"/>
      <c r="J211" s="1519"/>
      <c r="K211" s="1519"/>
      <c r="L211" s="1519"/>
      <c r="M211" s="1519"/>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2184</v>
      </c>
      <c r="Q212" s="1381">
        <v>0</v>
      </c>
      <c r="R212" s="1381"/>
      <c r="T212" s="1526">
        <f>IFERROR(Q212/AG449,0)</f>
        <v>0</v>
      </c>
      <c r="U212" s="1527"/>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2404</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544" t="s">
        <v>590</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1640</v>
      </c>
      <c r="Z215" s="40"/>
      <c r="AB215" s="1543"/>
      <c r="AC215" s="1543"/>
      <c r="AD215" s="1543"/>
      <c r="AE215" s="1543"/>
      <c r="AF215" s="1543"/>
      <c r="AG215" s="1543"/>
      <c r="AH215" s="1543"/>
      <c r="AI215" s="1543"/>
      <c r="AJ215" s="1543"/>
      <c r="AK215" s="1543"/>
      <c r="AL215" s="1543"/>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1638</v>
      </c>
      <c r="Z216" s="40"/>
      <c r="AB216" s="1543"/>
      <c r="AC216" s="1543"/>
      <c r="AD216" s="1543"/>
      <c r="AE216" s="1543"/>
      <c r="AF216" s="1543"/>
      <c r="AG216" s="1543"/>
      <c r="AH216" s="1543"/>
      <c r="AI216" s="1543"/>
      <c r="AJ216" s="1543"/>
      <c r="AK216" s="1543"/>
      <c r="AL216" s="1543"/>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591</v>
      </c>
      <c r="C218" s="2" t="s">
        <v>2187</v>
      </c>
      <c r="D218" s="28"/>
      <c r="AC218" s="2" t="s">
        <v>2393</v>
      </c>
      <c r="BC218" t="s">
        <v>528</v>
      </c>
    </row>
    <row r="219" spans="1:108" ht="12.9" customHeight="1">
      <c r="A219" s="2"/>
      <c r="C219" s="2"/>
      <c r="D219" s="3" t="s">
        <v>2394</v>
      </c>
      <c r="AZ219" s="3"/>
      <c r="BA219" s="3"/>
      <c r="BC219" t="s">
        <v>376</v>
      </c>
    </row>
    <row r="220" spans="1:108" ht="12.9" customHeight="1">
      <c r="A220" s="2"/>
      <c r="C220" s="2"/>
      <c r="D220" s="1519" t="s">
        <v>1061</v>
      </c>
      <c r="E220" s="1519"/>
      <c r="F220" s="1519"/>
      <c r="G220" s="1519"/>
      <c r="H220" s="1519"/>
      <c r="I220" s="1519"/>
      <c r="J220" s="1519"/>
      <c r="K220" s="1519"/>
      <c r="L220" s="1519"/>
      <c r="M220" s="1519"/>
      <c r="N220" s="1519"/>
      <c r="O220" s="1519"/>
      <c r="P220" s="1519"/>
      <c r="Q220" s="1519"/>
      <c r="R220" s="1519"/>
      <c r="S220" s="1519"/>
      <c r="T220" s="1519"/>
      <c r="U220" s="1519"/>
      <c r="V220" s="1519"/>
      <c r="W220" s="1519"/>
      <c r="X220" s="1519"/>
      <c r="Y220" s="1519"/>
      <c r="Z220" s="1519"/>
      <c r="AC220" s="1536" t="s">
        <v>2396</v>
      </c>
      <c r="AD220" s="1536"/>
      <c r="AE220" s="1536"/>
      <c r="AF220" s="1536"/>
      <c r="AG220" s="1536"/>
      <c r="AH220" s="1536"/>
      <c r="AI220" s="1536"/>
      <c r="AJ220" s="1536"/>
      <c r="AK220" s="1536"/>
      <c r="AL220" s="1536"/>
      <c r="AM220" s="1536"/>
      <c r="AN220" s="1536"/>
      <c r="AO220" s="1536"/>
      <c r="AP220" s="1536"/>
      <c r="AQ220" s="1536"/>
      <c r="BA220" s="3"/>
      <c r="BC220" t="s">
        <v>299</v>
      </c>
    </row>
    <row r="221" spans="1:108" ht="12.9" customHeight="1">
      <c r="A221" s="2"/>
      <c r="B221" s="14"/>
      <c r="C221" s="2"/>
      <c r="BA221" s="3"/>
    </row>
    <row r="222" spans="1:108" ht="12.9" customHeight="1">
      <c r="A222" s="2" t="s">
        <v>2539</v>
      </c>
      <c r="B222" s="14"/>
      <c r="C222" s="2" t="s">
        <v>2540</v>
      </c>
      <c r="BA222" s="3"/>
    </row>
    <row r="223" spans="1:108" ht="12.9" customHeight="1">
      <c r="A223" s="2"/>
      <c r="B223" s="14"/>
      <c r="C223" s="2"/>
      <c r="D223" s="3" t="s">
        <v>2541</v>
      </c>
      <c r="BA223" s="3"/>
    </row>
    <row r="224" spans="1:108" ht="12.9" customHeight="1">
      <c r="A224" s="2"/>
      <c r="B224" s="14"/>
      <c r="C224" s="2"/>
      <c r="E224" s="3" t="s">
        <v>2542</v>
      </c>
      <c r="V224" s="1381" t="s">
        <v>667</v>
      </c>
      <c r="W224" s="1381"/>
      <c r="Y224" s="1193"/>
      <c r="BA224" s="3"/>
    </row>
    <row r="225" spans="1:69" ht="12.9" customHeight="1">
      <c r="A225" s="2"/>
      <c r="B225" s="14"/>
      <c r="C225" s="2"/>
      <c r="E225" s="3" t="s">
        <v>2543</v>
      </c>
      <c r="V225" s="1381" t="s">
        <v>667</v>
      </c>
      <c r="W225" s="138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2544</v>
      </c>
      <c r="V226" s="1394" t="s">
        <v>667</v>
      </c>
      <c r="W226" s="1394"/>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2545</v>
      </c>
      <c r="V227" s="1394" t="s">
        <v>667</v>
      </c>
      <c r="W227" s="1394"/>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2546</v>
      </c>
      <c r="V228" s="1394" t="s">
        <v>544</v>
      </c>
      <c r="W228" s="1394"/>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2547</v>
      </c>
      <c r="V229" s="1394" t="s">
        <v>667</v>
      </c>
      <c r="W229" s="1394"/>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534" t="s">
        <v>539</v>
      </c>
      <c r="B231" s="1534"/>
      <c r="C231" s="1534"/>
      <c r="D231" s="1534"/>
      <c r="E231" s="1534"/>
      <c r="F231" s="1534"/>
      <c r="G231" s="1534"/>
      <c r="H231" s="1534"/>
      <c r="I231" s="1534"/>
      <c r="J231" s="1534"/>
      <c r="K231" s="1534"/>
      <c r="L231" s="1534"/>
      <c r="M231" s="1534"/>
      <c r="N231" s="1534"/>
      <c r="O231" s="1534"/>
      <c r="P231" s="1534"/>
      <c r="Q231" s="1534"/>
      <c r="R231" s="1534"/>
      <c r="S231" s="1534"/>
      <c r="T231" s="1534"/>
      <c r="U231" s="1534"/>
      <c r="V231" s="1534"/>
      <c r="W231" s="1534"/>
      <c r="X231" s="1534"/>
      <c r="Y231" s="1534"/>
      <c r="Z231" s="1534"/>
      <c r="AA231" s="1534"/>
      <c r="AB231" s="1534"/>
      <c r="AC231" s="1534"/>
      <c r="AD231" s="1534"/>
      <c r="AE231" s="1534"/>
      <c r="AF231" s="1534"/>
      <c r="AG231" s="1534"/>
      <c r="AH231" s="1534"/>
      <c r="AI231" s="1534"/>
      <c r="AJ231" s="1534"/>
      <c r="AK231" s="1534"/>
      <c r="AL231" s="1534"/>
      <c r="AM231" s="1534"/>
      <c r="AN231" s="1534"/>
      <c r="AO231" s="1534"/>
      <c r="AP231" s="1534"/>
      <c r="AQ231" s="1534"/>
      <c r="AR231" s="1534"/>
      <c r="AS231" s="1534"/>
      <c r="AT231" s="1534"/>
      <c r="AU231" s="95"/>
      <c r="AV231" s="95"/>
      <c r="AW231" s="95"/>
      <c r="AX231" s="95"/>
      <c r="AY231" s="95"/>
      <c r="AZ231" s="3"/>
      <c r="BA231" s="3"/>
      <c r="BP231" s="34"/>
    </row>
    <row r="232" spans="1:69" ht="12.9" customHeight="1">
      <c r="A232" s="1534"/>
      <c r="B232" s="1534"/>
      <c r="C232" s="1534"/>
      <c r="D232" s="1534"/>
      <c r="E232" s="1534"/>
      <c r="F232" s="1534"/>
      <c r="G232" s="1534"/>
      <c r="H232" s="1534"/>
      <c r="I232" s="1534"/>
      <c r="J232" s="1534"/>
      <c r="K232" s="1534"/>
      <c r="L232" s="1534"/>
      <c r="M232" s="1534"/>
      <c r="N232" s="1534"/>
      <c r="O232" s="1534"/>
      <c r="P232" s="1534"/>
      <c r="Q232" s="1534"/>
      <c r="R232" s="1534"/>
      <c r="S232" s="1534"/>
      <c r="T232" s="1534"/>
      <c r="U232" s="1534"/>
      <c r="V232" s="1534"/>
      <c r="W232" s="1534"/>
      <c r="X232" s="1534"/>
      <c r="Y232" s="1534"/>
      <c r="Z232" s="1534"/>
      <c r="AA232" s="1534"/>
      <c r="AB232" s="1534"/>
      <c r="AC232" s="1534"/>
      <c r="AD232" s="1534"/>
      <c r="AE232" s="1534"/>
      <c r="AF232" s="1534"/>
      <c r="AG232" s="1534"/>
      <c r="AH232" s="1534"/>
      <c r="AI232" s="1534"/>
      <c r="AJ232" s="1534"/>
      <c r="AK232" s="1534"/>
      <c r="AL232" s="1534"/>
      <c r="AM232" s="1534"/>
      <c r="AN232" s="1534"/>
      <c r="AO232" s="1534"/>
      <c r="AP232" s="1534"/>
      <c r="AQ232" s="1534"/>
      <c r="AR232" s="1534"/>
      <c r="AS232" s="1534"/>
      <c r="AT232" s="1534"/>
      <c r="BA232" s="3"/>
      <c r="BB232" s="3"/>
      <c r="BQ232" s="34"/>
    </row>
    <row r="233" spans="1:69" ht="12.9" customHeight="1">
      <c r="AZ233" s="4"/>
      <c r="BA233" s="3"/>
      <c r="BB233" s="3"/>
      <c r="BQ233" s="34"/>
    </row>
    <row r="234" spans="1:69" ht="12.9"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1" t="s">
        <v>544</v>
      </c>
      <c r="AJ235" s="1381"/>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1" t="s">
        <v>590</v>
      </c>
      <c r="AJ236" s="1381"/>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1" t="s">
        <v>590</v>
      </c>
      <c r="AJ237" s="1381"/>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1" t="s">
        <v>590</v>
      </c>
      <c r="AJ238" s="1381"/>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2.9"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1555" t="str">
        <f>H16</f>
        <v>Richmond Metrowalk Associates, a California Limited Partnership</v>
      </c>
      <c r="N241" s="1555"/>
      <c r="O241" s="1555"/>
      <c r="P241" s="1555"/>
      <c r="Q241" s="1555"/>
      <c r="R241" s="1555"/>
      <c r="S241" s="1555"/>
      <c r="T241" s="1555"/>
      <c r="U241" s="1555"/>
      <c r="V241" s="1555"/>
      <c r="W241" s="1555"/>
      <c r="X241" s="1555"/>
      <c r="Y241" s="1555"/>
      <c r="Z241" s="1555"/>
      <c r="AA241" s="1555"/>
      <c r="AB241" s="1555"/>
      <c r="AC241" s="1555"/>
      <c r="AD241" s="1555"/>
      <c r="AE241" s="1555"/>
      <c r="AF241" s="1555"/>
      <c r="AG241" s="1555"/>
      <c r="AH241" s="1555"/>
      <c r="AI241" s="1555"/>
      <c r="AJ241" s="1555"/>
      <c r="AK241" s="1555"/>
      <c r="AZ241" s="4"/>
      <c r="BA241" s="3"/>
      <c r="BB241" s="205" t="s">
        <v>537</v>
      </c>
      <c r="BG241" s="241">
        <f>IF(AND(AND($M$258="nonprofit",$M$266="nonprofit",$M$274="for profit")),2,0)</f>
        <v>0</v>
      </c>
    </row>
    <row r="242" spans="1:67" ht="12.9" customHeight="1">
      <c r="D242" s="4" t="s">
        <v>85</v>
      </c>
      <c r="E242" s="4"/>
      <c r="F242" s="4"/>
      <c r="G242" s="4"/>
      <c r="H242" s="4"/>
      <c r="I242" s="4"/>
      <c r="J242" s="4"/>
      <c r="K242" s="4"/>
      <c r="M242" s="1426" t="s">
        <v>2654</v>
      </c>
      <c r="N242" s="1519"/>
      <c r="O242" s="1519"/>
      <c r="P242" s="1519"/>
      <c r="Q242" s="1519"/>
      <c r="R242" s="1519"/>
      <c r="S242" s="1519"/>
      <c r="T242" s="1519"/>
      <c r="U242" s="1519"/>
      <c r="V242" s="1519"/>
      <c r="W242" s="1519"/>
      <c r="X242" s="1519"/>
      <c r="Y242" s="1519"/>
      <c r="Z242" s="1519"/>
      <c r="AA242" s="1519"/>
      <c r="AB242" s="1519"/>
      <c r="AC242" s="1519"/>
      <c r="AD242" s="1519"/>
      <c r="AE242" s="1519"/>
      <c r="BB242" s="205" t="s">
        <v>537</v>
      </c>
      <c r="BG242" s="241">
        <f>IF(AND(AND($M$258="nonprofit",$M$266="for profit",$M$274="nonprofit")),2,0)</f>
        <v>0</v>
      </c>
    </row>
    <row r="243" spans="1:67" ht="12.9" customHeight="1">
      <c r="D243" s="4" t="s">
        <v>579</v>
      </c>
      <c r="E243" s="4"/>
      <c r="M243" s="1426" t="s">
        <v>2643</v>
      </c>
      <c r="N243" s="1519"/>
      <c r="O243" s="1519"/>
      <c r="P243" s="1519"/>
      <c r="Q243" s="1519"/>
      <c r="R243" s="1519"/>
      <c r="S243" s="1519"/>
      <c r="T243" s="1519"/>
      <c r="V243" s="33" t="s">
        <v>86</v>
      </c>
      <c r="W243" s="1368" t="s">
        <v>2655</v>
      </c>
      <c r="X243" s="1370"/>
      <c r="Y243" s="4" t="s">
        <v>582</v>
      </c>
      <c r="AC243" s="1519">
        <v>83616</v>
      </c>
      <c r="AD243" s="1519"/>
      <c r="AE243" s="1519"/>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426" t="s">
        <v>2644</v>
      </c>
      <c r="N244" s="1519"/>
      <c r="O244" s="1519"/>
      <c r="P244" s="1519"/>
      <c r="Q244" s="1519"/>
      <c r="R244" s="1519"/>
      <c r="S244" s="1519"/>
      <c r="T244" s="1519"/>
      <c r="U244" s="1519"/>
      <c r="V244" s="1519"/>
      <c r="W244" s="1519"/>
      <c r="X244" s="1519"/>
      <c r="Y244" s="1519"/>
      <c r="Z244" s="1519"/>
      <c r="AA244" s="1519"/>
      <c r="AB244" s="1519"/>
      <c r="AC244" s="1519"/>
      <c r="AD244" s="1519"/>
      <c r="AE244" s="1519"/>
      <c r="AI244" s="4"/>
      <c r="AJ244" s="4"/>
      <c r="AK244" s="4"/>
      <c r="AL244" s="4"/>
      <c r="AM244" s="4"/>
      <c r="AN244" s="4"/>
      <c r="AO244" s="4"/>
      <c r="AP244" s="4"/>
      <c r="AQ244" s="4"/>
      <c r="AR244" s="4"/>
      <c r="AS244" s="4"/>
      <c r="AT244" s="4"/>
      <c r="BB244" s="205"/>
      <c r="BG244" s="204"/>
    </row>
    <row r="245" spans="1:67" ht="12.9" customHeight="1">
      <c r="D245" s="4" t="s">
        <v>88</v>
      </c>
      <c r="E245" s="4"/>
      <c r="F245" s="4"/>
      <c r="M245" s="1385" t="s">
        <v>2656</v>
      </c>
      <c r="N245" s="1386"/>
      <c r="O245" s="1386"/>
      <c r="P245" s="1386"/>
      <c r="Q245" s="1386"/>
      <c r="R245" s="1386"/>
      <c r="S245" s="4" t="s">
        <v>205</v>
      </c>
      <c r="T245" s="4"/>
      <c r="U245" s="1370">
        <v>3015</v>
      </c>
      <c r="V245" s="1370"/>
      <c r="W245" s="1370"/>
      <c r="X245" s="4" t="s">
        <v>89</v>
      </c>
      <c r="Z245" s="1385" t="s">
        <v>2657</v>
      </c>
      <c r="AA245" s="1386"/>
      <c r="AB245" s="1386"/>
      <c r="AC245" s="1386"/>
      <c r="AD245" s="1386"/>
      <c r="AE245" s="1386"/>
      <c r="AU245" s="4"/>
      <c r="AV245" s="4"/>
      <c r="AW245" s="4"/>
      <c r="AX245" s="4"/>
      <c r="AY245" s="4"/>
      <c r="AZ245" s="4"/>
      <c r="BB245" s="204" t="s">
        <v>536</v>
      </c>
      <c r="BG245" s="241">
        <f>IF(AND(AND($M$258="nonprofit",$M$266="nonprofit",$M$274="(select one)")),1,0)</f>
        <v>0</v>
      </c>
    </row>
    <row r="246" spans="1:67" ht="12.9" customHeight="1">
      <c r="D246" s="4" t="s">
        <v>90</v>
      </c>
      <c r="E246" s="4"/>
      <c r="F246" s="4"/>
      <c r="M246" s="1530" t="s">
        <v>2658</v>
      </c>
      <c r="N246" s="1530"/>
      <c r="O246" s="1530"/>
      <c r="P246" s="1530"/>
      <c r="Q246" s="1530"/>
      <c r="R246" s="1530"/>
      <c r="S246" s="1530"/>
      <c r="T246" s="1530"/>
      <c r="U246" s="1530"/>
      <c r="V246" s="1530"/>
      <c r="W246" s="1530"/>
      <c r="X246" s="1530"/>
      <c r="Y246" s="1530"/>
      <c r="Z246" s="1530"/>
      <c r="AA246" s="1530"/>
      <c r="AB246" s="1530"/>
      <c r="AC246" s="1530"/>
      <c r="AD246" s="1530"/>
      <c r="AE246" s="1530"/>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369" t="s">
        <v>527</v>
      </c>
      <c r="N247" s="1369"/>
      <c r="O247" s="1369"/>
      <c r="P247" s="1369"/>
      <c r="Q247" s="1369"/>
      <c r="R247" s="1369"/>
      <c r="S247" s="1369"/>
      <c r="T247" s="1369"/>
      <c r="U247" s="204" t="s">
        <v>904</v>
      </c>
      <c r="V247" s="204"/>
      <c r="W247" s="204"/>
      <c r="X247" s="204"/>
      <c r="Y247" s="204"/>
      <c r="Z247" s="204"/>
      <c r="AA247" s="1559" t="s">
        <v>590</v>
      </c>
      <c r="AB247" s="1560"/>
      <c r="AC247" s="1560"/>
      <c r="AD247" s="1560"/>
      <c r="AE247" s="1560"/>
      <c r="AF247" s="1560"/>
      <c r="AG247" s="1560"/>
      <c r="AH247" s="1560"/>
      <c r="AI247" s="1560"/>
      <c r="AJ247" s="1560"/>
      <c r="AK247" s="1560"/>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 customHeight="1">
      <c r="D248" t="s">
        <v>530</v>
      </c>
      <c r="M248" s="1427"/>
      <c r="N248" s="1427"/>
      <c r="O248" s="1427"/>
      <c r="P248" s="1427"/>
      <c r="Q248" s="1427"/>
      <c r="R248" s="1427"/>
      <c r="S248" s="1427"/>
      <c r="T248" s="1427"/>
      <c r="U248" s="1427"/>
      <c r="V248" s="1427"/>
      <c r="W248" s="1427"/>
      <c r="X248" s="1427"/>
      <c r="Y248" s="1427"/>
      <c r="Z248" s="1427"/>
      <c r="AA248" s="1427"/>
      <c r="AB248" s="1427"/>
      <c r="AC248" s="1427"/>
      <c r="AD248" s="1427"/>
      <c r="AE248" s="1427"/>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 customHeight="1">
      <c r="D249" s="4"/>
      <c r="BB249" s="204" t="s">
        <v>875</v>
      </c>
      <c r="BG249" s="241">
        <f>IF(AND(AND($M$258="for profit",$M$266="for profit",$M$274="for profit")),3,0)</f>
        <v>0</v>
      </c>
    </row>
    <row r="250" spans="1:67" ht="12.9"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528" t="s">
        <v>2653</v>
      </c>
      <c r="N252" s="1529"/>
      <c r="O252" s="1529"/>
      <c r="P252" s="1529"/>
      <c r="Q252" s="1529"/>
      <c r="R252" s="1529"/>
      <c r="S252" s="1529"/>
      <c r="T252" s="1529"/>
      <c r="U252" s="1529"/>
      <c r="V252" s="1529"/>
      <c r="W252" s="1529"/>
      <c r="X252" s="1529"/>
      <c r="Y252" s="1529"/>
      <c r="Z252" s="1529"/>
      <c r="AA252" s="1529"/>
      <c r="AB252" s="1529"/>
      <c r="AC252" s="1529"/>
      <c r="AD252" s="1529"/>
      <c r="AE252" s="1529"/>
      <c r="AF252" s="1529" t="s">
        <v>2645</v>
      </c>
      <c r="AG252" s="1529"/>
      <c r="AH252" s="1529"/>
      <c r="AI252" s="1529"/>
      <c r="AJ252" s="1529"/>
      <c r="AK252" s="1529"/>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426" t="s">
        <v>2659</v>
      </c>
      <c r="N253" s="1519"/>
      <c r="O253" s="1519"/>
      <c r="P253" s="1519"/>
      <c r="Q253" s="1519"/>
      <c r="R253" s="1519"/>
      <c r="S253" s="1519"/>
      <c r="T253" s="1519"/>
      <c r="U253" s="1519"/>
      <c r="V253" s="1519"/>
      <c r="W253" s="1519"/>
      <c r="X253" s="1519"/>
      <c r="Y253" s="1519"/>
      <c r="Z253" s="1519"/>
      <c r="AA253" s="1519"/>
      <c r="AB253" s="1519"/>
      <c r="AC253" s="1519"/>
      <c r="AD253" s="1519"/>
      <c r="AE253" s="1519"/>
      <c r="AF253" s="3" t="s">
        <v>1177</v>
      </c>
      <c r="AL253" s="4"/>
      <c r="AM253" s="4"/>
      <c r="AN253" s="4"/>
      <c r="AO253" s="4"/>
      <c r="AP253" s="4"/>
      <c r="AQ253" s="4"/>
      <c r="AR253" s="4"/>
      <c r="AS253" s="4"/>
      <c r="AT253" s="4"/>
      <c r="BB253" t="s">
        <v>306</v>
      </c>
      <c r="BG253">
        <v>1</v>
      </c>
      <c r="BH253" t="s">
        <v>533</v>
      </c>
    </row>
    <row r="254" spans="1:67" ht="12.9" customHeight="1">
      <c r="A254" s="19"/>
      <c r="B254" s="4"/>
      <c r="C254" s="4"/>
      <c r="D254" s="4" t="s">
        <v>579</v>
      </c>
      <c r="E254" s="4"/>
      <c r="M254" s="1426" t="s">
        <v>55</v>
      </c>
      <c r="N254" s="1519"/>
      <c r="O254" s="1519"/>
      <c r="P254" s="1519"/>
      <c r="Q254" s="1519"/>
      <c r="R254" s="1519"/>
      <c r="S254" s="1519"/>
      <c r="T254" s="1519"/>
      <c r="V254" s="33" t="s">
        <v>86</v>
      </c>
      <c r="W254" s="1368" t="s">
        <v>2660</v>
      </c>
      <c r="X254" s="1370"/>
      <c r="Y254" s="4" t="s">
        <v>582</v>
      </c>
      <c r="AC254" s="1519">
        <v>95348</v>
      </c>
      <c r="AD254" s="1519"/>
      <c r="AE254" s="1519"/>
      <c r="AF254" s="3" t="s">
        <v>1178</v>
      </c>
      <c r="AU254" s="4"/>
      <c r="AV254" s="4"/>
      <c r="AW254" s="4"/>
      <c r="AX254" s="4"/>
      <c r="AY254" s="4"/>
      <c r="BB254" s="4" t="s">
        <v>279</v>
      </c>
      <c r="BG254">
        <v>2</v>
      </c>
      <c r="BH254" t="s">
        <v>565</v>
      </c>
      <c r="BO254" s="239" t="str">
        <f>VLOOKUP(BG252,BG253:BH256,2,FALSE)</f>
        <v>Joint Venture</v>
      </c>
    </row>
    <row r="255" spans="1:67" ht="12.9" customHeight="1">
      <c r="A255" s="19"/>
      <c r="B255" s="4"/>
      <c r="C255" s="4"/>
      <c r="D255" s="4" t="s">
        <v>87</v>
      </c>
      <c r="E255" s="4"/>
      <c r="F255" s="4"/>
      <c r="G255" s="4"/>
      <c r="H255" s="4"/>
      <c r="I255" s="4"/>
      <c r="J255" s="4"/>
      <c r="K255" s="4"/>
      <c r="L255" s="19"/>
      <c r="M255" s="1426" t="s">
        <v>2661</v>
      </c>
      <c r="N255" s="1519"/>
      <c r="O255" s="1519"/>
      <c r="P255" s="1519"/>
      <c r="Q255" s="1519"/>
      <c r="R255" s="1519"/>
      <c r="S255" s="1519"/>
      <c r="T255" s="1519"/>
      <c r="U255" s="1519"/>
      <c r="V255" s="1519"/>
      <c r="W255" s="1519"/>
      <c r="X255" s="1519"/>
      <c r="Y255" s="1519"/>
      <c r="Z255" s="1519"/>
      <c r="AA255" s="1519"/>
      <c r="AB255" s="1519"/>
      <c r="AC255" s="1519"/>
      <c r="AD255" s="1519"/>
      <c r="AE255" s="1519"/>
      <c r="AH255" s="1538">
        <v>1E-3</v>
      </c>
      <c r="AI255" s="1538"/>
      <c r="AJ255" s="1538"/>
      <c r="AK255" s="1538"/>
      <c r="AL255" s="4"/>
      <c r="AM255" s="4"/>
      <c r="AN255" s="4"/>
      <c r="AO255" s="4"/>
      <c r="AP255" s="4"/>
      <c r="AQ255" s="4"/>
      <c r="AR255" s="4"/>
      <c r="AS255" s="4"/>
      <c r="AT255" s="4"/>
      <c r="BB255" s="4" t="s">
        <v>172</v>
      </c>
      <c r="BG255">
        <v>3</v>
      </c>
      <c r="BH255" t="s">
        <v>535</v>
      </c>
      <c r="BN255" s="34"/>
    </row>
    <row r="256" spans="1:67" ht="12.9" customHeight="1">
      <c r="A256" s="19"/>
      <c r="B256" s="4"/>
      <c r="C256" s="4"/>
      <c r="D256" s="4" t="s">
        <v>88</v>
      </c>
      <c r="E256" s="4"/>
      <c r="F256" s="4"/>
      <c r="M256" s="1385" t="s">
        <v>2662</v>
      </c>
      <c r="N256" s="1386"/>
      <c r="O256" s="1386"/>
      <c r="P256" s="1386"/>
      <c r="Q256" s="1386"/>
      <c r="R256" s="1386"/>
      <c r="S256" s="4" t="s">
        <v>205</v>
      </c>
      <c r="T256" s="4"/>
      <c r="U256" s="1370"/>
      <c r="V256" s="1370"/>
      <c r="W256" s="1370"/>
      <c r="X256" s="4" t="s">
        <v>89</v>
      </c>
      <c r="Z256" s="1385" t="s">
        <v>2663</v>
      </c>
      <c r="AA256" s="1386"/>
      <c r="AB256" s="1386"/>
      <c r="AC256" s="1386"/>
      <c r="AD256" s="1386"/>
      <c r="AE256" s="1386"/>
      <c r="AU256" s="4"/>
      <c r="AV256" s="4"/>
      <c r="AW256" s="4"/>
      <c r="AX256" s="4"/>
      <c r="AY256" s="4"/>
      <c r="BG256">
        <v>0</v>
      </c>
      <c r="BH256" s="3" t="str">
        <f>""</f>
        <v/>
      </c>
      <c r="BN256" s="34"/>
    </row>
    <row r="257" spans="1:66" ht="12.9" customHeight="1">
      <c r="A257" s="19"/>
      <c r="B257" s="4"/>
      <c r="C257" s="4"/>
      <c r="D257" s="4" t="s">
        <v>90</v>
      </c>
      <c r="E257" s="4"/>
      <c r="F257" s="4"/>
      <c r="M257" s="1530" t="s">
        <v>2664</v>
      </c>
      <c r="N257" s="1530"/>
      <c r="O257" s="1530"/>
      <c r="P257" s="1530"/>
      <c r="Q257" s="1530"/>
      <c r="R257" s="1530"/>
      <c r="S257" s="1530"/>
      <c r="T257" s="1530"/>
      <c r="U257" s="1530"/>
      <c r="V257" s="1530"/>
      <c r="W257" s="1530"/>
      <c r="X257" s="1530"/>
      <c r="Y257" s="1530"/>
      <c r="Z257" s="1530"/>
      <c r="AA257" s="1530"/>
      <c r="AB257" s="1530"/>
      <c r="AC257" s="1530"/>
      <c r="AD257" s="1530"/>
      <c r="AE257" s="1530"/>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369" t="s">
        <v>533</v>
      </c>
      <c r="N258" s="1369"/>
      <c r="O258" s="1369"/>
      <c r="P258" s="1369"/>
      <c r="Q258" s="1369"/>
      <c r="R258" s="1369"/>
      <c r="S258" s="1369"/>
      <c r="T258" s="1369"/>
      <c r="U258" s="204" t="s">
        <v>904</v>
      </c>
      <c r="V258" s="204"/>
      <c r="W258" s="204"/>
      <c r="X258" s="204"/>
      <c r="Y258" s="204"/>
      <c r="Z258" s="204"/>
      <c r="AA258" s="1559" t="s">
        <v>590</v>
      </c>
      <c r="AB258" s="1560"/>
      <c r="AC258" s="1560"/>
      <c r="AD258" s="1560"/>
      <c r="AE258" s="1560"/>
      <c r="AF258" s="1560"/>
      <c r="AG258" s="1560"/>
      <c r="AH258" s="1560"/>
      <c r="AI258" s="1560"/>
      <c r="AJ258" s="1560"/>
      <c r="AK258" s="1560"/>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953</v>
      </c>
      <c r="E260" s="4"/>
      <c r="F260" s="4"/>
      <c r="G260" s="4"/>
      <c r="H260" s="4"/>
      <c r="I260" s="4"/>
      <c r="J260" s="4"/>
      <c r="K260" s="4"/>
      <c r="L260" s="4"/>
      <c r="M260" s="1528" t="s">
        <v>2646</v>
      </c>
      <c r="N260" s="1529"/>
      <c r="O260" s="1529"/>
      <c r="P260" s="1529"/>
      <c r="Q260" s="1529"/>
      <c r="R260" s="1529"/>
      <c r="S260" s="1529"/>
      <c r="T260" s="1529"/>
      <c r="U260" s="1529"/>
      <c r="V260" s="1529"/>
      <c r="W260" s="1529"/>
      <c r="X260" s="1529"/>
      <c r="Y260" s="1529"/>
      <c r="Z260" s="1529"/>
      <c r="AA260" s="1529"/>
      <c r="AB260" s="1529"/>
      <c r="AC260" s="1529"/>
      <c r="AD260" s="1529"/>
      <c r="AE260" s="1529"/>
      <c r="AF260" s="1529" t="s">
        <v>2647</v>
      </c>
      <c r="AG260" s="1529"/>
      <c r="AH260" s="1529"/>
      <c r="AI260" s="1529"/>
      <c r="AJ260" s="1529"/>
      <c r="AK260" s="1529"/>
      <c r="AU260" s="4"/>
      <c r="AV260" s="4"/>
      <c r="AW260" s="4"/>
      <c r="AX260" s="4"/>
      <c r="AY260" s="4"/>
      <c r="BN260" s="34"/>
    </row>
    <row r="261" spans="1:66" ht="12.9" customHeight="1">
      <c r="A261" s="19"/>
      <c r="B261" s="4"/>
      <c r="C261" s="4"/>
      <c r="D261" s="4" t="s">
        <v>85</v>
      </c>
      <c r="E261" s="4"/>
      <c r="F261" s="4"/>
      <c r="G261" s="4"/>
      <c r="H261" s="4"/>
      <c r="I261" s="4"/>
      <c r="J261" s="4"/>
      <c r="K261" s="4"/>
      <c r="L261" s="4"/>
      <c r="M261" s="1426" t="s">
        <v>2654</v>
      </c>
      <c r="N261" s="1519"/>
      <c r="O261" s="1519"/>
      <c r="P261" s="1519"/>
      <c r="Q261" s="1519"/>
      <c r="R261" s="1519"/>
      <c r="S261" s="1519"/>
      <c r="T261" s="1519"/>
      <c r="U261" s="1519"/>
      <c r="V261" s="1519"/>
      <c r="W261" s="1519"/>
      <c r="X261" s="1519"/>
      <c r="Y261" s="1519"/>
      <c r="Z261" s="1519"/>
      <c r="AA261" s="1519"/>
      <c r="AB261" s="1519"/>
      <c r="AC261" s="1519"/>
      <c r="AD261" s="1519"/>
      <c r="AE261" s="1519"/>
      <c r="AF261" s="3" t="s">
        <v>1177</v>
      </c>
      <c r="AL261" s="4"/>
      <c r="AM261" s="4"/>
      <c r="AN261" s="4"/>
      <c r="AO261" s="4"/>
      <c r="AP261" s="4"/>
      <c r="AQ261" s="4"/>
      <c r="AR261" s="4"/>
      <c r="AS261" s="4"/>
      <c r="AT261" s="4"/>
      <c r="BN261" s="34"/>
    </row>
    <row r="262" spans="1:66" ht="12.9" customHeight="1">
      <c r="A262" s="19"/>
      <c r="B262" s="4"/>
      <c r="C262" s="4"/>
      <c r="D262" s="4" t="s">
        <v>579</v>
      </c>
      <c r="E262" s="4"/>
      <c r="M262" s="1426" t="s">
        <v>2643</v>
      </c>
      <c r="N262" s="1519"/>
      <c r="O262" s="1519"/>
      <c r="P262" s="1519"/>
      <c r="Q262" s="1519"/>
      <c r="R262" s="1519"/>
      <c r="S262" s="1519"/>
      <c r="T262" s="1519"/>
      <c r="V262" s="33" t="s">
        <v>86</v>
      </c>
      <c r="W262" s="1368" t="s">
        <v>2655</v>
      </c>
      <c r="X262" s="1370"/>
      <c r="Y262" s="4" t="s">
        <v>582</v>
      </c>
      <c r="AC262" s="1519">
        <v>83616</v>
      </c>
      <c r="AD262" s="1519"/>
      <c r="AE262" s="1519"/>
      <c r="AF262" s="3" t="s">
        <v>1178</v>
      </c>
      <c r="AU262" s="4"/>
      <c r="AV262" s="4"/>
      <c r="AW262" s="4"/>
      <c r="AX262" s="4"/>
      <c r="AY262" s="4"/>
      <c r="BN262" s="34"/>
    </row>
    <row r="263" spans="1:66" ht="12.9" customHeight="1">
      <c r="A263" s="19"/>
      <c r="B263" s="4"/>
      <c r="C263" s="4"/>
      <c r="D263" s="4" t="s">
        <v>87</v>
      </c>
      <c r="E263" s="4"/>
      <c r="F263" s="4"/>
      <c r="G263" s="4"/>
      <c r="H263" s="4"/>
      <c r="I263" s="4"/>
      <c r="J263" s="4"/>
      <c r="K263" s="4"/>
      <c r="L263" s="19"/>
      <c r="M263" s="1426" t="s">
        <v>2644</v>
      </c>
      <c r="N263" s="1519"/>
      <c r="O263" s="1519"/>
      <c r="P263" s="1519"/>
      <c r="Q263" s="1519"/>
      <c r="R263" s="1519"/>
      <c r="S263" s="1519"/>
      <c r="T263" s="1519"/>
      <c r="U263" s="1519"/>
      <c r="V263" s="1519"/>
      <c r="W263" s="1519"/>
      <c r="X263" s="1519"/>
      <c r="Y263" s="1519"/>
      <c r="Z263" s="1519"/>
      <c r="AA263" s="1519"/>
      <c r="AB263" s="1519"/>
      <c r="AC263" s="1519"/>
      <c r="AD263" s="1519"/>
      <c r="AE263" s="1519"/>
      <c r="AH263" s="1538">
        <v>8.9999999999999993E-3</v>
      </c>
      <c r="AI263" s="1538"/>
      <c r="AJ263" s="1538"/>
      <c r="AK263" s="1538"/>
      <c r="AL263" s="4"/>
      <c r="AM263" s="4"/>
      <c r="AN263" s="4"/>
      <c r="AO263" s="4"/>
      <c r="AP263" s="4"/>
      <c r="AQ263" s="4"/>
      <c r="AR263" s="4"/>
      <c r="AS263" s="4"/>
      <c r="AT263" s="4"/>
    </row>
    <row r="264" spans="1:66" ht="12.9" customHeight="1">
      <c r="A264" s="19"/>
      <c r="B264" s="4"/>
      <c r="C264" s="4"/>
      <c r="D264" s="4" t="s">
        <v>88</v>
      </c>
      <c r="E264" s="4"/>
      <c r="F264" s="4"/>
      <c r="M264" s="1385" t="s">
        <v>2656</v>
      </c>
      <c r="N264" s="1386"/>
      <c r="O264" s="1386"/>
      <c r="P264" s="1386"/>
      <c r="Q264" s="1386"/>
      <c r="R264" s="1386"/>
      <c r="S264" s="4" t="s">
        <v>205</v>
      </c>
      <c r="T264" s="4"/>
      <c r="U264" s="1370">
        <v>3015</v>
      </c>
      <c r="V264" s="1370"/>
      <c r="W264" s="1370"/>
      <c r="X264" s="4" t="s">
        <v>89</v>
      </c>
      <c r="Z264" s="1385" t="s">
        <v>2657</v>
      </c>
      <c r="AA264" s="1386"/>
      <c r="AB264" s="1386"/>
      <c r="AC264" s="1386"/>
      <c r="AD264" s="1386"/>
      <c r="AE264" s="1386"/>
      <c r="AU264" s="4"/>
      <c r="AV264" s="4"/>
      <c r="AW264" s="4"/>
      <c r="AX264" s="4"/>
      <c r="AY264" s="4"/>
      <c r="BN264" s="34"/>
    </row>
    <row r="265" spans="1:66" ht="12.9" customHeight="1">
      <c r="A265" s="19"/>
      <c r="B265" s="4"/>
      <c r="C265" s="4"/>
      <c r="D265" s="4" t="s">
        <v>90</v>
      </c>
      <c r="E265" s="4"/>
      <c r="F265" s="4"/>
      <c r="M265" s="1530" t="s">
        <v>2658</v>
      </c>
      <c r="N265" s="1530"/>
      <c r="O265" s="1530"/>
      <c r="P265" s="1530"/>
      <c r="Q265" s="1530"/>
      <c r="R265" s="1530"/>
      <c r="S265" s="1530"/>
      <c r="T265" s="1530"/>
      <c r="U265" s="1530"/>
      <c r="V265" s="1530"/>
      <c r="W265" s="1530"/>
      <c r="X265" s="1530"/>
      <c r="Y265" s="1530"/>
      <c r="Z265" s="1530"/>
      <c r="AA265" s="1530"/>
      <c r="AB265" s="1530"/>
      <c r="AC265" s="1530"/>
      <c r="AD265" s="1530"/>
      <c r="AE265" s="1530"/>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369" t="s">
        <v>535</v>
      </c>
      <c r="N266" s="1369"/>
      <c r="O266" s="1369"/>
      <c r="P266" s="1369"/>
      <c r="Q266" s="1369"/>
      <c r="R266" s="1369"/>
      <c r="S266" s="1369"/>
      <c r="T266" s="1369"/>
      <c r="U266" s="204" t="s">
        <v>904</v>
      </c>
      <c r="V266" s="204"/>
      <c r="W266" s="204"/>
      <c r="X266" s="204"/>
      <c r="Y266" s="204"/>
      <c r="Z266" s="204"/>
      <c r="AA266" s="1559" t="s">
        <v>2648</v>
      </c>
      <c r="AB266" s="1560"/>
      <c r="AC266" s="1560"/>
      <c r="AD266" s="1560"/>
      <c r="AE266" s="1560"/>
      <c r="AF266" s="1560"/>
      <c r="AG266" s="1560"/>
      <c r="AH266" s="1560"/>
      <c r="AI266" s="1560"/>
      <c r="AJ266" s="1560"/>
      <c r="AK266" s="1560"/>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874</v>
      </c>
      <c r="D268" s="4" t="s">
        <v>531</v>
      </c>
      <c r="E268" s="4"/>
      <c r="F268" s="4"/>
      <c r="G268" s="4"/>
      <c r="H268" s="4"/>
      <c r="I268" s="4"/>
      <c r="J268" s="4"/>
      <c r="K268" s="4"/>
      <c r="L268" s="4"/>
      <c r="M268" s="1528"/>
      <c r="N268" s="1529"/>
      <c r="O268" s="1529"/>
      <c r="P268" s="1529"/>
      <c r="Q268" s="1529"/>
      <c r="R268" s="1529"/>
      <c r="S268" s="1529"/>
      <c r="T268" s="1529"/>
      <c r="U268" s="1529"/>
      <c r="V268" s="1529"/>
      <c r="W268" s="1529"/>
      <c r="X268" s="1529"/>
      <c r="Y268" s="1529"/>
      <c r="Z268" s="1529"/>
      <c r="AA268" s="1529"/>
      <c r="AB268" s="1529"/>
      <c r="AC268" s="1529"/>
      <c r="AD268" s="1529"/>
      <c r="AE268" s="1529"/>
      <c r="AF268" s="1529" t="s">
        <v>306</v>
      </c>
      <c r="AG268" s="1529"/>
      <c r="AH268" s="1529"/>
      <c r="AI268" s="1529"/>
      <c r="AJ268" s="1529"/>
      <c r="AK268" s="1529"/>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519"/>
      <c r="N269" s="1519"/>
      <c r="O269" s="1519"/>
      <c r="P269" s="1519"/>
      <c r="Q269" s="1519"/>
      <c r="R269" s="1519"/>
      <c r="S269" s="1519"/>
      <c r="T269" s="1519"/>
      <c r="U269" s="1519"/>
      <c r="V269" s="1519"/>
      <c r="W269" s="1519"/>
      <c r="X269" s="1519"/>
      <c r="Y269" s="1519"/>
      <c r="Z269" s="1519"/>
      <c r="AA269" s="1519"/>
      <c r="AB269" s="1519"/>
      <c r="AC269" s="1519"/>
      <c r="AD269" s="1519"/>
      <c r="AE269" s="1519"/>
      <c r="AF269" s="3" t="s">
        <v>1177</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519"/>
      <c r="N270" s="1519"/>
      <c r="O270" s="1519"/>
      <c r="P270" s="1519"/>
      <c r="Q270" s="1519"/>
      <c r="R270" s="1519"/>
      <c r="S270" s="1519"/>
      <c r="T270" s="1519"/>
      <c r="V270" s="33" t="s">
        <v>86</v>
      </c>
      <c r="W270" s="1370"/>
      <c r="X270" s="1370"/>
      <c r="Y270" s="4" t="s">
        <v>582</v>
      </c>
      <c r="AC270" s="1519"/>
      <c r="AD270" s="1519"/>
      <c r="AE270" s="1519"/>
      <c r="AF270" s="3" t="s">
        <v>1178</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519"/>
      <c r="N271" s="1519"/>
      <c r="O271" s="1519"/>
      <c r="P271" s="1519"/>
      <c r="Q271" s="1519"/>
      <c r="R271" s="1519"/>
      <c r="S271" s="1519"/>
      <c r="T271" s="1519"/>
      <c r="U271" s="1519"/>
      <c r="V271" s="1519"/>
      <c r="W271" s="1519"/>
      <c r="X271" s="1519"/>
      <c r="Y271" s="1519"/>
      <c r="Z271" s="1519"/>
      <c r="AA271" s="1519"/>
      <c r="AB271" s="1519"/>
      <c r="AC271" s="1519"/>
      <c r="AD271" s="1519"/>
      <c r="AE271" s="1519"/>
      <c r="AH271" s="1538"/>
      <c r="AI271" s="1538"/>
      <c r="AJ271" s="1538"/>
      <c r="AK271" s="1538"/>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386"/>
      <c r="N272" s="1386"/>
      <c r="O272" s="1386"/>
      <c r="P272" s="1386"/>
      <c r="Q272" s="1386"/>
      <c r="R272" s="1386"/>
      <c r="S272" s="4" t="s">
        <v>205</v>
      </c>
      <c r="T272" s="4"/>
      <c r="U272" s="1370"/>
      <c r="V272" s="1370"/>
      <c r="W272" s="1370"/>
      <c r="X272" s="4" t="s">
        <v>89</v>
      </c>
      <c r="Z272" s="1386"/>
      <c r="AA272" s="1386"/>
      <c r="AB272" s="1386"/>
      <c r="AC272" s="1386"/>
      <c r="AD272" s="1386"/>
      <c r="AE272" s="1386"/>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530"/>
      <c r="N273" s="1530"/>
      <c r="O273" s="1530"/>
      <c r="P273" s="1530"/>
      <c r="Q273" s="1530"/>
      <c r="R273" s="1530"/>
      <c r="S273" s="1530"/>
      <c r="T273" s="1530"/>
      <c r="U273" s="1530"/>
      <c r="V273" s="1530"/>
      <c r="W273" s="1530"/>
      <c r="X273" s="1530"/>
      <c r="Y273" s="1530"/>
      <c r="Z273" s="1530"/>
      <c r="AA273" s="1540"/>
      <c r="AB273" s="1540"/>
      <c r="AC273" s="1540"/>
      <c r="AD273" s="1540"/>
      <c r="AE273" s="1540"/>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369" t="s">
        <v>306</v>
      </c>
      <c r="N274" s="1369"/>
      <c r="O274" s="1369"/>
      <c r="P274" s="1369"/>
      <c r="Q274" s="1369"/>
      <c r="R274" s="1369"/>
      <c r="S274" s="1369"/>
      <c r="T274" s="1369"/>
      <c r="U274" s="204" t="s">
        <v>904</v>
      </c>
      <c r="V274" s="204"/>
      <c r="W274" s="204"/>
      <c r="X274" s="204"/>
      <c r="Y274" s="204"/>
      <c r="Z274" s="204"/>
      <c r="AA274" s="1567"/>
      <c r="AB274" s="1568"/>
      <c r="AC274" s="1568"/>
      <c r="AD274" s="1568"/>
      <c r="AE274" s="1568"/>
      <c r="AF274" s="1568"/>
      <c r="AG274" s="1568"/>
      <c r="AH274" s="1568"/>
      <c r="AI274" s="1568"/>
      <c r="AJ274" s="1568"/>
      <c r="AK274" s="1568"/>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294</v>
      </c>
      <c r="D276" s="4"/>
      <c r="E276" s="4"/>
      <c r="F276" s="4"/>
      <c r="G276" s="4"/>
      <c r="H276" s="4"/>
      <c r="I276" s="4"/>
      <c r="J276" s="4"/>
      <c r="K276" s="4"/>
      <c r="L276" s="4"/>
      <c r="M276" s="35"/>
      <c r="N276" s="35"/>
      <c r="O276" s="35"/>
      <c r="P276" s="35"/>
      <c r="Q276" s="35"/>
      <c r="T276" s="1564" t="str">
        <f>IFERROR(BO254,"")</f>
        <v>Joint Venture</v>
      </c>
      <c r="U276" s="1564"/>
      <c r="V276" s="1564"/>
      <c r="W276" s="1564"/>
      <c r="X276" s="1564"/>
      <c r="Z276" s="307" t="s">
        <v>952</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 customHeight="1">
      <c r="A279" s="4"/>
      <c r="B279" s="36">
        <v>0</v>
      </c>
      <c r="D279" s="1519" t="s">
        <v>279</v>
      </c>
      <c r="E279" s="1519"/>
      <c r="F279" s="1519"/>
      <c r="G279" s="1519"/>
      <c r="H279" s="1519"/>
      <c r="J279" t="s">
        <v>278</v>
      </c>
      <c r="X279" s="1539"/>
      <c r="Y279" s="1539"/>
      <c r="Z279" s="1539"/>
      <c r="AA279" s="1539"/>
      <c r="AB279" s="1539"/>
      <c r="AC279" s="1539"/>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528" t="s">
        <v>2649</v>
      </c>
      <c r="M283" s="1529"/>
      <c r="N283" s="1529"/>
      <c r="O283" s="1529"/>
      <c r="P283" s="1529"/>
      <c r="Q283" s="1529"/>
      <c r="R283" s="1529"/>
      <c r="S283" s="1529"/>
      <c r="T283" s="1529"/>
      <c r="U283" s="1529"/>
      <c r="V283" s="1529"/>
      <c r="W283" s="1529"/>
      <c r="X283" s="1529"/>
      <c r="Y283" s="1529"/>
      <c r="Z283" s="1529"/>
      <c r="AA283" s="1529"/>
      <c r="AB283" s="1529"/>
      <c r="AC283" s="1529"/>
      <c r="AD283" s="1529"/>
      <c r="AE283" s="1529"/>
      <c r="AF283" s="1529"/>
      <c r="AG283" s="1529"/>
      <c r="AH283" s="1529"/>
      <c r="AI283" s="1529"/>
      <c r="AJ283" s="1529"/>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426" t="s">
        <v>2654</v>
      </c>
      <c r="M284" s="1519"/>
      <c r="N284" s="1519"/>
      <c r="O284" s="1519"/>
      <c r="P284" s="1519"/>
      <c r="Q284" s="1519"/>
      <c r="R284" s="1519"/>
      <c r="S284" s="1519"/>
      <c r="T284" s="1519"/>
      <c r="U284" s="1519"/>
      <c r="V284" s="1519"/>
      <c r="W284" s="1519"/>
      <c r="X284" s="1519"/>
      <c r="Y284" s="1519"/>
      <c r="Z284" s="1519"/>
      <c r="AA284" s="1519"/>
      <c r="AB284" s="1519"/>
      <c r="AC284" s="1519"/>
      <c r="AD284" s="1519"/>
      <c r="AK284" s="3"/>
      <c r="AL284" s="3"/>
      <c r="AM284" s="3"/>
      <c r="AN284" s="3"/>
      <c r="AO284" s="3"/>
      <c r="AP284" s="3"/>
      <c r="AQ284" s="3"/>
      <c r="AR284" s="3"/>
      <c r="AS284" s="3"/>
      <c r="AT284" s="3"/>
      <c r="AU284" s="3"/>
      <c r="AV284" s="3"/>
      <c r="AW284" s="3"/>
      <c r="AX284" s="3"/>
      <c r="AY284" s="3"/>
    </row>
    <row r="285" spans="1:51" ht="12.9" customHeight="1">
      <c r="D285" s="4" t="s">
        <v>579</v>
      </c>
      <c r="E285" s="4"/>
      <c r="L285" s="1426" t="s">
        <v>2643</v>
      </c>
      <c r="M285" s="1519"/>
      <c r="N285" s="1519"/>
      <c r="O285" s="1519"/>
      <c r="P285" s="1519"/>
      <c r="Q285" s="1519"/>
      <c r="R285" s="1519"/>
      <c r="S285" s="1519"/>
      <c r="U285" s="33" t="s">
        <v>86</v>
      </c>
      <c r="V285" s="1368" t="s">
        <v>2655</v>
      </c>
      <c r="W285" s="1370"/>
      <c r="X285" s="4" t="s">
        <v>582</v>
      </c>
      <c r="AB285" s="1519">
        <v>83616</v>
      </c>
      <c r="AC285" s="1519"/>
      <c r="AD285" s="1519"/>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426" t="s">
        <v>2665</v>
      </c>
      <c r="M286" s="1519"/>
      <c r="N286" s="1519"/>
      <c r="O286" s="1519"/>
      <c r="P286" s="1519"/>
      <c r="Q286" s="1519"/>
      <c r="R286" s="1519"/>
      <c r="S286" s="1519"/>
      <c r="T286" s="1519"/>
      <c r="U286" s="1519"/>
      <c r="V286" s="1519"/>
      <c r="W286" s="1519"/>
      <c r="X286" s="1519"/>
      <c r="Y286" s="1519"/>
      <c r="Z286" s="1519"/>
      <c r="AA286" s="1519"/>
      <c r="AB286" s="1519"/>
      <c r="AC286" s="1519"/>
      <c r="AD286" s="1519"/>
      <c r="AI286" s="4"/>
      <c r="AJ286" s="4"/>
      <c r="AK286" s="3"/>
      <c r="AL286" s="3"/>
      <c r="AM286" s="3"/>
      <c r="AN286" s="3"/>
      <c r="AO286" s="3"/>
      <c r="AP286" s="3"/>
      <c r="AQ286" s="3"/>
      <c r="AR286" s="3"/>
      <c r="AS286" s="3"/>
      <c r="AT286" s="3"/>
    </row>
    <row r="287" spans="1:51" ht="12.9" customHeight="1">
      <c r="D287" s="4" t="s">
        <v>88</v>
      </c>
      <c r="E287" s="4"/>
      <c r="F287" s="4"/>
      <c r="L287" s="1385" t="s">
        <v>2666</v>
      </c>
      <c r="M287" s="1386"/>
      <c r="N287" s="1386"/>
      <c r="O287" s="1386"/>
      <c r="P287" s="1386"/>
      <c r="Q287" s="1386"/>
      <c r="R287" s="4" t="s">
        <v>205</v>
      </c>
      <c r="S287" s="4"/>
      <c r="T287" s="1370"/>
      <c r="U287" s="1370"/>
      <c r="V287" s="1370"/>
      <c r="W287" s="4" t="s">
        <v>89</v>
      </c>
      <c r="Y287" s="1385" t="s">
        <v>2657</v>
      </c>
      <c r="Z287" s="1386"/>
      <c r="AA287" s="1386"/>
      <c r="AB287" s="1386"/>
      <c r="AC287" s="1386"/>
      <c r="AD287" s="1386"/>
    </row>
    <row r="288" spans="1:51" ht="12.9" customHeight="1">
      <c r="D288" s="4" t="s">
        <v>90</v>
      </c>
      <c r="E288" s="4"/>
      <c r="F288" s="4"/>
      <c r="L288" s="1530" t="s">
        <v>2667</v>
      </c>
      <c r="M288" s="1530"/>
      <c r="N288" s="1530"/>
      <c r="O288" s="1530"/>
      <c r="P288" s="1530"/>
      <c r="Q288" s="1530"/>
      <c r="R288" s="1530"/>
      <c r="S288" s="1530"/>
      <c r="T288" s="1530"/>
      <c r="U288" s="1530"/>
      <c r="V288" s="1530"/>
      <c r="W288" s="1530"/>
      <c r="X288" s="1530"/>
      <c r="Y288" s="1530"/>
      <c r="Z288" s="1530"/>
      <c r="AA288" s="1530"/>
      <c r="AB288" s="1530"/>
      <c r="AC288" s="1530"/>
      <c r="AD288" s="1530"/>
      <c r="AF288" s="4"/>
      <c r="AG288" s="4"/>
      <c r="AH288" s="4"/>
      <c r="AI288" s="4"/>
      <c r="AJ288" s="4"/>
      <c r="AU288" s="3"/>
      <c r="AV288" s="3"/>
      <c r="AW288" s="3"/>
      <c r="AX288" s="3"/>
      <c r="AY288" s="3"/>
    </row>
    <row r="289" spans="1:51" ht="12.9" customHeight="1">
      <c r="D289" s="3" t="s">
        <v>622</v>
      </c>
      <c r="E289" s="3"/>
      <c r="F289" s="3"/>
      <c r="G289" s="3"/>
      <c r="H289" s="3"/>
      <c r="I289" s="3"/>
      <c r="L289" s="1368" t="s">
        <v>2668</v>
      </c>
      <c r="M289" s="1368"/>
      <c r="N289" s="1368"/>
      <c r="O289" s="1368"/>
      <c r="P289" s="1368"/>
      <c r="Q289" s="1368"/>
      <c r="R289" s="1368"/>
      <c r="S289" s="1368"/>
      <c r="T289" s="1368"/>
      <c r="U289" s="1368"/>
      <c r="V289" s="1368"/>
      <c r="W289" s="1368"/>
      <c r="X289" s="1368"/>
      <c r="Y289" s="1368"/>
      <c r="Z289" s="1368"/>
      <c r="AA289" s="1368"/>
      <c r="AB289" s="1368"/>
      <c r="AC289" s="1368"/>
      <c r="AD289" s="1368"/>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534" t="s">
        <v>540</v>
      </c>
      <c r="B291" s="1534"/>
      <c r="C291" s="1534"/>
      <c r="D291" s="1534"/>
      <c r="E291" s="1534"/>
      <c r="F291" s="1534"/>
      <c r="G291" s="1534"/>
      <c r="H291" s="1534"/>
      <c r="I291" s="1534"/>
      <c r="J291" s="1534"/>
      <c r="K291" s="1534"/>
      <c r="L291" s="1534"/>
      <c r="M291" s="1534"/>
      <c r="N291" s="1534"/>
      <c r="O291" s="1534"/>
      <c r="P291" s="1534"/>
      <c r="Q291" s="1534"/>
      <c r="R291" s="1534"/>
      <c r="S291" s="1534"/>
      <c r="T291" s="1534"/>
      <c r="U291" s="1534"/>
      <c r="V291" s="1534"/>
      <c r="W291" s="1534"/>
      <c r="X291" s="1534"/>
      <c r="Y291" s="1534"/>
      <c r="Z291" s="1534"/>
      <c r="AA291" s="1534"/>
      <c r="AB291" s="1534"/>
      <c r="AC291" s="1534"/>
      <c r="AD291" s="1534"/>
      <c r="AE291" s="1534"/>
      <c r="AF291" s="1534"/>
      <c r="AG291" s="1534"/>
      <c r="AH291" s="1534"/>
      <c r="AI291" s="1534"/>
      <c r="AJ291" s="1534"/>
      <c r="AK291" s="1534"/>
      <c r="AL291" s="1534"/>
      <c r="AM291" s="1534"/>
      <c r="AN291" s="1534"/>
      <c r="AO291" s="1534"/>
      <c r="AP291" s="1534"/>
      <c r="AQ291" s="1534"/>
      <c r="AR291" s="1534"/>
      <c r="AS291" s="1534"/>
      <c r="AT291" s="1534"/>
      <c r="AU291" s="95"/>
      <c r="AV291" s="95"/>
      <c r="AW291" s="95"/>
      <c r="AX291" s="95"/>
      <c r="AY291" s="95"/>
    </row>
    <row r="292" spans="1:51" ht="12.9" customHeight="1">
      <c r="A292" s="1534"/>
      <c r="B292" s="1534"/>
      <c r="C292" s="1534"/>
      <c r="D292" s="1534"/>
      <c r="E292" s="1534"/>
      <c r="F292" s="1534"/>
      <c r="G292" s="1534"/>
      <c r="H292" s="1534"/>
      <c r="I292" s="1534"/>
      <c r="J292" s="1534"/>
      <c r="K292" s="1534"/>
      <c r="L292" s="1534"/>
      <c r="M292" s="1534"/>
      <c r="N292" s="1534"/>
      <c r="O292" s="1534"/>
      <c r="P292" s="1534"/>
      <c r="Q292" s="1534"/>
      <c r="R292" s="1534"/>
      <c r="S292" s="1534"/>
      <c r="T292" s="1534"/>
      <c r="U292" s="1534"/>
      <c r="V292" s="1534"/>
      <c r="W292" s="1534"/>
      <c r="X292" s="1534"/>
      <c r="Y292" s="1534"/>
      <c r="Z292" s="1534"/>
      <c r="AA292" s="1534"/>
      <c r="AB292" s="1534"/>
      <c r="AC292" s="1534"/>
      <c r="AD292" s="1534"/>
      <c r="AE292" s="1534"/>
      <c r="AF292" s="1534"/>
      <c r="AG292" s="1534"/>
      <c r="AH292" s="1534"/>
      <c r="AI292" s="1534"/>
      <c r="AJ292" s="1534"/>
      <c r="AK292" s="1534"/>
      <c r="AL292" s="1534"/>
      <c r="AM292" s="1534"/>
      <c r="AN292" s="1534"/>
      <c r="AO292" s="1534"/>
      <c r="AP292" s="1534"/>
      <c r="AQ292" s="1534"/>
      <c r="AR292" s="1534"/>
      <c r="AS292" s="1534"/>
      <c r="AT292" s="1534"/>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427" t="s">
        <v>2649</v>
      </c>
      <c r="I296" s="1427"/>
      <c r="J296" s="1427"/>
      <c r="K296" s="1427"/>
      <c r="L296" s="1427"/>
      <c r="M296" s="1427"/>
      <c r="N296" s="1427"/>
      <c r="O296" s="1427"/>
      <c r="P296" s="1427"/>
      <c r="Q296" s="1427"/>
      <c r="R296" s="1427"/>
      <c r="T296" s="3" t="s">
        <v>566</v>
      </c>
      <c r="V296" s="3"/>
      <c r="W296" s="3"/>
      <c r="X296" s="3"/>
      <c r="Y296" s="3"/>
      <c r="AA296" s="1426" t="s">
        <v>2669</v>
      </c>
      <c r="AB296" s="1427"/>
      <c r="AC296" s="1427"/>
      <c r="AD296" s="1427"/>
      <c r="AE296" s="1427"/>
      <c r="AF296" s="1427"/>
      <c r="AG296" s="1427"/>
      <c r="AH296" s="1427"/>
      <c r="AI296" s="1427"/>
      <c r="AJ296" s="1427"/>
      <c r="AK296" s="1427"/>
    </row>
    <row r="297" spans="1:51" ht="12.9" customHeight="1">
      <c r="B297" s="3" t="s">
        <v>470</v>
      </c>
      <c r="C297" s="3"/>
      <c r="D297" s="3"/>
      <c r="E297" s="3"/>
      <c r="F297" s="3"/>
      <c r="H297" s="1368" t="s">
        <v>2654</v>
      </c>
      <c r="I297" s="1369"/>
      <c r="J297" s="1369"/>
      <c r="K297" s="1369"/>
      <c r="L297" s="1369"/>
      <c r="M297" s="1369"/>
      <c r="N297" s="1369"/>
      <c r="O297" s="1369"/>
      <c r="P297" s="1369"/>
      <c r="Q297" s="1369"/>
      <c r="R297" s="1369"/>
      <c r="T297" s="3" t="s">
        <v>470</v>
      </c>
      <c r="V297" s="3"/>
      <c r="W297" s="3"/>
      <c r="X297" s="3"/>
      <c r="Y297" s="3"/>
      <c r="AA297" s="1368" t="s">
        <v>2670</v>
      </c>
      <c r="AB297" s="1369"/>
      <c r="AC297" s="1369"/>
      <c r="AD297" s="1369"/>
      <c r="AE297" s="1369"/>
      <c r="AF297" s="1369"/>
      <c r="AG297" s="1369"/>
      <c r="AH297" s="1369"/>
      <c r="AI297" s="1369"/>
      <c r="AJ297" s="1369"/>
      <c r="AK297" s="1369"/>
    </row>
    <row r="298" spans="1:51" ht="12.9" customHeight="1">
      <c r="B298" s="3" t="s">
        <v>471</v>
      </c>
      <c r="C298" s="3"/>
      <c r="D298" s="3"/>
      <c r="E298" s="3"/>
      <c r="F298" s="3"/>
      <c r="H298" s="1368" t="s">
        <v>2671</v>
      </c>
      <c r="I298" s="1369"/>
      <c r="J298" s="1369"/>
      <c r="K298" s="1369"/>
      <c r="L298" s="1369"/>
      <c r="M298" s="1369"/>
      <c r="N298" s="1369"/>
      <c r="O298" s="1369"/>
      <c r="P298" s="1369"/>
      <c r="Q298" s="1369"/>
      <c r="R298" s="1369"/>
      <c r="T298" s="3" t="s">
        <v>75</v>
      </c>
      <c r="V298" s="3"/>
      <c r="W298" s="3"/>
      <c r="X298" s="3"/>
      <c r="Y298" s="3"/>
      <c r="AA298" s="1368" t="s">
        <v>2672</v>
      </c>
      <c r="AB298" s="1369"/>
      <c r="AC298" s="1369"/>
      <c r="AD298" s="1369"/>
      <c r="AE298" s="1369"/>
      <c r="AF298" s="1369"/>
      <c r="AG298" s="1369"/>
      <c r="AH298" s="1369"/>
      <c r="AI298" s="1369"/>
      <c r="AJ298" s="1369"/>
      <c r="AK298" s="1369"/>
    </row>
    <row r="299" spans="1:51" ht="12.9" customHeight="1">
      <c r="B299" s="3" t="s">
        <v>87</v>
      </c>
      <c r="C299" s="3"/>
      <c r="D299" s="3"/>
      <c r="E299" s="3"/>
      <c r="F299" s="3"/>
      <c r="H299" s="1368" t="s">
        <v>2644</v>
      </c>
      <c r="I299" s="1369"/>
      <c r="J299" s="1369"/>
      <c r="K299" s="1369"/>
      <c r="L299" s="1369"/>
      <c r="M299" s="1369"/>
      <c r="N299" s="1369"/>
      <c r="O299" s="1369"/>
      <c r="P299" s="1369"/>
      <c r="Q299" s="1369"/>
      <c r="R299" s="1369"/>
      <c r="T299" s="3" t="s">
        <v>87</v>
      </c>
      <c r="V299" s="3"/>
      <c r="W299" s="3"/>
      <c r="X299" s="3"/>
      <c r="Y299" s="3"/>
      <c r="AA299" s="1368" t="s">
        <v>2673</v>
      </c>
      <c r="AB299" s="1369"/>
      <c r="AC299" s="1369"/>
      <c r="AD299" s="1369"/>
      <c r="AE299" s="1369"/>
      <c r="AF299" s="1369"/>
      <c r="AG299" s="1369"/>
      <c r="AH299" s="1369"/>
      <c r="AI299" s="1369"/>
      <c r="AJ299" s="1369"/>
      <c r="AK299" s="1369"/>
    </row>
    <row r="300" spans="1:51" ht="12.9" customHeight="1">
      <c r="B300" s="3" t="s">
        <v>88</v>
      </c>
      <c r="C300" s="3"/>
      <c r="D300" s="3"/>
      <c r="E300" s="3"/>
      <c r="F300" s="3"/>
      <c r="G300" s="3"/>
      <c r="H300" s="1565" t="s">
        <v>2656</v>
      </c>
      <c r="I300" s="1566"/>
      <c r="J300" s="1566"/>
      <c r="K300" s="1566"/>
      <c r="L300" s="1566"/>
      <c r="M300" s="1566"/>
      <c r="N300" s="4" t="s">
        <v>205</v>
      </c>
      <c r="O300" s="4"/>
      <c r="P300" s="1519">
        <v>3015</v>
      </c>
      <c r="Q300" s="1519"/>
      <c r="R300" s="1519"/>
      <c r="S300" s="3"/>
      <c r="T300" s="3" t="s">
        <v>88</v>
      </c>
      <c r="V300" s="3"/>
      <c r="W300" s="3"/>
      <c r="X300" s="3"/>
      <c r="Y300" s="3"/>
      <c r="AA300" s="1565" t="s">
        <v>2674</v>
      </c>
      <c r="AB300" s="1566"/>
      <c r="AC300" s="1566"/>
      <c r="AD300" s="1566"/>
      <c r="AE300" s="1566"/>
      <c r="AF300" s="1566"/>
      <c r="AG300" s="4" t="s">
        <v>205</v>
      </c>
      <c r="AH300" s="4"/>
      <c r="AI300" s="1519"/>
      <c r="AJ300" s="1519"/>
      <c r="AK300" s="1519"/>
    </row>
    <row r="301" spans="1:51" ht="12.9" customHeight="1">
      <c r="B301" s="3" t="s">
        <v>89</v>
      </c>
      <c r="C301" s="3"/>
      <c r="D301" s="3"/>
      <c r="E301" s="3"/>
      <c r="F301" s="3"/>
      <c r="G301" s="3"/>
      <c r="H301" s="1385" t="s">
        <v>2657</v>
      </c>
      <c r="I301" s="1386"/>
      <c r="J301" s="1386"/>
      <c r="K301" s="1386"/>
      <c r="L301" s="1386"/>
      <c r="M301" s="1386"/>
      <c r="N301" s="4"/>
      <c r="O301" s="4"/>
      <c r="P301" s="35"/>
      <c r="Q301" s="35"/>
      <c r="R301" s="35"/>
      <c r="S301" s="3"/>
      <c r="T301" s="3" t="s">
        <v>89</v>
      </c>
      <c r="V301" s="3"/>
      <c r="W301" s="3"/>
      <c r="X301" s="3"/>
      <c r="Y301" s="3"/>
      <c r="AA301" s="1385" t="s">
        <v>2675</v>
      </c>
      <c r="AB301" s="1386"/>
      <c r="AC301" s="1386"/>
      <c r="AD301" s="1386"/>
      <c r="AE301" s="1386"/>
      <c r="AF301" s="1386"/>
      <c r="AG301" s="4"/>
      <c r="AH301" s="4"/>
      <c r="AI301" s="35"/>
      <c r="AJ301" s="35"/>
      <c r="AK301" s="35"/>
    </row>
    <row r="302" spans="1:51" ht="12.9" customHeight="1">
      <c r="B302" s="3" t="s">
        <v>76</v>
      </c>
      <c r="C302" s="3"/>
      <c r="D302" s="3"/>
      <c r="E302" s="3"/>
      <c r="F302" s="3"/>
      <c r="G302" s="3"/>
      <c r="H302" s="1368" t="s">
        <v>2658</v>
      </c>
      <c r="I302" s="1369"/>
      <c r="J302" s="1369"/>
      <c r="K302" s="1369"/>
      <c r="L302" s="1369"/>
      <c r="M302" s="1369"/>
      <c r="N302" s="1427"/>
      <c r="O302" s="1427"/>
      <c r="P302" s="1427"/>
      <c r="Q302" s="1427"/>
      <c r="R302" s="1427"/>
      <c r="S302" s="3"/>
      <c r="T302" s="3" t="s">
        <v>76</v>
      </c>
      <c r="V302" s="3"/>
      <c r="W302" s="3"/>
      <c r="X302" s="3"/>
      <c r="Y302" s="3"/>
      <c r="AA302" s="1368" t="s">
        <v>2676</v>
      </c>
      <c r="AB302" s="1369"/>
      <c r="AC302" s="1369"/>
      <c r="AD302" s="1369"/>
      <c r="AE302" s="1369"/>
      <c r="AF302" s="1369"/>
      <c r="AG302" s="1427"/>
      <c r="AH302" s="1427"/>
      <c r="AI302" s="1427"/>
      <c r="AJ302" s="1427"/>
      <c r="AK302" s="1427"/>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426" t="s">
        <v>2677</v>
      </c>
      <c r="I304" s="1427"/>
      <c r="J304" s="1427"/>
      <c r="K304" s="1427"/>
      <c r="L304" s="1427"/>
      <c r="M304" s="1427"/>
      <c r="N304" s="1427"/>
      <c r="O304" s="1427"/>
      <c r="P304" s="1427"/>
      <c r="Q304" s="1427"/>
      <c r="R304" s="1427"/>
      <c r="T304" s="3" t="s">
        <v>363</v>
      </c>
      <c r="V304" s="3"/>
      <c r="W304" s="3"/>
      <c r="X304" s="3"/>
      <c r="Y304" s="3"/>
      <c r="AA304" s="1426" t="s">
        <v>2678</v>
      </c>
      <c r="AB304" s="1427"/>
      <c r="AC304" s="1427"/>
      <c r="AD304" s="1427"/>
      <c r="AE304" s="1427"/>
      <c r="AF304" s="1427"/>
      <c r="AG304" s="1427"/>
      <c r="AH304" s="1427"/>
      <c r="AI304" s="1427"/>
      <c r="AJ304" s="1427"/>
      <c r="AK304" s="1427"/>
    </row>
    <row r="305" spans="2:72" ht="12.9" customHeight="1">
      <c r="B305" s="3" t="s">
        <v>470</v>
      </c>
      <c r="C305" s="3"/>
      <c r="D305" s="3"/>
      <c r="E305" s="3"/>
      <c r="F305" s="3"/>
      <c r="H305" s="1368" t="s">
        <v>2679</v>
      </c>
      <c r="I305" s="1369"/>
      <c r="J305" s="1369"/>
      <c r="K305" s="1369"/>
      <c r="L305" s="1369"/>
      <c r="M305" s="1369"/>
      <c r="N305" s="1369"/>
      <c r="O305" s="1369"/>
      <c r="P305" s="1369"/>
      <c r="Q305" s="1369"/>
      <c r="R305" s="1369"/>
      <c r="T305" s="3" t="s">
        <v>470</v>
      </c>
      <c r="V305" s="3"/>
      <c r="W305" s="3"/>
      <c r="X305" s="3"/>
      <c r="Y305" s="3"/>
      <c r="AA305" s="1368" t="s">
        <v>2654</v>
      </c>
      <c r="AB305" s="1369"/>
      <c r="AC305" s="1369"/>
      <c r="AD305" s="1369"/>
      <c r="AE305" s="1369"/>
      <c r="AF305" s="1369"/>
      <c r="AG305" s="1369"/>
      <c r="AH305" s="1369"/>
      <c r="AI305" s="1369"/>
      <c r="AJ305" s="1369"/>
      <c r="AK305" s="136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471</v>
      </c>
      <c r="C306" s="3"/>
      <c r="D306" s="3"/>
      <c r="E306" s="3"/>
      <c r="F306" s="3"/>
      <c r="H306" s="1368" t="s">
        <v>2671</v>
      </c>
      <c r="I306" s="1369"/>
      <c r="J306" s="1369"/>
      <c r="K306" s="1369"/>
      <c r="L306" s="1369"/>
      <c r="M306" s="1369"/>
      <c r="N306" s="1369"/>
      <c r="O306" s="1369"/>
      <c r="P306" s="1369"/>
      <c r="Q306" s="1369"/>
      <c r="R306" s="1369"/>
      <c r="T306" s="3" t="s">
        <v>75</v>
      </c>
      <c r="V306" s="3"/>
      <c r="W306" s="3"/>
      <c r="X306" s="3"/>
      <c r="Y306" s="3"/>
      <c r="AA306" s="1368" t="s">
        <v>2671</v>
      </c>
      <c r="AB306" s="1369"/>
      <c r="AC306" s="1369"/>
      <c r="AD306" s="1369"/>
      <c r="AE306" s="1369"/>
      <c r="AF306" s="1369"/>
      <c r="AG306" s="1369"/>
      <c r="AH306" s="1369"/>
      <c r="AI306" s="1369"/>
      <c r="AJ306" s="1369"/>
      <c r="AK306" s="136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368" t="s">
        <v>2680</v>
      </c>
      <c r="I307" s="1369"/>
      <c r="J307" s="1369"/>
      <c r="K307" s="1369"/>
      <c r="L307" s="1369"/>
      <c r="M307" s="1369"/>
      <c r="N307" s="1369"/>
      <c r="O307" s="1369"/>
      <c r="P307" s="1369"/>
      <c r="Q307" s="1369"/>
      <c r="R307" s="1369"/>
      <c r="T307" s="3" t="s">
        <v>87</v>
      </c>
      <c r="V307" s="3"/>
      <c r="W307" s="3"/>
      <c r="X307" s="3"/>
      <c r="Y307" s="3"/>
      <c r="AA307" s="1368" t="s">
        <v>2644</v>
      </c>
      <c r="AB307" s="1369"/>
      <c r="AC307" s="1369"/>
      <c r="AD307" s="1369"/>
      <c r="AE307" s="1369"/>
      <c r="AF307" s="1369"/>
      <c r="AG307" s="1369"/>
      <c r="AH307" s="1369"/>
      <c r="AI307" s="1369"/>
      <c r="AJ307" s="1369"/>
      <c r="AK307" s="1369"/>
    </row>
    <row r="308" spans="2:72" ht="12.9" customHeight="1">
      <c r="B308" s="3" t="s">
        <v>88</v>
      </c>
      <c r="C308" s="3"/>
      <c r="D308" s="3"/>
      <c r="E308" s="3"/>
      <c r="F308" s="3"/>
      <c r="G308" s="3"/>
      <c r="H308" s="1565" t="s">
        <v>2681</v>
      </c>
      <c r="I308" s="1566"/>
      <c r="J308" s="1566"/>
      <c r="K308" s="1566"/>
      <c r="L308" s="1566"/>
      <c r="M308" s="1566"/>
      <c r="N308" s="4" t="s">
        <v>205</v>
      </c>
      <c r="O308" s="4"/>
      <c r="P308" s="1519"/>
      <c r="Q308" s="1519"/>
      <c r="R308" s="1519"/>
      <c r="S308" s="3"/>
      <c r="T308" s="3" t="s">
        <v>88</v>
      </c>
      <c r="V308" s="3"/>
      <c r="W308" s="3"/>
      <c r="X308" s="3"/>
      <c r="Y308" s="3"/>
      <c r="AA308" s="1565" t="s">
        <v>2656</v>
      </c>
      <c r="AB308" s="1566"/>
      <c r="AC308" s="1566"/>
      <c r="AD308" s="1566"/>
      <c r="AE308" s="1566"/>
      <c r="AF308" s="1566"/>
      <c r="AG308" s="4" t="s">
        <v>205</v>
      </c>
      <c r="AH308" s="4"/>
      <c r="AI308" s="1519">
        <v>3015</v>
      </c>
      <c r="AJ308" s="1519"/>
      <c r="AK308" s="1519"/>
    </row>
    <row r="309" spans="2:72" ht="12.9" customHeight="1">
      <c r="B309" s="3" t="s">
        <v>89</v>
      </c>
      <c r="C309" s="3"/>
      <c r="D309" s="3"/>
      <c r="E309" s="3"/>
      <c r="F309" s="3"/>
      <c r="G309" s="3"/>
      <c r="H309" s="1385" t="s">
        <v>2657</v>
      </c>
      <c r="I309" s="1386"/>
      <c r="J309" s="1386"/>
      <c r="K309" s="1386"/>
      <c r="L309" s="1386"/>
      <c r="M309" s="1386"/>
      <c r="N309" s="4"/>
      <c r="O309" s="4"/>
      <c r="P309" s="35"/>
      <c r="Q309" s="35"/>
      <c r="R309" s="35"/>
      <c r="S309" s="3"/>
      <c r="T309" s="3" t="s">
        <v>89</v>
      </c>
      <c r="V309" s="3"/>
      <c r="W309" s="3"/>
      <c r="X309" s="3"/>
      <c r="Y309" s="3"/>
      <c r="AA309" s="1385" t="s">
        <v>2682</v>
      </c>
      <c r="AB309" s="1386"/>
      <c r="AC309" s="1386"/>
      <c r="AD309" s="1386"/>
      <c r="AE309" s="1386"/>
      <c r="AF309" s="1386"/>
      <c r="AG309" s="4"/>
      <c r="AH309" s="4"/>
      <c r="AI309" s="35"/>
      <c r="AJ309" s="35"/>
      <c r="AK309" s="35"/>
    </row>
    <row r="310" spans="2:72" ht="12.9" customHeight="1">
      <c r="B310" s="3" t="s">
        <v>76</v>
      </c>
      <c r="C310" s="3"/>
      <c r="D310" s="3"/>
      <c r="E310" s="3"/>
      <c r="F310" s="3"/>
      <c r="G310" s="3"/>
      <c r="H310" s="1368" t="s">
        <v>2683</v>
      </c>
      <c r="I310" s="1369"/>
      <c r="J310" s="1369"/>
      <c r="K310" s="1369"/>
      <c r="L310" s="1369"/>
      <c r="M310" s="1369"/>
      <c r="N310" s="1427"/>
      <c r="O310" s="1427"/>
      <c r="P310" s="1427"/>
      <c r="Q310" s="1427"/>
      <c r="R310" s="1427"/>
      <c r="S310" s="3"/>
      <c r="T310" s="3" t="s">
        <v>76</v>
      </c>
      <c r="V310" s="3"/>
      <c r="W310" s="3"/>
      <c r="X310" s="3"/>
      <c r="Y310" s="3"/>
      <c r="AA310" s="1368" t="s">
        <v>2658</v>
      </c>
      <c r="AB310" s="1369"/>
      <c r="AC310" s="1369"/>
      <c r="AD310" s="1369"/>
      <c r="AE310" s="1369"/>
      <c r="AF310" s="1369"/>
      <c r="AG310" s="1427"/>
      <c r="AH310" s="1427"/>
      <c r="AI310" s="1427"/>
      <c r="AJ310" s="1427"/>
      <c r="AK310" s="1427"/>
    </row>
    <row r="311" spans="2:72" ht="12.9" customHeight="1"/>
    <row r="312" spans="2:72" ht="12.9" customHeight="1">
      <c r="B312" s="3" t="s">
        <v>77</v>
      </c>
      <c r="C312" s="3"/>
      <c r="D312" s="3"/>
      <c r="E312" s="3"/>
      <c r="F312" s="3"/>
      <c r="H312" s="1426" t="s">
        <v>2684</v>
      </c>
      <c r="I312" s="1427"/>
      <c r="J312" s="1427"/>
      <c r="K312" s="1427"/>
      <c r="L312" s="1427"/>
      <c r="M312" s="1427"/>
      <c r="N312" s="1427"/>
      <c r="O312" s="1427"/>
      <c r="P312" s="1427"/>
      <c r="Q312" s="1427"/>
      <c r="R312" s="1427"/>
      <c r="T312" s="4" t="s">
        <v>876</v>
      </c>
      <c r="V312" s="3"/>
      <c r="W312" s="3"/>
      <c r="X312" s="3"/>
      <c r="Y312" s="3"/>
      <c r="AA312" s="1426" t="s">
        <v>2685</v>
      </c>
      <c r="AB312" s="1427"/>
      <c r="AC312" s="1427"/>
      <c r="AD312" s="1427"/>
      <c r="AE312" s="1427"/>
      <c r="AF312" s="1427"/>
      <c r="AG312" s="1427"/>
      <c r="AH312" s="1427"/>
      <c r="AI312" s="1427"/>
      <c r="AJ312" s="1427"/>
      <c r="AK312" s="1427"/>
    </row>
    <row r="313" spans="2:72" ht="12.9" customHeight="1">
      <c r="B313" s="3" t="s">
        <v>470</v>
      </c>
      <c r="C313" s="3"/>
      <c r="D313" s="3"/>
      <c r="E313" s="3"/>
      <c r="F313" s="3"/>
      <c r="H313" s="1368" t="s">
        <v>2686</v>
      </c>
      <c r="I313" s="1369"/>
      <c r="J313" s="1369"/>
      <c r="K313" s="1369"/>
      <c r="L313" s="1369"/>
      <c r="M313" s="1369"/>
      <c r="N313" s="1369"/>
      <c r="O313" s="1369"/>
      <c r="P313" s="1369"/>
      <c r="Q313" s="1369"/>
      <c r="R313" s="1369"/>
      <c r="T313" s="3" t="s">
        <v>470</v>
      </c>
      <c r="V313" s="3"/>
      <c r="W313" s="3"/>
      <c r="X313" s="3"/>
      <c r="Y313" s="3"/>
      <c r="AA313" s="1368" t="s">
        <v>2687</v>
      </c>
      <c r="AB313" s="1369"/>
      <c r="AC313" s="1369"/>
      <c r="AD313" s="1369"/>
      <c r="AE313" s="1369"/>
      <c r="AF313" s="1369"/>
      <c r="AG313" s="1369"/>
      <c r="AH313" s="1369"/>
      <c r="AI313" s="1369"/>
      <c r="AJ313" s="1369"/>
      <c r="AK313" s="1369"/>
    </row>
    <row r="314" spans="2:72" ht="12.9" customHeight="1">
      <c r="B314" s="3" t="s">
        <v>471</v>
      </c>
      <c r="C314" s="3"/>
      <c r="D314" s="3"/>
      <c r="E314" s="3"/>
      <c r="F314" s="3"/>
      <c r="H314" s="1368" t="s">
        <v>2688</v>
      </c>
      <c r="I314" s="1369"/>
      <c r="J314" s="1369"/>
      <c r="K314" s="1369"/>
      <c r="L314" s="1369"/>
      <c r="M314" s="1369"/>
      <c r="N314" s="1369"/>
      <c r="O314" s="1369"/>
      <c r="P314" s="1369"/>
      <c r="Q314" s="1369"/>
      <c r="R314" s="1369"/>
      <c r="T314" s="3" t="s">
        <v>75</v>
      </c>
      <c r="V314" s="3"/>
      <c r="W314" s="3"/>
      <c r="X314" s="3"/>
      <c r="Y314" s="3"/>
      <c r="AA314" s="1368" t="s">
        <v>2689</v>
      </c>
      <c r="AB314" s="1369"/>
      <c r="AC314" s="1369"/>
      <c r="AD314" s="1369"/>
      <c r="AE314" s="1369"/>
      <c r="AF314" s="1369"/>
      <c r="AG314" s="1369"/>
      <c r="AH314" s="1369"/>
      <c r="AI314" s="1369"/>
      <c r="AJ314" s="1369"/>
      <c r="AK314" s="1369"/>
    </row>
    <row r="315" spans="2:72" ht="12.9" customHeight="1">
      <c r="B315" s="3" t="s">
        <v>87</v>
      </c>
      <c r="C315" s="3"/>
      <c r="D315" s="3"/>
      <c r="E315" s="3"/>
      <c r="F315" s="3"/>
      <c r="H315" s="1368" t="s">
        <v>2690</v>
      </c>
      <c r="I315" s="1369"/>
      <c r="J315" s="1369"/>
      <c r="K315" s="1369"/>
      <c r="L315" s="1369"/>
      <c r="M315" s="1369"/>
      <c r="N315" s="1369"/>
      <c r="O315" s="1369"/>
      <c r="P315" s="1369"/>
      <c r="Q315" s="1369"/>
      <c r="R315" s="1369"/>
      <c r="T315" s="3" t="s">
        <v>87</v>
      </c>
      <c r="V315" s="3"/>
      <c r="W315" s="3"/>
      <c r="X315" s="3"/>
      <c r="Y315" s="3"/>
      <c r="AA315" s="1368" t="s">
        <v>2691</v>
      </c>
      <c r="AB315" s="1369"/>
      <c r="AC315" s="1369"/>
      <c r="AD315" s="1369"/>
      <c r="AE315" s="1369"/>
      <c r="AF315" s="1369"/>
      <c r="AG315" s="1369"/>
      <c r="AH315" s="1369"/>
      <c r="AI315" s="1369"/>
      <c r="AJ315" s="1369"/>
      <c r="AK315" s="1369"/>
    </row>
    <row r="316" spans="2:72" ht="12.9" customHeight="1">
      <c r="B316" s="3" t="s">
        <v>88</v>
      </c>
      <c r="C316" s="3"/>
      <c r="D316" s="3"/>
      <c r="E316" s="3"/>
      <c r="F316" s="3"/>
      <c r="G316" s="3"/>
      <c r="H316" s="1565" t="s">
        <v>2692</v>
      </c>
      <c r="I316" s="1566"/>
      <c r="J316" s="1566"/>
      <c r="K316" s="1566"/>
      <c r="L316" s="1566"/>
      <c r="M316" s="1566"/>
      <c r="N316" s="4" t="s">
        <v>205</v>
      </c>
      <c r="O316" s="4"/>
      <c r="P316" s="1519"/>
      <c r="Q316" s="1519"/>
      <c r="R316" s="1519"/>
      <c r="S316" s="3"/>
      <c r="T316" s="3" t="s">
        <v>88</v>
      </c>
      <c r="V316" s="3"/>
      <c r="W316" s="3"/>
      <c r="X316" s="3"/>
      <c r="Y316" s="3"/>
      <c r="AA316" s="1565" t="s">
        <v>2693</v>
      </c>
      <c r="AB316" s="1566"/>
      <c r="AC316" s="1566"/>
      <c r="AD316" s="1566"/>
      <c r="AE316" s="1566"/>
      <c r="AF316" s="1566"/>
      <c r="AG316" s="4" t="s">
        <v>205</v>
      </c>
      <c r="AH316" s="4"/>
      <c r="AI316" s="1519"/>
      <c r="AJ316" s="1519"/>
      <c r="AK316" s="1519"/>
    </row>
    <row r="317" spans="2:72" ht="12.9" customHeight="1">
      <c r="B317" s="3" t="s">
        <v>89</v>
      </c>
      <c r="C317" s="3"/>
      <c r="D317" s="3"/>
      <c r="E317" s="3"/>
      <c r="F317" s="3"/>
      <c r="G317" s="3"/>
      <c r="H317" s="1385" t="s">
        <v>2694</v>
      </c>
      <c r="I317" s="1386"/>
      <c r="J317" s="1386"/>
      <c r="K317" s="1386"/>
      <c r="L317" s="1386"/>
      <c r="M317" s="1386"/>
      <c r="N317" s="4"/>
      <c r="O317" s="4"/>
      <c r="P317" s="35"/>
      <c r="Q317" s="35"/>
      <c r="R317" s="35"/>
      <c r="S317" s="3"/>
      <c r="T317" s="3" t="s">
        <v>89</v>
      </c>
      <c r="V317" s="3"/>
      <c r="W317" s="3"/>
      <c r="X317" s="3"/>
      <c r="Y317" s="3"/>
      <c r="AA317" s="1386"/>
      <c r="AB317" s="1386"/>
      <c r="AC317" s="1386"/>
      <c r="AD317" s="1386"/>
      <c r="AE317" s="1386"/>
      <c r="AF317" s="1386"/>
      <c r="AG317" s="4"/>
      <c r="AH317" s="4"/>
      <c r="AI317" s="35"/>
      <c r="AJ317" s="35"/>
      <c r="AK317" s="35"/>
    </row>
    <row r="318" spans="2:72" ht="12.9" customHeight="1">
      <c r="B318" s="3" t="s">
        <v>76</v>
      </c>
      <c r="C318" s="3"/>
      <c r="D318" s="3"/>
      <c r="E318" s="3"/>
      <c r="F318" s="3"/>
      <c r="G318" s="3"/>
      <c r="H318" s="1368" t="s">
        <v>2695</v>
      </c>
      <c r="I318" s="1369"/>
      <c r="J318" s="1369"/>
      <c r="K318" s="1369"/>
      <c r="L318" s="1369"/>
      <c r="M318" s="1369"/>
      <c r="N318" s="1427"/>
      <c r="O318" s="1427"/>
      <c r="P318" s="1427"/>
      <c r="Q318" s="1427"/>
      <c r="R318" s="1427"/>
      <c r="S318" s="3"/>
      <c r="T318" s="3" t="s">
        <v>76</v>
      </c>
      <c r="V318" s="3"/>
      <c r="W318" s="3"/>
      <c r="X318" s="3"/>
      <c r="Y318" s="3"/>
      <c r="AA318" s="1368" t="s">
        <v>2696</v>
      </c>
      <c r="AB318" s="1369"/>
      <c r="AC318" s="1369"/>
      <c r="AD318" s="1369"/>
      <c r="AE318" s="1369"/>
      <c r="AF318" s="1369"/>
      <c r="AG318" s="1427"/>
      <c r="AH318" s="1427"/>
      <c r="AI318" s="1427"/>
      <c r="AJ318" s="1427"/>
      <c r="AK318" s="1427"/>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905</v>
      </c>
      <c r="C320" s="3"/>
      <c r="D320" s="3"/>
      <c r="E320" s="3"/>
      <c r="F320" s="3"/>
      <c r="H320" s="1426" t="s">
        <v>2684</v>
      </c>
      <c r="I320" s="1427"/>
      <c r="J320" s="1427"/>
      <c r="K320" s="1427"/>
      <c r="L320" s="1427"/>
      <c r="M320" s="1427"/>
      <c r="N320" s="1427"/>
      <c r="O320" s="1427"/>
      <c r="P320" s="1427"/>
      <c r="Q320" s="1427"/>
      <c r="R320" s="1427"/>
      <c r="S320" s="3"/>
      <c r="T320" s="3" t="s">
        <v>364</v>
      </c>
      <c r="V320" s="3"/>
      <c r="W320" s="3"/>
      <c r="X320" s="3"/>
      <c r="Y320" s="3"/>
      <c r="AA320" s="1426" t="s">
        <v>2697</v>
      </c>
      <c r="AB320" s="1427"/>
      <c r="AC320" s="1427"/>
      <c r="AD320" s="1427"/>
      <c r="AE320" s="1427"/>
      <c r="AF320" s="1427"/>
      <c r="AG320" s="1427"/>
      <c r="AH320" s="1427"/>
      <c r="AI320" s="1427"/>
      <c r="AJ320" s="1427"/>
      <c r="AK320" s="1427"/>
    </row>
    <row r="321" spans="2:37" ht="12.9" customHeight="1">
      <c r="B321" s="3" t="s">
        <v>470</v>
      </c>
      <c r="C321" s="3"/>
      <c r="D321" s="3"/>
      <c r="E321" s="3"/>
      <c r="F321" s="3"/>
      <c r="H321" s="1368" t="s">
        <v>2686</v>
      </c>
      <c r="I321" s="1369"/>
      <c r="J321" s="1369"/>
      <c r="K321" s="1369"/>
      <c r="L321" s="1369"/>
      <c r="M321" s="1369"/>
      <c r="N321" s="1369"/>
      <c r="O321" s="1369"/>
      <c r="P321" s="1369"/>
      <c r="Q321" s="1369"/>
      <c r="R321" s="1369"/>
      <c r="S321" s="3"/>
      <c r="T321" s="3" t="s">
        <v>470</v>
      </c>
      <c r="V321" s="3"/>
      <c r="W321" s="3"/>
      <c r="X321" s="3"/>
      <c r="Y321" s="3"/>
      <c r="AA321" s="1368" t="s">
        <v>2698</v>
      </c>
      <c r="AB321" s="1369"/>
      <c r="AC321" s="1369"/>
      <c r="AD321" s="1369"/>
      <c r="AE321" s="1369"/>
      <c r="AF321" s="1369"/>
      <c r="AG321" s="1369"/>
      <c r="AH321" s="1369"/>
      <c r="AI321" s="1369"/>
      <c r="AJ321" s="1369"/>
      <c r="AK321" s="1369"/>
    </row>
    <row r="322" spans="2:37" ht="12.9" customHeight="1">
      <c r="B322" s="3" t="s">
        <v>471</v>
      </c>
      <c r="C322" s="3"/>
      <c r="D322" s="3"/>
      <c r="E322" s="3"/>
      <c r="F322" s="3"/>
      <c r="H322" s="1368" t="s">
        <v>2688</v>
      </c>
      <c r="I322" s="1369"/>
      <c r="J322" s="1369"/>
      <c r="K322" s="1369"/>
      <c r="L322" s="1369"/>
      <c r="M322" s="1369"/>
      <c r="N322" s="1369"/>
      <c r="O322" s="1369"/>
      <c r="P322" s="1369"/>
      <c r="Q322" s="1369"/>
      <c r="R322" s="1369"/>
      <c r="S322" s="3"/>
      <c r="T322" s="3" t="s">
        <v>75</v>
      </c>
      <c r="V322" s="3"/>
      <c r="W322" s="3"/>
      <c r="X322" s="3"/>
      <c r="Y322" s="3"/>
      <c r="AA322" s="1368" t="s">
        <v>2699</v>
      </c>
      <c r="AB322" s="1369"/>
      <c r="AC322" s="1369"/>
      <c r="AD322" s="1369"/>
      <c r="AE322" s="1369"/>
      <c r="AF322" s="1369"/>
      <c r="AG322" s="1369"/>
      <c r="AH322" s="1369"/>
      <c r="AI322" s="1369"/>
      <c r="AJ322" s="1369"/>
      <c r="AK322" s="1369"/>
    </row>
    <row r="323" spans="2:37" ht="12.9" customHeight="1">
      <c r="B323" s="3" t="s">
        <v>87</v>
      </c>
      <c r="C323" s="3"/>
      <c r="D323" s="3"/>
      <c r="E323" s="3"/>
      <c r="F323" s="3"/>
      <c r="H323" s="1368" t="s">
        <v>2690</v>
      </c>
      <c r="I323" s="1369"/>
      <c r="J323" s="1369"/>
      <c r="K323" s="1369"/>
      <c r="L323" s="1369"/>
      <c r="M323" s="1369"/>
      <c r="N323" s="1369"/>
      <c r="O323" s="1369"/>
      <c r="P323" s="1369"/>
      <c r="Q323" s="1369"/>
      <c r="R323" s="1369"/>
      <c r="S323" s="3"/>
      <c r="T323" s="3" t="s">
        <v>87</v>
      </c>
      <c r="V323" s="3"/>
      <c r="W323" s="3"/>
      <c r="X323" s="3"/>
      <c r="Y323" s="3"/>
      <c r="AA323" s="1368" t="s">
        <v>2700</v>
      </c>
      <c r="AB323" s="1369"/>
      <c r="AC323" s="1369"/>
      <c r="AD323" s="1369"/>
      <c r="AE323" s="1369"/>
      <c r="AF323" s="1369"/>
      <c r="AG323" s="1369"/>
      <c r="AH323" s="1369"/>
      <c r="AI323" s="1369"/>
      <c r="AJ323" s="1369"/>
      <c r="AK323" s="1369"/>
    </row>
    <row r="324" spans="2:37" ht="12.9" customHeight="1">
      <c r="B324" s="3" t="s">
        <v>88</v>
      </c>
      <c r="C324" s="3"/>
      <c r="D324" s="3"/>
      <c r="E324" s="3"/>
      <c r="F324" s="3"/>
      <c r="G324" s="3"/>
      <c r="H324" s="1565" t="s">
        <v>2692</v>
      </c>
      <c r="I324" s="1566"/>
      <c r="J324" s="1566"/>
      <c r="K324" s="1566"/>
      <c r="L324" s="1566"/>
      <c r="M324" s="1566"/>
      <c r="N324" s="4" t="s">
        <v>205</v>
      </c>
      <c r="O324" s="4"/>
      <c r="P324" s="1519"/>
      <c r="Q324" s="1519"/>
      <c r="R324" s="1519"/>
      <c r="S324" s="3"/>
      <c r="T324" s="3" t="s">
        <v>88</v>
      </c>
      <c r="V324" s="3"/>
      <c r="W324" s="3"/>
      <c r="X324" s="3"/>
      <c r="Y324" s="3"/>
      <c r="AA324" s="1565" t="s">
        <v>2701</v>
      </c>
      <c r="AB324" s="1566"/>
      <c r="AC324" s="1566"/>
      <c r="AD324" s="1566"/>
      <c r="AE324" s="1566"/>
      <c r="AF324" s="1566"/>
      <c r="AG324" s="4" t="s">
        <v>205</v>
      </c>
      <c r="AH324" s="4"/>
      <c r="AI324" s="1519"/>
      <c r="AJ324" s="1519"/>
      <c r="AK324" s="1519"/>
    </row>
    <row r="325" spans="2:37" ht="12.9" customHeight="1">
      <c r="B325" s="3" t="s">
        <v>89</v>
      </c>
      <c r="C325" s="3"/>
      <c r="D325" s="3"/>
      <c r="E325" s="3"/>
      <c r="F325" s="3"/>
      <c r="G325" s="3"/>
      <c r="H325" s="1385" t="s">
        <v>2694</v>
      </c>
      <c r="I325" s="1386"/>
      <c r="J325" s="1386"/>
      <c r="K325" s="1386"/>
      <c r="L325" s="1386"/>
      <c r="M325" s="1386"/>
      <c r="N325" s="4"/>
      <c r="O325" s="4"/>
      <c r="P325" s="35"/>
      <c r="Q325" s="35"/>
      <c r="R325" s="35"/>
      <c r="S325" s="3"/>
      <c r="T325" s="3" t="s">
        <v>89</v>
      </c>
      <c r="V325" s="3"/>
      <c r="W325" s="3"/>
      <c r="X325" s="3"/>
      <c r="Y325" s="3"/>
      <c r="AA325" s="1385" t="s">
        <v>2702</v>
      </c>
      <c r="AB325" s="1386"/>
      <c r="AC325" s="1386"/>
      <c r="AD325" s="1386"/>
      <c r="AE325" s="1386"/>
      <c r="AF325" s="1386"/>
      <c r="AG325" s="4"/>
      <c r="AH325" s="4"/>
      <c r="AI325" s="35"/>
      <c r="AJ325" s="35"/>
      <c r="AK325" s="35"/>
    </row>
    <row r="326" spans="2:37" ht="12.9" customHeight="1">
      <c r="B326" s="3" t="s">
        <v>76</v>
      </c>
      <c r="C326" s="3"/>
      <c r="D326" s="3"/>
      <c r="E326" s="3"/>
      <c r="F326" s="3"/>
      <c r="G326" s="3"/>
      <c r="H326" s="1368" t="s">
        <v>2695</v>
      </c>
      <c r="I326" s="1369"/>
      <c r="J326" s="1369"/>
      <c r="K326" s="1369"/>
      <c r="L326" s="1369"/>
      <c r="M326" s="1369"/>
      <c r="N326" s="1427"/>
      <c r="O326" s="1427"/>
      <c r="P326" s="1427"/>
      <c r="Q326" s="1427"/>
      <c r="R326" s="1427"/>
      <c r="S326" s="3"/>
      <c r="T326" s="3" t="s">
        <v>76</v>
      </c>
      <c r="V326" s="3"/>
      <c r="W326" s="3"/>
      <c r="X326" s="3"/>
      <c r="Y326" s="3"/>
      <c r="AA326" s="1368" t="s">
        <v>2703</v>
      </c>
      <c r="AB326" s="1369"/>
      <c r="AC326" s="1369"/>
      <c r="AD326" s="1369"/>
      <c r="AE326" s="1369"/>
      <c r="AF326" s="1369"/>
      <c r="AG326" s="1427"/>
      <c r="AH326" s="1427"/>
      <c r="AI326" s="1427"/>
      <c r="AJ326" s="1427"/>
      <c r="AK326" s="1427"/>
    </row>
    <row r="327" spans="2:37" ht="12.9" customHeight="1"/>
    <row r="328" spans="2:37" ht="12.9" customHeight="1">
      <c r="B328" s="4" t="s">
        <v>906</v>
      </c>
      <c r="C328" s="3"/>
      <c r="D328" s="3"/>
      <c r="E328" s="3"/>
      <c r="F328" s="3"/>
      <c r="H328" s="1426" t="s">
        <v>2651</v>
      </c>
      <c r="I328" s="1427"/>
      <c r="J328" s="1427"/>
      <c r="K328" s="1427"/>
      <c r="L328" s="1427"/>
      <c r="M328" s="1427"/>
      <c r="N328" s="1427"/>
      <c r="O328" s="1427"/>
      <c r="P328" s="1427"/>
      <c r="Q328" s="1427"/>
      <c r="R328" s="1427"/>
      <c r="T328" s="3" t="s">
        <v>365</v>
      </c>
      <c r="V328" s="3"/>
      <c r="W328" s="3"/>
      <c r="X328" s="3"/>
      <c r="Y328" s="3"/>
      <c r="AA328" s="1426" t="s">
        <v>2704</v>
      </c>
      <c r="AB328" s="1427"/>
      <c r="AC328" s="1427"/>
      <c r="AD328" s="1427"/>
      <c r="AE328" s="1427"/>
      <c r="AF328" s="1427"/>
      <c r="AG328" s="1427"/>
      <c r="AH328" s="1427"/>
      <c r="AI328" s="1427"/>
      <c r="AJ328" s="1427"/>
      <c r="AK328" s="1427"/>
    </row>
    <row r="329" spans="2:37" ht="12.9" customHeight="1">
      <c r="B329" s="3" t="s">
        <v>470</v>
      </c>
      <c r="C329" s="3"/>
      <c r="D329" s="3"/>
      <c r="E329" s="3"/>
      <c r="F329" s="3"/>
      <c r="H329" s="1369"/>
      <c r="I329" s="1369"/>
      <c r="J329" s="1369"/>
      <c r="K329" s="1369"/>
      <c r="L329" s="1369"/>
      <c r="M329" s="1369"/>
      <c r="N329" s="1369"/>
      <c r="O329" s="1369"/>
      <c r="P329" s="1369"/>
      <c r="Q329" s="1369"/>
      <c r="R329" s="1369"/>
      <c r="T329" s="3" t="s">
        <v>470</v>
      </c>
      <c r="V329" s="3"/>
      <c r="W329" s="3"/>
      <c r="X329" s="3"/>
      <c r="Y329" s="3"/>
      <c r="AA329" s="1368" t="s">
        <v>2705</v>
      </c>
      <c r="AB329" s="1369"/>
      <c r="AC329" s="1369"/>
      <c r="AD329" s="1369"/>
      <c r="AE329" s="1369"/>
      <c r="AF329" s="1369"/>
      <c r="AG329" s="1369"/>
      <c r="AH329" s="1369"/>
      <c r="AI329" s="1369"/>
      <c r="AJ329" s="1369"/>
      <c r="AK329" s="1369"/>
    </row>
    <row r="330" spans="2:37" ht="12.9" customHeight="1">
      <c r="B330" s="3" t="s">
        <v>471</v>
      </c>
      <c r="C330" s="3"/>
      <c r="D330" s="3"/>
      <c r="E330" s="3"/>
      <c r="F330" s="3"/>
      <c r="H330" s="1369"/>
      <c r="I330" s="1369"/>
      <c r="J330" s="1369"/>
      <c r="K330" s="1369"/>
      <c r="L330" s="1369"/>
      <c r="M330" s="1369"/>
      <c r="N330" s="1369"/>
      <c r="O330" s="1369"/>
      <c r="P330" s="1369"/>
      <c r="Q330" s="1369"/>
      <c r="R330" s="1369"/>
      <c r="T330" s="3" t="s">
        <v>75</v>
      </c>
      <c r="V330" s="3"/>
      <c r="W330" s="3"/>
      <c r="X330" s="3"/>
      <c r="Y330" s="3"/>
      <c r="AA330" s="1368" t="s">
        <v>2706</v>
      </c>
      <c r="AB330" s="1369"/>
      <c r="AC330" s="1369"/>
      <c r="AD330" s="1369"/>
      <c r="AE330" s="1369"/>
      <c r="AF330" s="1369"/>
      <c r="AG330" s="1369"/>
      <c r="AH330" s="1369"/>
      <c r="AI330" s="1369"/>
      <c r="AJ330" s="1369"/>
      <c r="AK330" s="1369"/>
    </row>
    <row r="331" spans="2:37" ht="12.9" customHeight="1">
      <c r="B331" s="3" t="s">
        <v>87</v>
      </c>
      <c r="C331" s="3"/>
      <c r="D331" s="3"/>
      <c r="E331" s="3"/>
      <c r="F331" s="3"/>
      <c r="H331" s="1369"/>
      <c r="I331" s="1369"/>
      <c r="J331" s="1369"/>
      <c r="K331" s="1369"/>
      <c r="L331" s="1369"/>
      <c r="M331" s="1369"/>
      <c r="N331" s="1369"/>
      <c r="O331" s="1369"/>
      <c r="P331" s="1369"/>
      <c r="Q331" s="1369"/>
      <c r="R331" s="1369"/>
      <c r="T331" s="3" t="s">
        <v>87</v>
      </c>
      <c r="V331" s="3"/>
      <c r="W331" s="3"/>
      <c r="X331" s="3"/>
      <c r="Y331" s="3"/>
      <c r="AA331" s="1368" t="s">
        <v>2709</v>
      </c>
      <c r="AB331" s="1369"/>
      <c r="AC331" s="1369"/>
      <c r="AD331" s="1369"/>
      <c r="AE331" s="1369"/>
      <c r="AF331" s="1369"/>
      <c r="AG331" s="1369"/>
      <c r="AH331" s="1369"/>
      <c r="AI331" s="1369"/>
      <c r="AJ331" s="1369"/>
      <c r="AK331" s="1369"/>
    </row>
    <row r="332" spans="2:37" ht="12.9" customHeight="1">
      <c r="B332" s="3" t="s">
        <v>88</v>
      </c>
      <c r="C332" s="3"/>
      <c r="D332" s="3"/>
      <c r="E332" s="3"/>
      <c r="F332" s="3"/>
      <c r="G332" s="3"/>
      <c r="H332" s="1566"/>
      <c r="I332" s="1566"/>
      <c r="J332" s="1566"/>
      <c r="K332" s="1566"/>
      <c r="L332" s="1566"/>
      <c r="M332" s="1566"/>
      <c r="N332" s="4" t="s">
        <v>205</v>
      </c>
      <c r="O332" s="4"/>
      <c r="P332" s="1519"/>
      <c r="Q332" s="1519"/>
      <c r="R332" s="1519"/>
      <c r="S332" s="3"/>
      <c r="T332" s="3" t="s">
        <v>88</v>
      </c>
      <c r="V332" s="3"/>
      <c r="W332" s="3"/>
      <c r="X332" s="3"/>
      <c r="Y332" s="3"/>
      <c r="AA332" s="1565" t="s">
        <v>2707</v>
      </c>
      <c r="AB332" s="1566"/>
      <c r="AC332" s="1566"/>
      <c r="AD332" s="1566"/>
      <c r="AE332" s="1566"/>
      <c r="AF332" s="1566"/>
      <c r="AG332" s="4" t="s">
        <v>205</v>
      </c>
      <c r="AH332" s="4"/>
      <c r="AI332" s="1519"/>
      <c r="AJ332" s="1519"/>
      <c r="AK332" s="1519"/>
    </row>
    <row r="333" spans="2:37" ht="12.9" customHeight="1">
      <c r="B333" s="3" t="s">
        <v>89</v>
      </c>
      <c r="C333" s="3"/>
      <c r="D333" s="3"/>
      <c r="E333" s="3"/>
      <c r="F333" s="3"/>
      <c r="G333" s="3"/>
      <c r="H333" s="1386"/>
      <c r="I333" s="1386"/>
      <c r="J333" s="1386"/>
      <c r="K333" s="1386"/>
      <c r="L333" s="1386"/>
      <c r="M333" s="1386"/>
      <c r="N333" s="4"/>
      <c r="O333" s="4"/>
      <c r="P333" s="35"/>
      <c r="Q333" s="35"/>
      <c r="R333" s="35"/>
      <c r="S333" s="3"/>
      <c r="T333" s="3" t="s">
        <v>89</v>
      </c>
      <c r="V333" s="3"/>
      <c r="W333" s="3"/>
      <c r="X333" s="3"/>
      <c r="Y333" s="3"/>
      <c r="AA333" s="1386"/>
      <c r="AB333" s="1386"/>
      <c r="AC333" s="1386"/>
      <c r="AD333" s="1386"/>
      <c r="AE333" s="1386"/>
      <c r="AF333" s="1386"/>
      <c r="AG333" s="4"/>
      <c r="AH333" s="4"/>
      <c r="AI333" s="35"/>
      <c r="AJ333" s="35"/>
      <c r="AK333" s="35"/>
    </row>
    <row r="334" spans="2:37" ht="12.9" customHeight="1">
      <c r="B334" s="3" t="s">
        <v>76</v>
      </c>
      <c r="C334" s="3"/>
      <c r="D334" s="3"/>
      <c r="E334" s="3"/>
      <c r="F334" s="3"/>
      <c r="G334" s="3"/>
      <c r="H334" s="1369"/>
      <c r="I334" s="1369"/>
      <c r="J334" s="1369"/>
      <c r="K334" s="1369"/>
      <c r="L334" s="1369"/>
      <c r="M334" s="1369"/>
      <c r="N334" s="1427"/>
      <c r="O334" s="1427"/>
      <c r="P334" s="1427"/>
      <c r="Q334" s="1427"/>
      <c r="R334" s="1427"/>
      <c r="S334" s="3"/>
      <c r="T334" s="3" t="s">
        <v>76</v>
      </c>
      <c r="V334" s="3"/>
      <c r="W334" s="3"/>
      <c r="X334" s="3"/>
      <c r="Y334" s="3"/>
      <c r="AA334" s="1368" t="s">
        <v>2708</v>
      </c>
      <c r="AB334" s="1369"/>
      <c r="AC334" s="1369"/>
      <c r="AD334" s="1369"/>
      <c r="AE334" s="1369"/>
      <c r="AF334" s="1369"/>
      <c r="AG334" s="1427"/>
      <c r="AH334" s="1427"/>
      <c r="AI334" s="1427"/>
      <c r="AJ334" s="1427"/>
      <c r="AK334" s="1427"/>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426" t="s">
        <v>2704</v>
      </c>
      <c r="I336" s="1427"/>
      <c r="J336" s="1427"/>
      <c r="K336" s="1427"/>
      <c r="L336" s="1427"/>
      <c r="M336" s="1427"/>
      <c r="N336" s="1427"/>
      <c r="O336" s="1427"/>
      <c r="P336" s="1427"/>
      <c r="Q336" s="1427"/>
      <c r="R336" s="1427"/>
      <c r="T336" s="3" t="s">
        <v>367</v>
      </c>
      <c r="V336" s="3"/>
      <c r="W336" s="3"/>
      <c r="X336" s="3"/>
      <c r="Y336" s="3"/>
      <c r="AA336" s="1426" t="s">
        <v>2651</v>
      </c>
      <c r="AB336" s="1427"/>
      <c r="AC336" s="1427"/>
      <c r="AD336" s="1427"/>
      <c r="AE336" s="1427"/>
      <c r="AF336" s="1427"/>
      <c r="AG336" s="1427"/>
      <c r="AH336" s="1427"/>
      <c r="AI336" s="1427"/>
      <c r="AJ336" s="1427"/>
      <c r="AK336" s="1427"/>
    </row>
    <row r="337" spans="2:66" ht="12.9" customHeight="1">
      <c r="B337" s="3" t="s">
        <v>470</v>
      </c>
      <c r="C337" s="3"/>
      <c r="D337" s="3"/>
      <c r="E337" s="3"/>
      <c r="F337" s="3"/>
      <c r="H337" s="1368" t="s">
        <v>2705</v>
      </c>
      <c r="I337" s="1369"/>
      <c r="J337" s="1369"/>
      <c r="K337" s="1369"/>
      <c r="L337" s="1369"/>
      <c r="M337" s="1369"/>
      <c r="N337" s="1369"/>
      <c r="O337" s="1369"/>
      <c r="P337" s="1369"/>
      <c r="Q337" s="1369"/>
      <c r="R337" s="1369"/>
      <c r="T337" s="3" t="s">
        <v>470</v>
      </c>
      <c r="V337" s="3"/>
      <c r="W337" s="3"/>
      <c r="X337" s="3"/>
      <c r="Y337" s="3"/>
      <c r="AA337" s="1369"/>
      <c r="AB337" s="1369"/>
      <c r="AC337" s="1369"/>
      <c r="AD337" s="1369"/>
      <c r="AE337" s="1369"/>
      <c r="AF337" s="1369"/>
      <c r="AG337" s="1369"/>
      <c r="AH337" s="1369"/>
      <c r="AI337" s="1369"/>
      <c r="AJ337" s="1369"/>
      <c r="AK337" s="1369"/>
    </row>
    <row r="338" spans="2:66" ht="12.9" customHeight="1">
      <c r="B338" s="3" t="s">
        <v>471</v>
      </c>
      <c r="C338" s="3"/>
      <c r="D338" s="3"/>
      <c r="E338" s="3"/>
      <c r="F338" s="3"/>
      <c r="H338" s="1368" t="s">
        <v>2706</v>
      </c>
      <c r="I338" s="1369"/>
      <c r="J338" s="1369"/>
      <c r="K338" s="1369"/>
      <c r="L338" s="1369"/>
      <c r="M338" s="1369"/>
      <c r="N338" s="1369"/>
      <c r="O338" s="1369"/>
      <c r="P338" s="1369"/>
      <c r="Q338" s="1369"/>
      <c r="R338" s="1369"/>
      <c r="T338" s="3" t="s">
        <v>75</v>
      </c>
      <c r="V338" s="3"/>
      <c r="W338" s="3"/>
      <c r="X338" s="3"/>
      <c r="Y338" s="3"/>
      <c r="AA338" s="1369"/>
      <c r="AB338" s="1369"/>
      <c r="AC338" s="1369"/>
      <c r="AD338" s="1369"/>
      <c r="AE338" s="1369"/>
      <c r="AF338" s="1369"/>
      <c r="AG338" s="1369"/>
      <c r="AH338" s="1369"/>
      <c r="AI338" s="1369"/>
      <c r="AJ338" s="1369"/>
      <c r="AK338" s="1369"/>
    </row>
    <row r="339" spans="2:66" ht="12.9" customHeight="1">
      <c r="B339" s="3" t="s">
        <v>87</v>
      </c>
      <c r="C339" s="3"/>
      <c r="D339" s="3"/>
      <c r="E339" s="3"/>
      <c r="F339" s="3"/>
      <c r="H339" s="1368" t="s">
        <v>2709</v>
      </c>
      <c r="I339" s="1369"/>
      <c r="J339" s="1369"/>
      <c r="K339" s="1369"/>
      <c r="L339" s="1369"/>
      <c r="M339" s="1369"/>
      <c r="N339" s="1369"/>
      <c r="O339" s="1369"/>
      <c r="P339" s="1369"/>
      <c r="Q339" s="1369"/>
      <c r="R339" s="1369"/>
      <c r="T339" s="3" t="s">
        <v>87</v>
      </c>
      <c r="V339" s="3"/>
      <c r="W339" s="3"/>
      <c r="X339" s="3"/>
      <c r="Y339" s="3"/>
      <c r="AA339" s="1369"/>
      <c r="AB339" s="1369"/>
      <c r="AC339" s="1369"/>
      <c r="AD339" s="1369"/>
      <c r="AE339" s="1369"/>
      <c r="AF339" s="1369"/>
      <c r="AG339" s="1369"/>
      <c r="AH339" s="1369"/>
      <c r="AI339" s="1369"/>
      <c r="AJ339" s="1369"/>
      <c r="AK339" s="1369"/>
    </row>
    <row r="340" spans="2:66" ht="12.9" customHeight="1">
      <c r="B340" s="3" t="s">
        <v>88</v>
      </c>
      <c r="C340" s="3"/>
      <c r="D340" s="3"/>
      <c r="E340" s="3"/>
      <c r="F340" s="3"/>
      <c r="G340" s="3"/>
      <c r="H340" s="1565" t="s">
        <v>2707</v>
      </c>
      <c r="I340" s="1566"/>
      <c r="J340" s="1566"/>
      <c r="K340" s="1566"/>
      <c r="L340" s="1566"/>
      <c r="M340" s="1566"/>
      <c r="N340" s="4" t="s">
        <v>205</v>
      </c>
      <c r="O340" s="4"/>
      <c r="P340" s="1519"/>
      <c r="Q340" s="1519"/>
      <c r="R340" s="1519"/>
      <c r="S340" s="3"/>
      <c r="T340" s="3" t="s">
        <v>88</v>
      </c>
      <c r="V340" s="3"/>
      <c r="W340" s="3"/>
      <c r="X340" s="3"/>
      <c r="Y340" s="3"/>
      <c r="AA340" s="1566"/>
      <c r="AB340" s="1566"/>
      <c r="AC340" s="1566"/>
      <c r="AD340" s="1566"/>
      <c r="AE340" s="1566"/>
      <c r="AF340" s="1566"/>
      <c r="AG340" s="4" t="s">
        <v>205</v>
      </c>
      <c r="AH340" s="4"/>
      <c r="AI340" s="1519"/>
      <c r="AJ340" s="1519"/>
      <c r="AK340" s="1519"/>
    </row>
    <row r="341" spans="2:66" ht="12.9" customHeight="1">
      <c r="B341" s="3" t="s">
        <v>89</v>
      </c>
      <c r="C341" s="3"/>
      <c r="D341" s="3"/>
      <c r="E341" s="3"/>
      <c r="F341" s="3"/>
      <c r="G341" s="3"/>
      <c r="H341" s="1386"/>
      <c r="I341" s="1386"/>
      <c r="J341" s="1386"/>
      <c r="K341" s="1386"/>
      <c r="L341" s="1386"/>
      <c r="M341" s="1386"/>
      <c r="N341" s="4"/>
      <c r="O341" s="4"/>
      <c r="P341" s="35"/>
      <c r="Q341" s="35"/>
      <c r="R341" s="35"/>
      <c r="S341" s="3"/>
      <c r="T341" s="3" t="s">
        <v>89</v>
      </c>
      <c r="V341" s="3"/>
      <c r="W341" s="3"/>
      <c r="X341" s="3"/>
      <c r="Y341" s="3"/>
      <c r="AA341" s="1386"/>
      <c r="AB341" s="1386"/>
      <c r="AC341" s="1386"/>
      <c r="AD341" s="1386"/>
      <c r="AE341" s="1386"/>
      <c r="AF341" s="1386"/>
      <c r="AG341" s="4"/>
      <c r="AH341" s="4"/>
      <c r="AI341" s="35"/>
      <c r="AJ341" s="35"/>
      <c r="AK341" s="35"/>
    </row>
    <row r="342" spans="2:66" ht="12.9" customHeight="1">
      <c r="B342" s="3" t="s">
        <v>76</v>
      </c>
      <c r="C342" s="3"/>
      <c r="D342" s="3"/>
      <c r="E342" s="3"/>
      <c r="F342" s="3"/>
      <c r="G342" s="3"/>
      <c r="H342" s="1368" t="s">
        <v>2708</v>
      </c>
      <c r="I342" s="1369"/>
      <c r="J342" s="1369"/>
      <c r="K342" s="1369"/>
      <c r="L342" s="1369"/>
      <c r="M342" s="1369"/>
      <c r="N342" s="1427"/>
      <c r="O342" s="1427"/>
      <c r="P342" s="1427"/>
      <c r="Q342" s="1427"/>
      <c r="R342" s="1427"/>
      <c r="S342" s="3"/>
      <c r="T342" s="3" t="s">
        <v>76</v>
      </c>
      <c r="V342" s="3"/>
      <c r="W342" s="3"/>
      <c r="X342" s="3"/>
      <c r="Y342" s="3"/>
      <c r="AA342" s="1369"/>
      <c r="AB342" s="1369"/>
      <c r="AC342" s="1369"/>
      <c r="AD342" s="1369"/>
      <c r="AE342" s="1369"/>
      <c r="AF342" s="1369"/>
      <c r="AG342" s="1427"/>
      <c r="AH342" s="1427"/>
      <c r="AI342" s="1427"/>
      <c r="AJ342" s="1427"/>
      <c r="AK342" s="1427"/>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426" t="s">
        <v>2710</v>
      </c>
      <c r="I344" s="1427"/>
      <c r="J344" s="1427"/>
      <c r="K344" s="1427"/>
      <c r="L344" s="1427"/>
      <c r="M344" s="1427"/>
      <c r="N344" s="1427"/>
      <c r="O344" s="1427"/>
      <c r="P344" s="1427"/>
      <c r="Q344" s="1427"/>
      <c r="R344" s="1427"/>
      <c r="T344" s="204" t="s">
        <v>884</v>
      </c>
      <c r="V344" s="3"/>
      <c r="W344" s="3"/>
      <c r="X344" s="3"/>
      <c r="Y344" s="3"/>
      <c r="AA344" s="1427" t="s">
        <v>2650</v>
      </c>
      <c r="AB344" s="1427"/>
      <c r="AC344" s="1427"/>
      <c r="AD344" s="1427"/>
      <c r="AE344" s="1427"/>
      <c r="AF344" s="1427"/>
      <c r="AG344" s="1427"/>
      <c r="AH344" s="1427"/>
      <c r="AI344" s="1427"/>
      <c r="AJ344" s="1427"/>
      <c r="AK344" s="1427"/>
    </row>
    <row r="345" spans="2:66" ht="12.9" customHeight="1">
      <c r="B345" s="3" t="s">
        <v>470</v>
      </c>
      <c r="C345" s="3"/>
      <c r="D345" s="3"/>
      <c r="E345" s="3"/>
      <c r="F345" s="3"/>
      <c r="H345" s="1368" t="s">
        <v>2711</v>
      </c>
      <c r="I345" s="1369"/>
      <c r="J345" s="1369"/>
      <c r="K345" s="1369"/>
      <c r="L345" s="1369"/>
      <c r="M345" s="1369"/>
      <c r="N345" s="1369"/>
      <c r="O345" s="1369"/>
      <c r="P345" s="1369"/>
      <c r="Q345" s="1369"/>
      <c r="R345" s="1369"/>
      <c r="T345" s="3" t="s">
        <v>470</v>
      </c>
      <c r="V345" s="3"/>
      <c r="W345" s="3"/>
      <c r="X345" s="3"/>
      <c r="Y345" s="3"/>
      <c r="AA345" s="1368" t="s">
        <v>2712</v>
      </c>
      <c r="AB345" s="1369"/>
      <c r="AC345" s="1369"/>
      <c r="AD345" s="1369"/>
      <c r="AE345" s="1369"/>
      <c r="AF345" s="1369"/>
      <c r="AG345" s="1369"/>
      <c r="AH345" s="1369"/>
      <c r="AI345" s="1369"/>
      <c r="AJ345" s="1369"/>
      <c r="AK345" s="1369"/>
    </row>
    <row r="346" spans="2:66" ht="12.9" customHeight="1">
      <c r="B346" s="3" t="s">
        <v>75</v>
      </c>
      <c r="C346" s="3"/>
      <c r="D346" s="3"/>
      <c r="E346" s="3"/>
      <c r="F346" s="3"/>
      <c r="H346" s="1368" t="s">
        <v>2713</v>
      </c>
      <c r="I346" s="1369"/>
      <c r="J346" s="1369"/>
      <c r="K346" s="1369"/>
      <c r="L346" s="1369"/>
      <c r="M346" s="1369"/>
      <c r="N346" s="1369"/>
      <c r="O346" s="1369"/>
      <c r="P346" s="1369"/>
      <c r="Q346" s="1369"/>
      <c r="R346" s="1369"/>
      <c r="T346" s="3" t="s">
        <v>75</v>
      </c>
      <c r="V346" s="3"/>
      <c r="W346" s="3"/>
      <c r="X346" s="3"/>
      <c r="Y346" s="3"/>
      <c r="AA346" s="1368" t="s">
        <v>2714</v>
      </c>
      <c r="AB346" s="1369"/>
      <c r="AC346" s="1369"/>
      <c r="AD346" s="1369"/>
      <c r="AE346" s="1369"/>
      <c r="AF346" s="1369"/>
      <c r="AG346" s="1369"/>
      <c r="AH346" s="1369"/>
      <c r="AI346" s="1369"/>
      <c r="AJ346" s="1369"/>
      <c r="AK346" s="1369"/>
    </row>
    <row r="347" spans="2:66" ht="12.9" customHeight="1">
      <c r="B347" s="3" t="s">
        <v>87</v>
      </c>
      <c r="C347" s="3"/>
      <c r="D347" s="3"/>
      <c r="E347" s="3"/>
      <c r="F347" s="3"/>
      <c r="G347" s="3"/>
      <c r="H347" s="1368" t="s">
        <v>2715</v>
      </c>
      <c r="I347" s="1369"/>
      <c r="J347" s="1369"/>
      <c r="K347" s="1369"/>
      <c r="L347" s="1369"/>
      <c r="M347" s="1369"/>
      <c r="N347" s="1369"/>
      <c r="O347" s="1369"/>
      <c r="P347" s="1369"/>
      <c r="Q347" s="1369"/>
      <c r="R347" s="1369"/>
      <c r="T347" s="3" t="s">
        <v>87</v>
      </c>
      <c r="V347" s="3"/>
      <c r="W347" s="3"/>
      <c r="X347" s="3"/>
      <c r="Y347" s="3"/>
      <c r="AA347" s="1368" t="s">
        <v>2716</v>
      </c>
      <c r="AB347" s="1369"/>
      <c r="AC347" s="1369"/>
      <c r="AD347" s="1369"/>
      <c r="AE347" s="1369"/>
      <c r="AF347" s="1369"/>
      <c r="AG347" s="1369"/>
      <c r="AH347" s="1369"/>
      <c r="AI347" s="1369"/>
      <c r="AJ347" s="1369"/>
      <c r="AK347" s="1369"/>
    </row>
    <row r="348" spans="2:66" ht="12.9" customHeight="1">
      <c r="B348" s="3" t="s">
        <v>88</v>
      </c>
      <c r="C348" s="3"/>
      <c r="D348" s="3"/>
      <c r="E348" s="3"/>
      <c r="F348" s="3"/>
      <c r="G348" s="3"/>
      <c r="H348" s="1565" t="s">
        <v>2717</v>
      </c>
      <c r="I348" s="1566"/>
      <c r="J348" s="1566"/>
      <c r="K348" s="1566"/>
      <c r="L348" s="1566"/>
      <c r="M348" s="1566"/>
      <c r="N348" s="4" t="s">
        <v>205</v>
      </c>
      <c r="O348" s="4"/>
      <c r="P348" s="1519"/>
      <c r="Q348" s="1519"/>
      <c r="R348" s="1519"/>
      <c r="S348" s="3"/>
      <c r="T348" s="3" t="s">
        <v>88</v>
      </c>
      <c r="V348" s="3"/>
      <c r="W348" s="3"/>
      <c r="X348" s="3"/>
      <c r="Y348" s="3"/>
      <c r="AA348" s="1565" t="s">
        <v>2718</v>
      </c>
      <c r="AB348" s="1566"/>
      <c r="AC348" s="1566"/>
      <c r="AD348" s="1566"/>
      <c r="AE348" s="1566"/>
      <c r="AF348" s="1566"/>
      <c r="AG348" s="4" t="s">
        <v>205</v>
      </c>
      <c r="AH348" s="4"/>
      <c r="AI348" s="1519"/>
      <c r="AJ348" s="1519"/>
      <c r="AK348" s="1519"/>
    </row>
    <row r="349" spans="2:66" ht="12.9" customHeight="1">
      <c r="B349" s="3" t="s">
        <v>89</v>
      </c>
      <c r="C349" s="3"/>
      <c r="D349" s="3"/>
      <c r="E349" s="3"/>
      <c r="F349" s="3"/>
      <c r="G349" s="3"/>
      <c r="H349" s="1385" t="s">
        <v>2719</v>
      </c>
      <c r="I349" s="1386"/>
      <c r="J349" s="1386"/>
      <c r="K349" s="1386"/>
      <c r="L349" s="1386"/>
      <c r="M349" s="1386"/>
      <c r="N349" s="4"/>
      <c r="O349" s="4"/>
      <c r="P349" s="35"/>
      <c r="Q349" s="35"/>
      <c r="R349" s="35"/>
      <c r="S349" s="3"/>
      <c r="T349" s="3" t="s">
        <v>89</v>
      </c>
      <c r="V349" s="3"/>
      <c r="W349" s="3"/>
      <c r="X349" s="3"/>
      <c r="Y349" s="3"/>
      <c r="AA349" s="1385" t="s">
        <v>2720</v>
      </c>
      <c r="AB349" s="1386"/>
      <c r="AC349" s="1386"/>
      <c r="AD349" s="1386"/>
      <c r="AE349" s="1386"/>
      <c r="AF349" s="1386"/>
      <c r="AG349" s="4"/>
      <c r="AH349" s="4"/>
      <c r="AI349" s="35"/>
      <c r="AJ349" s="35"/>
      <c r="AK349" s="35"/>
    </row>
    <row r="350" spans="2:66" ht="12.9" customHeight="1">
      <c r="B350" s="3" t="s">
        <v>76</v>
      </c>
      <c r="C350" s="3"/>
      <c r="D350" s="3"/>
      <c r="E350" s="3"/>
      <c r="F350" s="3"/>
      <c r="G350" s="3"/>
      <c r="H350" s="1368" t="s">
        <v>2721</v>
      </c>
      <c r="I350" s="1369"/>
      <c r="J350" s="1369"/>
      <c r="K350" s="1369"/>
      <c r="L350" s="1369"/>
      <c r="M350" s="1369"/>
      <c r="N350" s="1427"/>
      <c r="O350" s="1427"/>
      <c r="P350" s="1427"/>
      <c r="Q350" s="1427"/>
      <c r="R350" s="1427"/>
      <c r="S350" s="3"/>
      <c r="T350" s="3" t="s">
        <v>76</v>
      </c>
      <c r="V350" s="3"/>
      <c r="W350" s="3"/>
      <c r="X350" s="3"/>
      <c r="Y350" s="3"/>
      <c r="AA350" s="1368" t="s">
        <v>2722</v>
      </c>
      <c r="AB350" s="1369"/>
      <c r="AC350" s="1369"/>
      <c r="AD350" s="1369"/>
      <c r="AE350" s="1369"/>
      <c r="AF350" s="1369"/>
      <c r="AG350" s="1427"/>
      <c r="AH350" s="1427"/>
      <c r="AI350" s="1427"/>
      <c r="AJ350" s="1427"/>
      <c r="AK350" s="1427"/>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885</v>
      </c>
      <c r="P352" s="1426" t="s">
        <v>2651</v>
      </c>
      <c r="Q352" s="1427"/>
      <c r="R352" s="1427"/>
      <c r="S352" s="1427"/>
      <c r="T352" s="1427"/>
      <c r="U352" s="1427"/>
      <c r="V352" s="1427"/>
      <c r="W352" s="1427"/>
      <c r="X352" s="1427"/>
      <c r="Y352" s="1427"/>
      <c r="Z352" s="1427"/>
      <c r="AA352" s="1427"/>
      <c r="AB352" s="1427"/>
      <c r="AC352" s="1427"/>
      <c r="AD352" s="1427"/>
      <c r="AE352" s="1427"/>
      <c r="BN352" t="s">
        <v>667</v>
      </c>
    </row>
    <row r="353" spans="1:66" ht="12.9" customHeight="1">
      <c r="B353" s="4"/>
      <c r="C353" s="4"/>
      <c r="D353" s="4"/>
      <c r="E353" s="4"/>
      <c r="F353" s="4"/>
      <c r="I353" s="4" t="s">
        <v>470</v>
      </c>
      <c r="P353" s="1369"/>
      <c r="Q353" s="1369"/>
      <c r="R353" s="1369"/>
      <c r="S353" s="1369"/>
      <c r="T353" s="1369"/>
      <c r="U353" s="1369"/>
      <c r="V353" s="1369"/>
      <c r="W353" s="1369"/>
      <c r="X353" s="1369"/>
      <c r="Y353" s="1369"/>
      <c r="Z353" s="1369"/>
      <c r="AA353" s="1369"/>
      <c r="AB353" s="1369"/>
      <c r="AC353" s="1369"/>
      <c r="AD353" s="1369"/>
      <c r="AE353" s="1369"/>
      <c r="BN353" t="s">
        <v>544</v>
      </c>
    </row>
    <row r="354" spans="1:66" ht="12.9" customHeight="1">
      <c r="B354" s="4"/>
      <c r="C354" s="4"/>
      <c r="D354" s="4"/>
      <c r="E354" s="4"/>
      <c r="F354" s="4"/>
      <c r="I354" s="4" t="s">
        <v>75</v>
      </c>
      <c r="P354" s="1369"/>
      <c r="Q354" s="1369"/>
      <c r="R354" s="1369"/>
      <c r="S354" s="1369"/>
      <c r="T354" s="1369"/>
      <c r="U354" s="1369"/>
      <c r="V354" s="1369"/>
      <c r="W354" s="1369"/>
      <c r="X354" s="1369"/>
      <c r="Y354" s="1369"/>
      <c r="Z354" s="1369"/>
      <c r="AA354" s="1369"/>
      <c r="AB354" s="1369"/>
      <c r="AC354" s="1369"/>
      <c r="AD354" s="1369"/>
      <c r="AE354" s="1369"/>
    </row>
    <row r="355" spans="1:66" ht="12.9" customHeight="1">
      <c r="B355" s="4"/>
      <c r="C355" s="4"/>
      <c r="D355" s="4"/>
      <c r="E355" s="4"/>
      <c r="F355" s="4"/>
      <c r="G355" s="4"/>
      <c r="I355" s="4" t="s">
        <v>87</v>
      </c>
      <c r="P355" s="1369"/>
      <c r="Q355" s="1369"/>
      <c r="R355" s="1369"/>
      <c r="S355" s="1369"/>
      <c r="T355" s="1369"/>
      <c r="U355" s="1369"/>
      <c r="V355" s="1369"/>
      <c r="W355" s="1369"/>
      <c r="X355" s="1369"/>
      <c r="Y355" s="1369"/>
      <c r="Z355" s="1369"/>
      <c r="AA355" s="1369"/>
      <c r="AB355" s="1369"/>
      <c r="AC355" s="1369"/>
      <c r="AD355" s="1369"/>
      <c r="AE355" s="1369"/>
    </row>
    <row r="356" spans="1:66" ht="12.9" customHeight="1">
      <c r="B356" s="4"/>
      <c r="C356" s="4"/>
      <c r="D356" s="4"/>
      <c r="E356" s="4"/>
      <c r="F356" s="4"/>
      <c r="G356" s="4"/>
      <c r="H356" s="302"/>
      <c r="I356" s="4" t="s">
        <v>88</v>
      </c>
      <c r="P356" s="1386"/>
      <c r="Q356" s="1386"/>
      <c r="R356" s="1386"/>
      <c r="S356" s="1386"/>
      <c r="T356" s="1386"/>
      <c r="U356" s="1386"/>
      <c r="V356" s="1386"/>
      <c r="W356" s="1386"/>
      <c r="X356" s="1386"/>
      <c r="Y356" s="1386"/>
      <c r="Z356" s="1386"/>
      <c r="AA356" s="4" t="s">
        <v>205</v>
      </c>
      <c r="AB356" s="4"/>
      <c r="AC356" s="1370"/>
      <c r="AD356" s="1370"/>
      <c r="AE356" s="1370"/>
      <c r="AF356" s="302"/>
      <c r="AG356" s="4"/>
      <c r="AH356" s="4"/>
      <c r="AI356" s="4"/>
      <c r="AJ356" s="4"/>
      <c r="AK356" s="4"/>
    </row>
    <row r="357" spans="1:66" ht="12.9" customHeight="1">
      <c r="B357" s="4"/>
      <c r="C357" s="4"/>
      <c r="D357" s="4"/>
      <c r="E357" s="4"/>
      <c r="F357" s="4"/>
      <c r="G357" s="4"/>
      <c r="H357" s="302"/>
      <c r="I357" s="4" t="s">
        <v>89</v>
      </c>
      <c r="P357" s="1386"/>
      <c r="Q357" s="1386"/>
      <c r="R357" s="1386"/>
      <c r="S357" s="1386"/>
      <c r="T357" s="1386"/>
      <c r="U357" s="1386"/>
      <c r="V357" s="1386"/>
      <c r="W357" s="1386"/>
      <c r="X357" s="1386"/>
      <c r="Y357" s="1386"/>
      <c r="Z357" s="1386"/>
      <c r="AF357" s="302"/>
      <c r="AG357" s="4"/>
      <c r="AH357" s="4"/>
      <c r="AI357" s="35"/>
      <c r="AJ357" s="35"/>
      <c r="AK357" s="35"/>
    </row>
    <row r="358" spans="1:66" ht="12.9" customHeight="1">
      <c r="B358" s="4"/>
      <c r="C358" s="4"/>
      <c r="D358" s="4"/>
      <c r="E358" s="4"/>
      <c r="F358" s="4"/>
      <c r="G358" s="4"/>
      <c r="I358" s="4" t="s">
        <v>76</v>
      </c>
      <c r="P358" s="1427"/>
      <c r="Q358" s="1427"/>
      <c r="R358" s="1427"/>
      <c r="S358" s="1427"/>
      <c r="T358" s="1427"/>
      <c r="U358" s="1427"/>
      <c r="V358" s="1427"/>
      <c r="W358" s="1427"/>
      <c r="X358" s="1427"/>
      <c r="Y358" s="1427"/>
      <c r="Z358" s="1427"/>
      <c r="AA358" s="1427"/>
      <c r="AB358" s="1427"/>
      <c r="AC358" s="1427"/>
      <c r="AD358" s="1427"/>
      <c r="AE358" s="1427"/>
    </row>
    <row r="359" spans="1:66" ht="12.9" customHeight="1">
      <c r="T359" s="8"/>
      <c r="U359" s="8"/>
      <c r="V359" s="8"/>
      <c r="W359" s="8"/>
      <c r="X359" s="8"/>
      <c r="Y359" s="8"/>
      <c r="Z359" s="8"/>
      <c r="AU359" s="95"/>
      <c r="AV359" s="95"/>
      <c r="AW359" s="95"/>
      <c r="AX359" s="95"/>
      <c r="AY359" s="95"/>
    </row>
    <row r="360" spans="1:66" ht="12.9" customHeight="1">
      <c r="A360" s="1534" t="s">
        <v>541</v>
      </c>
      <c r="B360" s="1534"/>
      <c r="C360" s="1534"/>
      <c r="D360" s="1534"/>
      <c r="E360" s="1534"/>
      <c r="F360" s="1534"/>
      <c r="G360" s="1534"/>
      <c r="H360" s="1534"/>
      <c r="I360" s="1534"/>
      <c r="J360" s="1534"/>
      <c r="K360" s="1534"/>
      <c r="L360" s="1534"/>
      <c r="M360" s="1534"/>
      <c r="N360" s="1534"/>
      <c r="O360" s="1534"/>
      <c r="P360" s="1534"/>
      <c r="Q360" s="1534"/>
      <c r="R360" s="1534"/>
      <c r="S360" s="1534"/>
      <c r="T360" s="1534"/>
      <c r="U360" s="1534"/>
      <c r="V360" s="1534"/>
      <c r="W360" s="1534"/>
      <c r="X360" s="1534"/>
      <c r="Y360" s="1534"/>
      <c r="Z360" s="1534"/>
      <c r="AA360" s="1534"/>
      <c r="AB360" s="1534"/>
      <c r="AC360" s="1534"/>
      <c r="AD360" s="1534"/>
      <c r="AE360" s="1534"/>
      <c r="AF360" s="1534"/>
      <c r="AG360" s="1534"/>
      <c r="AH360" s="1534"/>
      <c r="AI360" s="1534"/>
      <c r="AJ360" s="1534"/>
      <c r="AK360" s="1534"/>
      <c r="AL360" s="1534"/>
      <c r="AM360" s="1534"/>
      <c r="AN360" s="1534"/>
      <c r="AO360" s="1534"/>
      <c r="AP360" s="1534"/>
      <c r="AQ360" s="1534"/>
      <c r="AR360" s="1534"/>
      <c r="AS360" s="1534"/>
      <c r="AT360" s="1534"/>
      <c r="AU360" s="95"/>
      <c r="AV360" s="95"/>
      <c r="AW360" s="95"/>
      <c r="AX360" s="95"/>
      <c r="AY360" s="95"/>
    </row>
    <row r="361" spans="1:66" ht="12.9" customHeight="1">
      <c r="A361" s="1534"/>
      <c r="B361" s="1534"/>
      <c r="C361" s="1534"/>
      <c r="D361" s="1534"/>
      <c r="E361" s="1534"/>
      <c r="F361" s="1534"/>
      <c r="G361" s="1534"/>
      <c r="H361" s="1534"/>
      <c r="I361" s="1534"/>
      <c r="J361" s="1534"/>
      <c r="K361" s="1534"/>
      <c r="L361" s="1534"/>
      <c r="M361" s="1534"/>
      <c r="N361" s="1534"/>
      <c r="O361" s="1534"/>
      <c r="P361" s="1534"/>
      <c r="Q361" s="1534"/>
      <c r="R361" s="1534"/>
      <c r="S361" s="1534"/>
      <c r="T361" s="1534"/>
      <c r="U361" s="1534"/>
      <c r="V361" s="1534"/>
      <c r="W361" s="1534"/>
      <c r="X361" s="1534"/>
      <c r="Y361" s="1534"/>
      <c r="Z361" s="1534"/>
      <c r="AA361" s="1534"/>
      <c r="AB361" s="1534"/>
      <c r="AC361" s="1534"/>
      <c r="AD361" s="1534"/>
      <c r="AE361" s="1534"/>
      <c r="AF361" s="1534"/>
      <c r="AG361" s="1534"/>
      <c r="AH361" s="1534"/>
      <c r="AI361" s="1534"/>
      <c r="AJ361" s="1534"/>
      <c r="AK361" s="1534"/>
      <c r="AL361" s="1534"/>
      <c r="AM361" s="1534"/>
      <c r="AN361" s="1534"/>
      <c r="AO361" s="1534"/>
      <c r="AP361" s="1534"/>
      <c r="AQ361" s="1534"/>
      <c r="AR361" s="1534"/>
      <c r="AS361" s="1534"/>
      <c r="AT361" s="1534"/>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780</v>
      </c>
    </row>
    <row r="364" spans="1:66" ht="12.9" customHeight="1">
      <c r="D364" s="3" t="s">
        <v>2053</v>
      </c>
      <c r="M364" s="1381" t="s">
        <v>544</v>
      </c>
      <c r="N364" s="1381"/>
      <c r="P364" t="s">
        <v>1637</v>
      </c>
      <c r="AJ364" s="1381" t="s">
        <v>667</v>
      </c>
      <c r="AK364" s="1381"/>
    </row>
    <row r="365" spans="1:66" ht="12.9" customHeight="1">
      <c r="D365" s="3" t="s">
        <v>1626</v>
      </c>
      <c r="M365" s="1381" t="s">
        <v>590</v>
      </c>
      <c r="N365" s="1381"/>
      <c r="P365" s="3" t="s">
        <v>1706</v>
      </c>
      <c r="AJ365" s="1479"/>
      <c r="AK365" s="1479"/>
    </row>
    <row r="366" spans="1:66" ht="12.9" customHeight="1">
      <c r="D366" s="3" t="s">
        <v>702</v>
      </c>
      <c r="M366" s="1381" t="s">
        <v>590</v>
      </c>
      <c r="N366" s="1381"/>
      <c r="P366" t="s">
        <v>1636</v>
      </c>
      <c r="AJ366" s="1381" t="s">
        <v>590</v>
      </c>
      <c r="AK366" s="1381"/>
    </row>
    <row r="367" spans="1:66" ht="12.9" customHeight="1">
      <c r="D367" s="3" t="s">
        <v>703</v>
      </c>
      <c r="M367" s="1381" t="s">
        <v>590</v>
      </c>
      <c r="N367" s="1381"/>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381" t="s">
        <v>590</v>
      </c>
      <c r="O372" s="1381"/>
      <c r="P372" s="40"/>
      <c r="Q372" s="40"/>
      <c r="R372" s="40"/>
      <c r="S372" s="40"/>
      <c r="T372" s="40"/>
      <c r="U372" s="40"/>
      <c r="V372" s="40"/>
      <c r="W372" s="40"/>
      <c r="X372" s="40"/>
      <c r="Y372" s="40"/>
      <c r="Z372" s="40"/>
      <c r="AC372" s="40"/>
      <c r="AD372" s="40"/>
      <c r="AE372" s="40"/>
    </row>
    <row r="373" spans="1:34" ht="12.9" customHeight="1">
      <c r="E373" t="s">
        <v>369</v>
      </c>
      <c r="Y373" s="1381" t="s">
        <v>590</v>
      </c>
      <c r="Z373" s="1381"/>
    </row>
    <row r="374" spans="1:34" ht="12.9" customHeight="1">
      <c r="D374" s="4" t="s">
        <v>976</v>
      </c>
      <c r="Q374" s="1427"/>
      <c r="R374" s="1427"/>
      <c r="S374" s="1427"/>
      <c r="T374" s="1427"/>
      <c r="U374" s="1427"/>
      <c r="V374" s="1427"/>
      <c r="W374" s="1427"/>
      <c r="X374" s="1427"/>
      <c r="Y374" s="1427"/>
      <c r="Z374" s="1427"/>
      <c r="AA374" s="1427"/>
      <c r="AB374" s="1427"/>
      <c r="AC374" s="1427"/>
      <c r="AD374" s="1427"/>
      <c r="AE374" s="1427"/>
      <c r="AF374" s="1427"/>
      <c r="AG374" s="1427"/>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381" t="s">
        <v>590</v>
      </c>
      <c r="K376" s="1381"/>
      <c r="L376" s="40"/>
      <c r="M376" s="40"/>
      <c r="N376" s="40"/>
      <c r="O376" s="40"/>
      <c r="P376" s="40"/>
      <c r="Q376" s="40"/>
      <c r="R376" s="40"/>
      <c r="S376" s="40"/>
      <c r="T376" s="40"/>
      <c r="U376" s="40"/>
      <c r="V376" s="40"/>
      <c r="W376" s="40"/>
      <c r="X376" s="40"/>
      <c r="Y376" s="40"/>
      <c r="Z376" s="40"/>
      <c r="AC376" s="40"/>
      <c r="AD376" s="40"/>
      <c r="AE376" s="40"/>
    </row>
    <row r="377" spans="1:34" ht="12.9" customHeight="1">
      <c r="E377" s="1542" t="s">
        <v>704</v>
      </c>
      <c r="F377" s="1542"/>
      <c r="G377" s="1542"/>
      <c r="H377" s="1542"/>
      <c r="I377" s="1542"/>
      <c r="J377" s="1542"/>
      <c r="K377" s="1542"/>
      <c r="L377" s="1542"/>
      <c r="M377" s="1542"/>
      <c r="N377" s="1542"/>
      <c r="O377" s="1542"/>
      <c r="P377" s="1542"/>
      <c r="Q377" s="1542"/>
      <c r="R377" s="1542"/>
      <c r="S377" s="1542"/>
      <c r="T377" s="1542"/>
      <c r="U377" s="1542"/>
      <c r="V377" s="1542"/>
      <c r="W377" s="1542"/>
      <c r="X377" s="1542"/>
      <c r="Y377" s="1542"/>
      <c r="Z377" s="1542"/>
      <c r="AA377" s="1542"/>
      <c r="AB377" s="1542"/>
      <c r="AC377" s="1542"/>
      <c r="AD377" s="1542"/>
      <c r="AE377" s="1542"/>
      <c r="AF377" s="1542"/>
      <c r="AG377" s="1542"/>
      <c r="AH377" s="1542"/>
    </row>
    <row r="378" spans="1:34" ht="12.9" customHeight="1">
      <c r="E378" s="1542"/>
      <c r="F378" s="1542"/>
      <c r="G378" s="1542"/>
      <c r="H378" s="1542"/>
      <c r="I378" s="1542"/>
      <c r="J378" s="1542"/>
      <c r="K378" s="1542"/>
      <c r="L378" s="1542"/>
      <c r="M378" s="1542"/>
      <c r="N378" s="1542"/>
      <c r="O378" s="1542"/>
      <c r="P378" s="1542"/>
      <c r="Q378" s="1542"/>
      <c r="R378" s="1542"/>
      <c r="S378" s="1542"/>
      <c r="T378" s="1542"/>
      <c r="U378" s="1542"/>
      <c r="V378" s="1542"/>
      <c r="W378" s="1542"/>
      <c r="X378" s="1542"/>
      <c r="Y378" s="1542"/>
      <c r="Z378" s="1542"/>
      <c r="AA378" s="1542"/>
      <c r="AB378" s="1542"/>
      <c r="AC378" s="1542"/>
      <c r="AD378" s="1542"/>
      <c r="AE378" s="1542"/>
      <c r="AF378" s="1542"/>
      <c r="AG378" s="1542"/>
      <c r="AH378" s="1542"/>
    </row>
    <row r="379" spans="1:34" ht="12.9" customHeight="1">
      <c r="E379" s="4" t="s">
        <v>447</v>
      </c>
      <c r="F379" s="4"/>
      <c r="G379" s="4"/>
      <c r="H379" s="4"/>
      <c r="I379" s="4"/>
      <c r="J379" s="4"/>
      <c r="K379" s="4"/>
      <c r="L379" s="4"/>
      <c r="N379" s="1392"/>
      <c r="O379" s="1392"/>
      <c r="P379" s="1392"/>
      <c r="Q379" s="1392"/>
      <c r="R379" s="4"/>
      <c r="U379" s="4" t="s">
        <v>448</v>
      </c>
      <c r="V379" s="4"/>
      <c r="W379" s="4"/>
      <c r="X379" s="4"/>
      <c r="Y379" s="4"/>
      <c r="Z379" s="4"/>
      <c r="AA379" s="4"/>
      <c r="AB379" s="4"/>
      <c r="AC379" s="1392"/>
      <c r="AD379" s="1392"/>
      <c r="AE379" s="1392"/>
      <c r="AF379" s="1392"/>
    </row>
    <row r="380" spans="1:34" ht="12.9" customHeight="1">
      <c r="E380" s="4" t="s">
        <v>449</v>
      </c>
      <c r="F380" s="4"/>
      <c r="G380" s="4"/>
      <c r="H380" s="4"/>
      <c r="I380" s="4"/>
      <c r="J380" s="4"/>
      <c r="K380" s="4"/>
      <c r="L380" s="4"/>
      <c r="N380" s="1392"/>
      <c r="O380" s="1392"/>
      <c r="P380" s="1392"/>
      <c r="Q380" s="1392"/>
      <c r="R380" s="4"/>
      <c r="U380" s="4" t="s">
        <v>0</v>
      </c>
      <c r="V380" s="4"/>
      <c r="W380" s="4"/>
      <c r="X380" s="4"/>
      <c r="Y380" s="4"/>
      <c r="Z380" s="4"/>
      <c r="AA380" s="4"/>
      <c r="AB380" s="4"/>
      <c r="AC380" s="1392"/>
      <c r="AD380" s="1392"/>
      <c r="AE380" s="1392"/>
      <c r="AF380" s="1392"/>
    </row>
    <row r="381" spans="1:34" ht="12.9" customHeight="1">
      <c r="E381" s="4" t="s">
        <v>1</v>
      </c>
      <c r="F381" s="4"/>
      <c r="G381" s="4"/>
      <c r="H381" s="4"/>
      <c r="I381" s="4"/>
      <c r="J381" s="4"/>
      <c r="K381" s="4"/>
      <c r="L381" s="4"/>
      <c r="N381" s="1392"/>
      <c r="O381" s="1392"/>
      <c r="P381" s="1392"/>
      <c r="Q381" s="1392"/>
      <c r="R381" s="4"/>
      <c r="V381" s="4"/>
      <c r="W381" s="4"/>
      <c r="X381" s="4"/>
      <c r="Y381" s="4"/>
      <c r="Z381" s="4"/>
      <c r="AA381" s="4"/>
      <c r="AB381" s="4"/>
    </row>
    <row r="382" spans="1:34" ht="12.9" customHeight="1">
      <c r="E382" s="4" t="s">
        <v>2</v>
      </c>
      <c r="F382" s="4"/>
      <c r="G382" s="4"/>
      <c r="H382" s="4"/>
      <c r="I382" s="4"/>
      <c r="J382" s="4"/>
      <c r="K382" s="4"/>
      <c r="L382" s="4"/>
      <c r="N382" s="1521"/>
      <c r="O382" s="1521"/>
      <c r="P382" s="1521"/>
      <c r="Q382" s="1521"/>
      <c r="R382" s="1521"/>
      <c r="S382" s="1521"/>
      <c r="T382" s="1521"/>
      <c r="U382" s="1521"/>
      <c r="V382" s="1521"/>
      <c r="W382" s="1521"/>
      <c r="X382" s="1521"/>
      <c r="Y382" s="1521"/>
      <c r="Z382" s="1521"/>
      <c r="AA382" s="1521"/>
      <c r="AB382" s="1521"/>
      <c r="AC382" s="1521"/>
      <c r="AD382" s="1521"/>
      <c r="AE382" s="1521"/>
      <c r="AF382" s="1521"/>
    </row>
    <row r="383" spans="1:34" ht="12.9" customHeight="1">
      <c r="E383" s="4"/>
      <c r="F383" s="4"/>
      <c r="G383" s="4"/>
      <c r="H383" s="4"/>
      <c r="I383" s="4"/>
      <c r="J383" s="4"/>
      <c r="K383" s="4"/>
      <c r="L383" s="4"/>
      <c r="N383" s="1522"/>
      <c r="O383" s="1522"/>
      <c r="P383" s="1522"/>
      <c r="Q383" s="1522"/>
      <c r="R383" s="1522"/>
      <c r="S383" s="1522"/>
      <c r="T383" s="1522"/>
      <c r="U383" s="1522"/>
      <c r="V383" s="1522"/>
      <c r="W383" s="1522"/>
      <c r="X383" s="1522"/>
      <c r="Y383" s="1522"/>
      <c r="Z383" s="1522"/>
      <c r="AA383" s="1522"/>
      <c r="AB383" s="1522"/>
      <c r="AC383" s="1522"/>
      <c r="AD383" s="1522"/>
      <c r="AE383" s="1522"/>
      <c r="AF383" s="1522"/>
    </row>
    <row r="384" spans="1:34" ht="12.9" customHeight="1">
      <c r="C384" s="512"/>
      <c r="E384" s="4"/>
      <c r="F384" s="4"/>
      <c r="G384" s="4"/>
      <c r="H384" s="4"/>
      <c r="I384" s="4"/>
      <c r="J384" s="4"/>
      <c r="K384" s="4"/>
      <c r="L384" s="4"/>
    </row>
    <row r="385" spans="1:36" ht="12.9" customHeight="1">
      <c r="D385" s="2" t="s">
        <v>973</v>
      </c>
      <c r="E385" s="2"/>
      <c r="F385" s="4"/>
      <c r="G385" s="4"/>
      <c r="H385" s="4"/>
      <c r="I385" s="4"/>
      <c r="J385" s="4"/>
      <c r="K385" s="4"/>
      <c r="L385" s="4"/>
    </row>
    <row r="386" spans="1:36" ht="12.9" customHeight="1">
      <c r="E386" s="4" t="s">
        <v>2039</v>
      </c>
      <c r="F386" s="4"/>
      <c r="G386" s="4"/>
      <c r="H386" s="4"/>
      <c r="I386" s="4"/>
      <c r="J386" s="4"/>
      <c r="K386" s="4"/>
      <c r="L386" s="4"/>
      <c r="N386" t="s">
        <v>2035</v>
      </c>
      <c r="R386" s="27" t="s">
        <v>304</v>
      </c>
      <c r="S386" s="1511"/>
      <c r="T386" s="1511"/>
      <c r="U386" s="1" t="s">
        <v>305</v>
      </c>
      <c r="V386" s="1511"/>
      <c r="W386" s="1511"/>
      <c r="Y386" t="s">
        <v>2035</v>
      </c>
      <c r="AC386" s="27" t="s">
        <v>304</v>
      </c>
      <c r="AD386" s="1511"/>
      <c r="AE386" s="1511"/>
      <c r="AF386" s="1" t="s">
        <v>305</v>
      </c>
      <c r="AG386" s="1511"/>
      <c r="AH386" s="1511"/>
    </row>
    <row r="387" spans="1:36" ht="12.9" customHeight="1">
      <c r="E387" s="4" t="s">
        <v>985</v>
      </c>
      <c r="F387" s="4"/>
      <c r="G387" s="4"/>
      <c r="H387" s="4"/>
      <c r="I387" s="4"/>
      <c r="J387" s="4"/>
      <c r="K387" s="4"/>
      <c r="L387" s="4"/>
      <c r="N387" s="1511"/>
      <c r="O387" s="1511"/>
      <c r="P387" s="1511"/>
    </row>
    <row r="388" spans="1:36" ht="12.9" customHeight="1">
      <c r="E388" s="204" t="s">
        <v>2040</v>
      </c>
      <c r="F388" s="4"/>
      <c r="G388" s="4"/>
      <c r="H388" s="4"/>
      <c r="I388" s="4"/>
      <c r="J388" s="4"/>
      <c r="K388" s="4"/>
      <c r="L388" s="4"/>
      <c r="AG388" s="1451" t="s">
        <v>590</v>
      </c>
      <c r="AH388" s="1451"/>
    </row>
    <row r="389" spans="1:36" ht="12.9" customHeight="1">
      <c r="E389" s="4"/>
      <c r="F389" s="4"/>
      <c r="G389" s="4" t="s">
        <v>2041</v>
      </c>
      <c r="H389" s="4"/>
      <c r="I389" s="4"/>
      <c r="J389" s="4"/>
      <c r="K389" s="4"/>
      <c r="L389" s="4"/>
      <c r="AG389" s="1451" t="s">
        <v>590</v>
      </c>
      <c r="AH389" s="1451"/>
    </row>
    <row r="390" spans="1:36" ht="12.9" customHeight="1">
      <c r="E390" s="4"/>
      <c r="F390" s="4"/>
      <c r="G390" s="320" t="s">
        <v>986</v>
      </c>
      <c r="H390" s="4"/>
      <c r="I390" s="4"/>
      <c r="J390" s="4"/>
      <c r="K390" s="4"/>
      <c r="L390" s="4"/>
      <c r="V390" s="1381" t="s">
        <v>590</v>
      </c>
      <c r="W390" s="1381"/>
      <c r="Y390" s="22" t="s">
        <v>978</v>
      </c>
    </row>
    <row r="391" spans="1:36" ht="12.9" customHeight="1">
      <c r="E391" s="4" t="s">
        <v>979</v>
      </c>
      <c r="F391" s="4"/>
      <c r="G391" s="4"/>
      <c r="H391" s="4"/>
      <c r="I391" s="4"/>
      <c r="J391" s="4"/>
      <c r="K391" s="4"/>
      <c r="L391" s="4"/>
      <c r="V391" s="1381" t="s">
        <v>590</v>
      </c>
      <c r="W391" s="1381"/>
      <c r="Y391" s="4" t="s">
        <v>980</v>
      </c>
    </row>
    <row r="392" spans="1:36" ht="12.9" customHeight="1"/>
    <row r="393" spans="1:36" ht="12.9" customHeight="1">
      <c r="A393" s="2" t="s">
        <v>78</v>
      </c>
      <c r="B393" s="2"/>
    </row>
    <row r="394" spans="1:36" ht="12.9" customHeight="1">
      <c r="D394" t="s">
        <v>427</v>
      </c>
      <c r="J394" s="1427" t="s">
        <v>2749</v>
      </c>
      <c r="K394" s="1427"/>
      <c r="L394" s="1427"/>
      <c r="M394" s="1427"/>
      <c r="N394" s="1427"/>
      <c r="O394" s="1427"/>
      <c r="P394" s="1427"/>
      <c r="Q394" s="1427"/>
      <c r="R394" s="1427"/>
      <c r="S394" s="1427"/>
      <c r="T394" s="1427"/>
      <c r="U394" s="1427"/>
      <c r="V394" s="8" t="s">
        <v>83</v>
      </c>
      <c r="W394" s="8"/>
      <c r="X394" s="8"/>
      <c r="Y394" s="8"/>
      <c r="Z394" s="8"/>
      <c r="AA394" s="8"/>
      <c r="AB394" s="8"/>
      <c r="AC394" s="1427" t="s">
        <v>2750</v>
      </c>
      <c r="AD394" s="1427"/>
      <c r="AE394" s="1427"/>
      <c r="AF394" s="1427"/>
      <c r="AG394" s="1427"/>
      <c r="AH394" s="1427"/>
      <c r="AI394" s="1427"/>
      <c r="AJ394" s="1427"/>
    </row>
    <row r="395" spans="1:36" ht="12.9" customHeight="1">
      <c r="D395" s="3" t="s">
        <v>1180</v>
      </c>
      <c r="J395" s="1369" t="s">
        <v>2759</v>
      </c>
      <c r="K395" s="1369"/>
      <c r="L395" s="1369"/>
      <c r="M395" s="1369"/>
      <c r="N395" s="1369"/>
      <c r="O395" s="1369"/>
      <c r="P395" s="1369"/>
      <c r="Q395" s="1369"/>
      <c r="R395" s="1369"/>
      <c r="S395" s="1369"/>
      <c r="T395" s="1369"/>
      <c r="U395" s="1369"/>
      <c r="V395" s="3" t="s">
        <v>1180</v>
      </c>
      <c r="W395" s="8"/>
      <c r="X395" s="8"/>
      <c r="Y395" s="8"/>
      <c r="Z395" s="8"/>
      <c r="AA395" s="8"/>
      <c r="AB395" s="8"/>
      <c r="AC395" s="1427"/>
      <c r="AD395" s="1427"/>
      <c r="AE395" s="1427"/>
      <c r="AF395" s="1427"/>
      <c r="AG395" s="1427"/>
      <c r="AH395" s="1427"/>
      <c r="AI395" s="1427"/>
      <c r="AJ395" s="1427"/>
    </row>
    <row r="396" spans="1:36" ht="12.9" customHeight="1">
      <c r="D396" s="3" t="s">
        <v>440</v>
      </c>
      <c r="J396" s="1369" t="s">
        <v>2760</v>
      </c>
      <c r="K396" s="1369"/>
      <c r="L396" s="1369"/>
      <c r="M396" s="1369"/>
      <c r="N396" s="1369"/>
      <c r="O396" s="1369"/>
      <c r="P396" s="1369"/>
      <c r="Q396" s="1369"/>
      <c r="R396" s="1369"/>
      <c r="S396" s="1369"/>
      <c r="T396" s="1369"/>
      <c r="U396" s="1369"/>
      <c r="V396" s="3" t="s">
        <v>440</v>
      </c>
      <c r="W396" s="8"/>
      <c r="X396" s="8"/>
      <c r="Y396" s="8"/>
      <c r="Z396" s="8"/>
      <c r="AA396" s="8"/>
      <c r="AB396" s="8"/>
      <c r="AC396" s="1427"/>
      <c r="AD396" s="1427"/>
      <c r="AE396" s="1427"/>
      <c r="AF396" s="1427"/>
      <c r="AG396" s="1427"/>
      <c r="AH396" s="1427"/>
      <c r="AI396" s="1427"/>
      <c r="AJ396" s="1427"/>
    </row>
    <row r="397" spans="1:36" ht="12.9" customHeight="1">
      <c r="D397" t="s">
        <v>1176</v>
      </c>
      <c r="J397" s="1394" t="s">
        <v>2761</v>
      </c>
      <c r="K397" s="1394"/>
      <c r="L397" s="1394"/>
      <c r="M397" s="1394"/>
      <c r="N397" s="1394"/>
      <c r="O397" s="1394"/>
      <c r="P397" s="1394"/>
      <c r="Q397" s="1394"/>
      <c r="R397" s="1394"/>
      <c r="S397" s="1394"/>
      <c r="T397" s="1394"/>
      <c r="U397" s="1394"/>
      <c r="V397" s="1427" t="s">
        <v>2762</v>
      </c>
      <c r="W397" s="1427"/>
      <c r="X397" s="1427"/>
      <c r="Y397" s="1427"/>
      <c r="Z397" s="1427"/>
      <c r="AA397" s="1427"/>
      <c r="AB397" s="1427"/>
      <c r="AC397" s="1427"/>
      <c r="AD397" s="1427"/>
      <c r="AE397" s="1427"/>
      <c r="AF397" s="1427"/>
      <c r="AG397" s="1427"/>
      <c r="AH397" s="1427"/>
      <c r="AI397" s="1427"/>
      <c r="AJ397" s="1427"/>
    </row>
    <row r="398" spans="1:36" ht="12.9" customHeight="1">
      <c r="D398" t="s">
        <v>4</v>
      </c>
      <c r="Q398" s="1518">
        <v>37357</v>
      </c>
      <c r="R398" s="1518"/>
      <c r="S398" s="1518"/>
      <c r="T398" s="1518"/>
      <c r="U398" s="1518"/>
      <c r="V398" t="s">
        <v>308</v>
      </c>
      <c r="AI398" s="1381" t="s">
        <v>667</v>
      </c>
      <c r="AJ398" s="1381"/>
    </row>
    <row r="399" spans="1:36" ht="12.9" customHeight="1">
      <c r="D399" t="s">
        <v>5</v>
      </c>
      <c r="Q399" s="1508">
        <v>46203</v>
      </c>
      <c r="R399" s="1509"/>
      <c r="S399" s="1509"/>
      <c r="T399" s="1509"/>
      <c r="U399" s="1509"/>
      <c r="W399" s="21" t="s">
        <v>74</v>
      </c>
      <c r="AG399" s="1453"/>
      <c r="AH399" s="1453"/>
      <c r="AI399" s="1453"/>
      <c r="AJ399" s="1453"/>
    </row>
    <row r="400" spans="1:36" ht="12.9" customHeight="1">
      <c r="D400" t="s">
        <v>426</v>
      </c>
      <c r="Q400" s="1454" t="s">
        <v>590</v>
      </c>
      <c r="R400" s="1455"/>
      <c r="S400" s="1455"/>
      <c r="T400" s="1455"/>
      <c r="U400" s="1455"/>
      <c r="V400" s="3" t="s">
        <v>1179</v>
      </c>
      <c r="AG400" s="1583">
        <v>46197</v>
      </c>
      <c r="AH400" s="1583"/>
      <c r="AI400" s="1583"/>
      <c r="AJ400" s="1583"/>
    </row>
    <row r="401" spans="4:36" ht="12.9" customHeight="1">
      <c r="D401" t="s">
        <v>88</v>
      </c>
      <c r="I401" s="1565" t="s">
        <v>2753</v>
      </c>
      <c r="J401" s="1566"/>
      <c r="K401" s="1566"/>
      <c r="L401" s="1566"/>
      <c r="M401" s="1566"/>
      <c r="N401" s="1566"/>
      <c r="Q401" s="4" t="s">
        <v>205</v>
      </c>
      <c r="S401" s="1452"/>
      <c r="T401" s="1452"/>
      <c r="U401" s="1452"/>
      <c r="V401" t="s">
        <v>73</v>
      </c>
      <c r="AI401" s="1381" t="s">
        <v>667</v>
      </c>
      <c r="AJ401" s="1381"/>
    </row>
    <row r="402" spans="4:36" ht="12.9" customHeight="1">
      <c r="D402" t="s">
        <v>309</v>
      </c>
      <c r="Q402" s="1520">
        <v>1.0000000000000001E-5</v>
      </c>
      <c r="R402" s="1520"/>
      <c r="S402" s="1520"/>
      <c r="T402" s="1520"/>
      <c r="U402" s="1520"/>
      <c r="V402" t="s">
        <v>310</v>
      </c>
      <c r="AG402" s="1453">
        <v>9.9999999999999995E-7</v>
      </c>
      <c r="AH402" s="1453"/>
      <c r="AI402" s="1453"/>
      <c r="AJ402" s="1453"/>
    </row>
    <row r="403" spans="4:36" ht="12.9" customHeight="1">
      <c r="D403" t="s">
        <v>311</v>
      </c>
      <c r="Q403" s="1496">
        <v>9.9999999999999995E-8</v>
      </c>
      <c r="R403" s="1496"/>
      <c r="S403" s="1496"/>
      <c r="T403" s="1496"/>
      <c r="U403" s="1496"/>
      <c r="V403" t="s">
        <v>1161</v>
      </c>
      <c r="AG403" s="1453"/>
      <c r="AH403" s="1453"/>
      <c r="AI403" s="1453"/>
      <c r="AJ403" s="1453"/>
    </row>
    <row r="404" spans="4:36" ht="12.9" customHeight="1">
      <c r="D404" t="s">
        <v>1160</v>
      </c>
      <c r="AG404" s="1453"/>
      <c r="AH404" s="1453"/>
      <c r="AI404" s="1453"/>
      <c r="AJ404" s="1453"/>
    </row>
    <row r="405" spans="4:36" ht="12.9" customHeight="1">
      <c r="AG405" s="456"/>
      <c r="AH405" s="456"/>
      <c r="AI405" s="456"/>
      <c r="AJ405" s="456"/>
    </row>
    <row r="406" spans="4:36" ht="12.9" customHeight="1">
      <c r="D406" s="3" t="s">
        <v>2097</v>
      </c>
      <c r="AG406" s="456"/>
      <c r="AH406" s="456"/>
      <c r="AI406" s="1381" t="s">
        <v>667</v>
      </c>
      <c r="AJ406" s="1381"/>
    </row>
    <row r="407" spans="4:36" ht="12.9" customHeight="1">
      <c r="D407" s="3" t="s">
        <v>1654</v>
      </c>
      <c r="T407" s="1472" t="s">
        <v>590</v>
      </c>
      <c r="U407" s="1472"/>
      <c r="V407" s="1472"/>
      <c r="W407" s="1472"/>
      <c r="X407" s="1472"/>
      <c r="Y407" s="1472"/>
      <c r="Z407" s="1472"/>
      <c r="AA407" s="1472"/>
      <c r="AB407" s="1472"/>
      <c r="AC407" s="1472"/>
      <c r="AD407" s="1472"/>
      <c r="AE407" s="1472"/>
      <c r="AF407" s="1472"/>
      <c r="AG407" s="1472"/>
      <c r="AH407" s="1472"/>
      <c r="AI407" s="1472"/>
      <c r="AJ407" s="1472"/>
    </row>
    <row r="408" spans="4:36" ht="12.9" customHeight="1">
      <c r="D408" s="3" t="s">
        <v>1653</v>
      </c>
      <c r="T408" s="1472" t="s">
        <v>590</v>
      </c>
      <c r="U408" s="1472"/>
      <c r="V408" s="1472"/>
      <c r="W408" s="1472"/>
      <c r="X408" s="1472"/>
      <c r="Y408" s="1472"/>
      <c r="Z408" s="1472"/>
      <c r="AA408" s="1472"/>
      <c r="AB408" s="1472"/>
      <c r="AC408" s="1472"/>
      <c r="AD408" s="1472"/>
      <c r="AE408" s="1472"/>
      <c r="AF408" s="1472"/>
      <c r="AG408" s="1472"/>
      <c r="AH408" s="1472"/>
      <c r="AI408" s="1472"/>
      <c r="AJ408" s="1472"/>
    </row>
    <row r="409" spans="4:36" ht="12.9" customHeight="1">
      <c r="AG409" s="456"/>
      <c r="AH409" s="456"/>
      <c r="AI409" s="456"/>
      <c r="AJ409" s="456"/>
    </row>
    <row r="410" spans="4:36" ht="12.9" customHeight="1">
      <c r="D410" s="3" t="s">
        <v>1647</v>
      </c>
      <c r="S410" s="1472" t="s">
        <v>544</v>
      </c>
      <c r="T410" s="1472"/>
      <c r="U410" s="1472"/>
      <c r="V410" t="s">
        <v>1648</v>
      </c>
      <c r="AG410" s="1573">
        <v>99</v>
      </c>
      <c r="AH410" s="1573"/>
      <c r="AI410" s="1573"/>
      <c r="AJ410" s="1573"/>
    </row>
    <row r="411" spans="4:36" ht="12.9" customHeight="1">
      <c r="D411" s="3" t="s">
        <v>1645</v>
      </c>
      <c r="S411" s="1472" t="s">
        <v>544</v>
      </c>
      <c r="T411" s="1472"/>
      <c r="U411" s="1472"/>
      <c r="V411" t="s">
        <v>1650</v>
      </c>
      <c r="AE411" s="1510">
        <v>1</v>
      </c>
      <c r="AF411" s="1510"/>
      <c r="AG411" s="1510"/>
      <c r="AH411" s="1510"/>
      <c r="AI411" s="1510"/>
      <c r="AJ411" s="1510"/>
    </row>
    <row r="412" spans="4:36" ht="12.9" customHeight="1">
      <c r="D412" s="3" t="s">
        <v>1646</v>
      </c>
      <c r="K412" s="1543"/>
      <c r="L412" s="1543"/>
      <c r="M412" s="1543"/>
      <c r="N412" s="1543"/>
      <c r="O412" s="1543"/>
      <c r="P412" s="1543"/>
      <c r="Q412" s="1543"/>
      <c r="R412" s="1543"/>
      <c r="S412" s="1543"/>
      <c r="T412" s="1543"/>
      <c r="U412" s="1543"/>
      <c r="V412" s="1543"/>
      <c r="W412" s="1543"/>
      <c r="X412" s="1543"/>
      <c r="Y412" s="1543"/>
      <c r="Z412" s="1543"/>
      <c r="AA412" s="1543"/>
      <c r="AB412" s="1543"/>
      <c r="AC412" s="1543"/>
      <c r="AD412" s="1543"/>
      <c r="AE412" s="1543"/>
      <c r="AF412" s="1543"/>
      <c r="AG412" s="1543"/>
      <c r="AH412" s="1543"/>
      <c r="AI412" s="1543"/>
      <c r="AJ412" s="1543"/>
    </row>
    <row r="413" spans="4:36" ht="12.9" customHeight="1">
      <c r="D413" s="3" t="s">
        <v>1649</v>
      </c>
      <c r="K413" s="1543" t="s">
        <v>2749</v>
      </c>
      <c r="L413" s="1543"/>
      <c r="M413" s="1543"/>
      <c r="N413" s="1543"/>
      <c r="O413" s="1543"/>
      <c r="P413" s="1543"/>
      <c r="Q413" s="1543"/>
      <c r="R413" s="1543"/>
      <c r="S413" s="1543"/>
      <c r="T413" s="1543"/>
      <c r="U413" s="1543"/>
      <c r="V413" s="1543"/>
      <c r="W413" s="1543"/>
      <c r="X413" s="1543"/>
      <c r="Y413" s="1543"/>
      <c r="Z413" s="1543"/>
      <c r="AA413" s="1543"/>
      <c r="AB413" s="1543"/>
      <c r="AC413" s="1543"/>
      <c r="AD413" s="1543"/>
      <c r="AE413" s="1543"/>
      <c r="AF413" s="1543"/>
      <c r="AG413" s="1543"/>
      <c r="AH413" s="1543"/>
      <c r="AI413" s="1543"/>
      <c r="AJ413" s="1543"/>
    </row>
    <row r="414" spans="4:36" ht="12.9" customHeight="1">
      <c r="D414" s="3" t="s">
        <v>1652</v>
      </c>
      <c r="E414" s="477"/>
      <c r="F414" s="477"/>
      <c r="G414" s="477"/>
      <c r="H414" s="477"/>
      <c r="I414" s="477"/>
      <c r="J414" s="477"/>
      <c r="K414" s="477"/>
      <c r="L414" s="477"/>
      <c r="M414" s="477"/>
      <c r="N414" s="477"/>
      <c r="O414" s="477"/>
      <c r="P414" s="477"/>
      <c r="Q414" s="477"/>
      <c r="R414" s="477"/>
      <c r="S414" s="1513" t="s">
        <v>2763</v>
      </c>
      <c r="T414" s="1513"/>
      <c r="U414" s="1513"/>
      <c r="V414" s="1513"/>
      <c r="W414" s="1513"/>
      <c r="X414" s="1513"/>
      <c r="Y414" s="1513"/>
      <c r="Z414" s="1513"/>
      <c r="AA414" s="1513"/>
      <c r="AB414" s="1513"/>
      <c r="AC414" s="1513"/>
      <c r="AD414" s="1513"/>
      <c r="AE414" s="1513"/>
      <c r="AF414" s="1513"/>
      <c r="AG414" s="1513"/>
      <c r="AH414" s="1513"/>
      <c r="AI414" s="1513"/>
      <c r="AJ414" s="1513"/>
    </row>
    <row r="415" spans="4:36" ht="12.9" customHeight="1">
      <c r="D415" s="1272" t="s">
        <v>1651</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 customHeight="1">
      <c r="AG417" s="456"/>
      <c r="AH417" s="456"/>
      <c r="AI417" s="456"/>
      <c r="AJ417" s="456"/>
    </row>
    <row r="418" spans="1:39" ht="12.9" customHeight="1">
      <c r="A418" s="2" t="s">
        <v>588</v>
      </c>
      <c r="B418" s="2"/>
      <c r="C418" s="2" t="s">
        <v>111</v>
      </c>
    </row>
    <row r="419" spans="1:39" ht="12.9" customHeight="1">
      <c r="B419" s="2"/>
      <c r="C419" s="2"/>
      <c r="D419" s="2" t="s">
        <v>1202</v>
      </c>
      <c r="I419" s="1426" t="s">
        <v>2745</v>
      </c>
      <c r="J419" s="1426"/>
      <c r="K419" s="1426"/>
      <c r="L419" s="1426"/>
      <c r="M419" s="1426"/>
      <c r="N419" s="1426"/>
      <c r="O419" s="1426"/>
      <c r="P419" s="1426"/>
      <c r="Q419" s="1426"/>
      <c r="R419" s="1426"/>
      <c r="S419" s="1426"/>
      <c r="T419" s="1426"/>
      <c r="U419" s="1426"/>
      <c r="V419" s="1426"/>
      <c r="W419" s="1426"/>
      <c r="X419" s="1426"/>
      <c r="Y419" s="1426"/>
      <c r="Z419" s="1426"/>
      <c r="AA419" s="1426"/>
      <c r="AB419" s="1426"/>
      <c r="AC419" s="1426"/>
      <c r="AD419" s="1426"/>
      <c r="AE419" s="1426"/>
    </row>
    <row r="420" spans="1:39" ht="12.9" customHeight="1">
      <c r="E420" t="s">
        <v>106</v>
      </c>
      <c r="R420" s="1381" t="s">
        <v>544</v>
      </c>
      <c r="S420" s="1381"/>
      <c r="AC420" s="27" t="s">
        <v>569</v>
      </c>
      <c r="AD420" s="1392">
        <v>6</v>
      </c>
      <c r="AE420" s="1392"/>
    </row>
    <row r="421" spans="1:39" ht="12.9" customHeight="1">
      <c r="E421" t="s">
        <v>107</v>
      </c>
      <c r="R421" s="1381" t="s">
        <v>590</v>
      </c>
      <c r="S421" s="1381"/>
      <c r="AC421" s="27" t="s">
        <v>569</v>
      </c>
      <c r="AD421" s="1392"/>
      <c r="AE421" s="1392"/>
    </row>
    <row r="422" spans="1:39" ht="12.9" customHeight="1">
      <c r="E422" t="s">
        <v>108</v>
      </c>
      <c r="S422" s="1381" t="s">
        <v>590</v>
      </c>
      <c r="T422" s="1381"/>
    </row>
    <row r="423" spans="1:39" ht="12.9" customHeight="1">
      <c r="E423" t="s">
        <v>169</v>
      </c>
      <c r="H423" s="1497" t="s">
        <v>2746</v>
      </c>
      <c r="I423" s="1497"/>
      <c r="J423" s="1497"/>
      <c r="K423" s="1497"/>
      <c r="L423" s="1497"/>
      <c r="M423" s="1497"/>
      <c r="N423" s="1497"/>
      <c r="O423" s="1497"/>
      <c r="P423" s="1497"/>
      <c r="Q423" s="1497"/>
      <c r="R423" s="1497"/>
      <c r="S423" s="1497"/>
      <c r="T423" s="1497"/>
      <c r="U423" s="1497"/>
      <c r="V423" s="1497"/>
      <c r="W423" s="1497"/>
      <c r="X423" s="1497"/>
      <c r="Y423" s="1497"/>
      <c r="Z423" s="1497"/>
      <c r="AA423" s="1497"/>
      <c r="AB423" s="1497"/>
      <c r="AC423" s="1497"/>
      <c r="AD423" s="1497"/>
      <c r="AE423" s="1497"/>
    </row>
    <row r="424" spans="1:39" ht="12.9" customHeight="1">
      <c r="H424" s="1498"/>
      <c r="I424" s="1498"/>
      <c r="J424" s="1498"/>
      <c r="K424" s="1498"/>
      <c r="L424" s="1498"/>
      <c r="M424" s="1498"/>
      <c r="N424" s="1498"/>
      <c r="O424" s="1498"/>
      <c r="P424" s="1498"/>
      <c r="Q424" s="1498"/>
      <c r="R424" s="1498"/>
      <c r="S424" s="1498"/>
      <c r="T424" s="1498"/>
      <c r="U424" s="1498"/>
      <c r="V424" s="1498"/>
      <c r="W424" s="1498"/>
      <c r="X424" s="1498"/>
      <c r="Y424" s="1498"/>
      <c r="Z424" s="1498"/>
      <c r="AA424" s="1498"/>
      <c r="AB424" s="1498"/>
      <c r="AC424" s="1498"/>
      <c r="AD424" s="1498"/>
      <c r="AE424" s="1498"/>
    </row>
    <row r="425" spans="1:39" ht="12.9" customHeight="1"/>
    <row r="426" spans="1:39" ht="12.9" customHeight="1">
      <c r="A426" s="2" t="s">
        <v>589</v>
      </c>
      <c r="B426" s="2"/>
      <c r="C426" s="2"/>
      <c r="D426" s="2" t="s">
        <v>114</v>
      </c>
      <c r="AF426" s="2" t="s">
        <v>955</v>
      </c>
    </row>
    <row r="427" spans="1:39" ht="12.9" customHeight="1">
      <c r="E427" s="1511"/>
      <c r="F427" s="1511"/>
      <c r="G427" s="1511"/>
      <c r="H427" s="13" t="s">
        <v>115</v>
      </c>
      <c r="I427" s="1511"/>
      <c r="J427" s="1511"/>
      <c r="K427" s="1511"/>
      <c r="L427" t="s">
        <v>116</v>
      </c>
      <c r="N427" s="27" t="s">
        <v>574</v>
      </c>
      <c r="P427" s="1514">
        <v>1.79</v>
      </c>
      <c r="Q427" s="1514"/>
      <c r="R427" s="1514"/>
      <c r="S427" t="s">
        <v>117</v>
      </c>
      <c r="W427" s="1512">
        <f>IF(E427&gt;0,(E427*I427),(P427*43560))</f>
        <v>77972.400000000009</v>
      </c>
      <c r="X427" s="1512"/>
      <c r="Y427" s="1512"/>
      <c r="Z427" t="s">
        <v>118</v>
      </c>
      <c r="AF427" s="1569">
        <f>IFERROR(IF(P427&gt;0,(AG446/P427),(AG446/(W427/43560))),0)</f>
        <v>83.798882681564251</v>
      </c>
      <c r="AG427" s="1569"/>
      <c r="AH427" s="1569"/>
      <c r="AM427" s="3"/>
    </row>
    <row r="428" spans="1:39" ht="12.9" customHeight="1">
      <c r="E428" t="s">
        <v>51</v>
      </c>
    </row>
    <row r="429" spans="1:39" ht="12.9" customHeight="1">
      <c r="E429" s="1501"/>
      <c r="F429" s="1501"/>
      <c r="G429" s="1501"/>
      <c r="H429" s="1501"/>
      <c r="I429" s="1501"/>
      <c r="J429" s="1501"/>
      <c r="K429" s="1501"/>
      <c r="L429" s="1501"/>
      <c r="M429" s="1501"/>
      <c r="N429" s="1501"/>
      <c r="O429" s="1501"/>
      <c r="P429" s="1501"/>
      <c r="Q429" s="1501"/>
      <c r="R429" s="1501"/>
      <c r="S429" s="1501"/>
      <c r="T429" s="1501"/>
      <c r="U429" s="1501"/>
      <c r="V429" s="1501"/>
      <c r="W429" s="1501"/>
      <c r="X429" s="1501"/>
      <c r="Y429" s="1501"/>
      <c r="Z429" s="1501"/>
      <c r="AA429" s="1501"/>
      <c r="AB429" s="1501"/>
      <c r="AC429" s="1501"/>
      <c r="AD429" s="1501"/>
      <c r="AE429" s="1501"/>
      <c r="AF429" s="1501"/>
      <c r="AG429" s="1501"/>
      <c r="AH429" s="1501"/>
      <c r="AI429" s="1501"/>
      <c r="AJ429" s="1501"/>
    </row>
    <row r="430" spans="1:39" ht="12.9" customHeight="1">
      <c r="E430" s="118" t="s">
        <v>1723</v>
      </c>
      <c r="F430" s="1008"/>
      <c r="G430" s="1008"/>
      <c r="H430" s="1008"/>
      <c r="I430" s="1507">
        <v>1.79</v>
      </c>
      <c r="J430" s="1507"/>
      <c r="K430" s="1507"/>
      <c r="L430" s="1008"/>
      <c r="M430" s="118"/>
      <c r="N430" s="1008"/>
      <c r="O430" s="1008"/>
      <c r="P430" s="1517">
        <f>(DU763+DU786+DU808)/I430</f>
        <v>177.09497206703909</v>
      </c>
      <c r="Q430" s="1517"/>
      <c r="R430" s="1517"/>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591</v>
      </c>
      <c r="B432" s="2"/>
      <c r="C432" s="2"/>
      <c r="D432" s="2" t="s">
        <v>120</v>
      </c>
    </row>
    <row r="433" spans="1:36" ht="12.9" customHeight="1">
      <c r="E433" t="s">
        <v>121</v>
      </c>
      <c r="P433" s="1381">
        <v>1</v>
      </c>
      <c r="Q433" s="1381"/>
      <c r="S433" t="s">
        <v>188</v>
      </c>
      <c r="AE433" s="1381">
        <v>1</v>
      </c>
      <c r="AF433" s="1381"/>
    </row>
    <row r="434" spans="1:36" ht="12.9" customHeight="1">
      <c r="E434" t="s">
        <v>189</v>
      </c>
      <c r="P434" s="1381"/>
      <c r="Q434" s="1381"/>
      <c r="S434" t="s">
        <v>131</v>
      </c>
      <c r="AE434" s="1381" t="s">
        <v>590</v>
      </c>
      <c r="AF434" s="1381"/>
    </row>
    <row r="435" spans="1:36" ht="12.9" customHeight="1">
      <c r="F435" s="28" t="s">
        <v>132</v>
      </c>
    </row>
    <row r="436" spans="1:36" ht="12.9" customHeight="1">
      <c r="F436" s="1523" t="s">
        <v>2723</v>
      </c>
      <c r="G436" s="1524"/>
      <c r="H436" s="1524"/>
      <c r="I436" s="1524"/>
      <c r="J436" s="1524"/>
      <c r="K436" s="1524"/>
      <c r="L436" s="1524"/>
      <c r="M436" s="1524"/>
      <c r="N436" s="1524"/>
      <c r="O436" s="1524"/>
      <c r="P436" s="1524"/>
      <c r="Q436" s="1524"/>
      <c r="R436" s="1524"/>
      <c r="S436" s="1524"/>
      <c r="T436" s="1524"/>
      <c r="U436" s="1524"/>
      <c r="V436" s="1524"/>
      <c r="W436" s="1524"/>
      <c r="X436" s="1524"/>
      <c r="Y436" s="1524"/>
      <c r="Z436" s="1524"/>
      <c r="AA436" s="1524"/>
      <c r="AB436" s="1524"/>
      <c r="AC436" s="1524"/>
      <c r="AD436" s="1524"/>
      <c r="AE436" s="1524"/>
      <c r="AF436" s="1524"/>
      <c r="AG436" s="1524"/>
      <c r="AH436" s="1524"/>
    </row>
    <row r="437" spans="1:36" ht="12.9" customHeight="1">
      <c r="F437" s="1525"/>
      <c r="G437" s="1525"/>
      <c r="H437" s="1525"/>
      <c r="I437" s="1525"/>
      <c r="J437" s="1525"/>
      <c r="K437" s="1525"/>
      <c r="L437" s="1525"/>
      <c r="M437" s="1525"/>
      <c r="N437" s="1525"/>
      <c r="O437" s="1525"/>
      <c r="P437" s="1525"/>
      <c r="Q437" s="1525"/>
      <c r="R437" s="1525"/>
      <c r="S437" s="1525"/>
      <c r="T437" s="1525"/>
      <c r="U437" s="1525"/>
      <c r="V437" s="1525"/>
      <c r="W437" s="1525"/>
      <c r="X437" s="1525"/>
      <c r="Y437" s="1525"/>
      <c r="Z437" s="1525"/>
      <c r="AA437" s="1525"/>
      <c r="AB437" s="1525"/>
      <c r="AC437" s="1525"/>
      <c r="AD437" s="1525"/>
      <c r="AE437" s="1525"/>
      <c r="AF437" s="1525"/>
      <c r="AG437" s="1525"/>
      <c r="AH437" s="1525"/>
    </row>
    <row r="438" spans="1:36" ht="12.9" customHeight="1">
      <c r="E438" t="s">
        <v>607</v>
      </c>
      <c r="P438" s="1"/>
      <c r="Q438" s="1381" t="s">
        <v>544</v>
      </c>
      <c r="R438" s="1381"/>
    </row>
    <row r="439" spans="1:36" ht="12.9" customHeight="1">
      <c r="F439" t="s">
        <v>608</v>
      </c>
      <c r="P439" s="1"/>
      <c r="Q439" s="1"/>
      <c r="AF439" s="1381" t="s">
        <v>590</v>
      </c>
      <c r="AG439" s="1506"/>
    </row>
    <row r="440" spans="1:36" ht="12.9" customHeight="1"/>
    <row r="441" spans="1:36" ht="12.9" customHeight="1">
      <c r="A441" s="2"/>
      <c r="B441" s="2"/>
      <c r="C441" s="2"/>
      <c r="E441" s="4" t="s">
        <v>307</v>
      </c>
      <c r="Z441" s="1381" t="s">
        <v>667</v>
      </c>
      <c r="AA441" s="1381"/>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705</v>
      </c>
      <c r="G443" s="40"/>
      <c r="I443" s="40"/>
      <c r="J443" s="40"/>
      <c r="K443" s="40"/>
      <c r="L443" s="40"/>
      <c r="M443" s="40"/>
      <c r="N443" s="40"/>
      <c r="O443" s="28"/>
      <c r="P443" s="40"/>
      <c r="Q443" s="40"/>
      <c r="R443" s="40"/>
      <c r="S443" s="40"/>
      <c r="T443" s="40"/>
      <c r="U443" s="40"/>
      <c r="V443" s="40"/>
      <c r="W443" s="40"/>
      <c r="Z443" s="1381" t="s">
        <v>590</v>
      </c>
      <c r="AA443" s="1381"/>
    </row>
    <row r="444" spans="1:36" ht="12.9" customHeight="1"/>
    <row r="445" spans="1:36" ht="12.9" customHeight="1">
      <c r="A445" s="2" t="s">
        <v>466</v>
      </c>
      <c r="B445" s="2"/>
      <c r="C445" s="2"/>
      <c r="D445" s="2" t="s">
        <v>762</v>
      </c>
      <c r="AF445" s="48"/>
    </row>
    <row r="446" spans="1:36" ht="12.9" customHeight="1">
      <c r="D446" s="1396" t="s">
        <v>43</v>
      </c>
      <c r="E446" s="1397"/>
      <c r="F446" s="1397"/>
      <c r="G446" s="1397"/>
      <c r="H446" s="1397"/>
      <c r="I446" s="1397"/>
      <c r="J446" s="1397"/>
      <c r="K446" s="1397"/>
      <c r="L446" s="1397"/>
      <c r="M446" s="1397"/>
      <c r="N446" s="1397"/>
      <c r="O446" s="1397"/>
      <c r="P446" s="1397"/>
      <c r="Q446" s="1397"/>
      <c r="R446" s="1397"/>
      <c r="S446" s="1397"/>
      <c r="T446" s="1397"/>
      <c r="U446" s="1397"/>
      <c r="V446" s="1397"/>
      <c r="W446" s="1397"/>
      <c r="X446" s="1397"/>
      <c r="Y446" s="1397"/>
      <c r="Z446" s="1397"/>
      <c r="AA446" s="1397"/>
      <c r="AB446" s="1397"/>
      <c r="AC446" s="1397"/>
      <c r="AD446" s="1397"/>
      <c r="AE446" s="1397"/>
      <c r="AF446" s="1398"/>
      <c r="AG446" s="1502">
        <v>150</v>
      </c>
      <c r="AH446" s="1502"/>
      <c r="AI446" s="1502"/>
      <c r="AJ446" s="1502"/>
    </row>
    <row r="447" spans="1:36" ht="12.9" customHeight="1">
      <c r="D447" s="1503" t="s">
        <v>1220</v>
      </c>
      <c r="E447" s="1504"/>
      <c r="F447" s="1504"/>
      <c r="G447" s="1504"/>
      <c r="H447" s="1504"/>
      <c r="I447" s="1504"/>
      <c r="J447" s="1504"/>
      <c r="K447" s="1504"/>
      <c r="L447" s="1504"/>
      <c r="M447" s="1504"/>
      <c r="N447" s="1504"/>
      <c r="O447" s="1504"/>
      <c r="P447" s="1504"/>
      <c r="Q447" s="1504"/>
      <c r="R447" s="1504"/>
      <c r="S447" s="1504"/>
      <c r="T447" s="1504"/>
      <c r="U447" s="1504"/>
      <c r="V447" s="1504"/>
      <c r="W447" s="1504"/>
      <c r="X447" s="1504"/>
      <c r="Y447" s="1504"/>
      <c r="Z447" s="1504"/>
      <c r="AA447" s="1504"/>
      <c r="AB447" s="1504"/>
      <c r="AC447" s="1504"/>
      <c r="AD447" s="1504"/>
      <c r="AE447" s="1504"/>
      <c r="AF447" s="1505"/>
      <c r="AG447" s="1515"/>
      <c r="AH447" s="1516"/>
      <c r="AI447" s="1516"/>
      <c r="AJ447" s="1516"/>
    </row>
    <row r="448" spans="1:36" ht="12.9" customHeight="1">
      <c r="D448" s="1503" t="s">
        <v>1029</v>
      </c>
      <c r="E448" s="1504"/>
      <c r="F448" s="1504"/>
      <c r="G448" s="1504"/>
      <c r="H448" s="1504"/>
      <c r="I448" s="1504"/>
      <c r="J448" s="1504"/>
      <c r="K448" s="1504"/>
      <c r="L448" s="1504"/>
      <c r="M448" s="1504"/>
      <c r="N448" s="1504"/>
      <c r="O448" s="1504"/>
      <c r="P448" s="1504"/>
      <c r="Q448" s="1504"/>
      <c r="R448" s="1504"/>
      <c r="S448" s="1504"/>
      <c r="T448" s="1504"/>
      <c r="U448" s="1504"/>
      <c r="V448" s="1504"/>
      <c r="W448" s="1504"/>
      <c r="X448" s="1504"/>
      <c r="Y448" s="1504"/>
      <c r="Z448" s="1504"/>
      <c r="AA448" s="1504"/>
      <c r="AB448" s="1504"/>
      <c r="AC448" s="1504"/>
      <c r="AD448" s="1504"/>
      <c r="AE448" s="1504"/>
      <c r="AF448" s="1505"/>
      <c r="AG448" s="1502">
        <v>149</v>
      </c>
      <c r="AH448" s="1502"/>
      <c r="AI448" s="1502"/>
      <c r="AJ448" s="1502"/>
    </row>
    <row r="449" spans="4:55" ht="12.9" customHeight="1">
      <c r="D449" s="1503" t="s">
        <v>1030</v>
      </c>
      <c r="E449" s="1504"/>
      <c r="F449" s="1504"/>
      <c r="G449" s="1504"/>
      <c r="H449" s="1504"/>
      <c r="I449" s="1504"/>
      <c r="J449" s="1504"/>
      <c r="K449" s="1504"/>
      <c r="L449" s="1504"/>
      <c r="M449" s="1504"/>
      <c r="N449" s="1504"/>
      <c r="O449" s="1504"/>
      <c r="P449" s="1504"/>
      <c r="Q449" s="1504"/>
      <c r="R449" s="1504"/>
      <c r="S449" s="1504"/>
      <c r="T449" s="1504"/>
      <c r="U449" s="1504"/>
      <c r="V449" s="1504"/>
      <c r="W449" s="1504"/>
      <c r="X449" s="1504"/>
      <c r="Y449" s="1504"/>
      <c r="Z449" s="1504"/>
      <c r="AA449" s="1504"/>
      <c r="AB449" s="1504"/>
      <c r="AC449" s="1504"/>
      <c r="AD449" s="1504"/>
      <c r="AE449" s="1504"/>
      <c r="AF449" s="1505"/>
      <c r="AG449" s="1502">
        <v>149</v>
      </c>
      <c r="AH449" s="1502"/>
      <c r="AI449" s="1502"/>
      <c r="AJ449" s="1502"/>
    </row>
    <row r="450" spans="4:55" ht="12.9" customHeight="1">
      <c r="D450" s="1503" t="s">
        <v>1032</v>
      </c>
      <c r="E450" s="1504"/>
      <c r="F450" s="1504"/>
      <c r="G450" s="1504"/>
      <c r="H450" s="1504"/>
      <c r="I450" s="1504"/>
      <c r="J450" s="1504"/>
      <c r="K450" s="1504"/>
      <c r="L450" s="1504"/>
      <c r="M450" s="1504"/>
      <c r="N450" s="1504"/>
      <c r="O450" s="1504"/>
      <c r="P450" s="1504"/>
      <c r="Q450" s="1504"/>
      <c r="R450" s="1504"/>
      <c r="S450" s="1504"/>
      <c r="T450" s="1504"/>
      <c r="U450" s="1504"/>
      <c r="V450" s="1504"/>
      <c r="W450" s="1504"/>
      <c r="X450" s="1504"/>
      <c r="Y450" s="1504"/>
      <c r="Z450" s="1504"/>
      <c r="AA450" s="1504"/>
      <c r="AB450" s="1504"/>
      <c r="AC450" s="1504"/>
      <c r="AD450" s="1504"/>
      <c r="AE450" s="1504"/>
      <c r="AF450" s="1505"/>
      <c r="AG450" s="1390">
        <f>IF(ISERROR(AG449/AG448),0,AG449/AG448)</f>
        <v>1</v>
      </c>
      <c r="AH450" s="1390"/>
      <c r="AI450" s="1390"/>
      <c r="AJ450" s="1390"/>
    </row>
    <row r="451" spans="4:55" ht="12.9" customHeight="1">
      <c r="D451" s="1503" t="s">
        <v>1031</v>
      </c>
      <c r="E451" s="1504"/>
      <c r="F451" s="1504"/>
      <c r="G451" s="1504"/>
      <c r="H451" s="1504"/>
      <c r="I451" s="1504"/>
      <c r="J451" s="1504"/>
      <c r="K451" s="1504"/>
      <c r="L451" s="1504"/>
      <c r="M451" s="1504"/>
      <c r="N451" s="1504"/>
      <c r="O451" s="1504"/>
      <c r="P451" s="1504"/>
      <c r="Q451" s="1504"/>
      <c r="R451" s="1504"/>
      <c r="S451" s="1504"/>
      <c r="T451" s="1504"/>
      <c r="U451" s="1504"/>
      <c r="V451" s="1504"/>
      <c r="W451" s="1504"/>
      <c r="X451" s="1504"/>
      <c r="Y451" s="1504"/>
      <c r="Z451" s="1504"/>
      <c r="AA451" s="1504"/>
      <c r="AB451" s="1504"/>
      <c r="AC451" s="1504"/>
      <c r="AD451" s="1504"/>
      <c r="AE451" s="1504"/>
      <c r="AF451" s="1505"/>
      <c r="AG451" s="1495">
        <v>121162</v>
      </c>
      <c r="AH451" s="1495"/>
      <c r="AI451" s="1495"/>
      <c r="AJ451" s="1495"/>
    </row>
    <row r="452" spans="4:55" ht="12.9" customHeight="1">
      <c r="D452" s="1503" t="s">
        <v>1033</v>
      </c>
      <c r="E452" s="1504"/>
      <c r="F452" s="1504"/>
      <c r="G452" s="1504"/>
      <c r="H452" s="1504"/>
      <c r="I452" s="1504"/>
      <c r="J452" s="1504"/>
      <c r="K452" s="1504"/>
      <c r="L452" s="1504"/>
      <c r="M452" s="1504"/>
      <c r="N452" s="1504"/>
      <c r="O452" s="1504"/>
      <c r="P452" s="1504"/>
      <c r="Q452" s="1504"/>
      <c r="R452" s="1504"/>
      <c r="S452" s="1504"/>
      <c r="T452" s="1504"/>
      <c r="U452" s="1504"/>
      <c r="V452" s="1504"/>
      <c r="W452" s="1504"/>
      <c r="X452" s="1504"/>
      <c r="Y452" s="1504"/>
      <c r="Z452" s="1504"/>
      <c r="AA452" s="1504"/>
      <c r="AB452" s="1504"/>
      <c r="AC452" s="1504"/>
      <c r="AD452" s="1504"/>
      <c r="AE452" s="1504"/>
      <c r="AF452" s="1505"/>
      <c r="AG452" s="1495">
        <v>121162</v>
      </c>
      <c r="AH452" s="1495"/>
      <c r="AI452" s="1495"/>
      <c r="AJ452" s="1495"/>
    </row>
    <row r="453" spans="4:55" ht="12.9" customHeight="1">
      <c r="D453" s="1503" t="s">
        <v>1034</v>
      </c>
      <c r="E453" s="1504"/>
      <c r="F453" s="1504"/>
      <c r="G453" s="1504"/>
      <c r="H453" s="1504"/>
      <c r="I453" s="1504"/>
      <c r="J453" s="1504"/>
      <c r="K453" s="1504"/>
      <c r="L453" s="1504"/>
      <c r="M453" s="1504"/>
      <c r="N453" s="1504"/>
      <c r="O453" s="1504"/>
      <c r="P453" s="1504"/>
      <c r="Q453" s="1504"/>
      <c r="R453" s="1504"/>
      <c r="S453" s="1504"/>
      <c r="T453" s="1504"/>
      <c r="U453" s="1504"/>
      <c r="V453" s="1504"/>
      <c r="W453" s="1504"/>
      <c r="X453" s="1504"/>
      <c r="Y453" s="1504"/>
      <c r="Z453" s="1504"/>
      <c r="AA453" s="1504"/>
      <c r="AB453" s="1504"/>
      <c r="AC453" s="1504"/>
      <c r="AD453" s="1504"/>
      <c r="AE453" s="1504"/>
      <c r="AF453" s="1505"/>
      <c r="AG453" s="1390">
        <f>IF(ISERROR(AG452/AG451),0,AG452/AG451)</f>
        <v>1</v>
      </c>
      <c r="AH453" s="1390"/>
      <c r="AI453" s="1390"/>
      <c r="AJ453" s="1390"/>
    </row>
    <row r="454" spans="4:55" ht="12.9" customHeight="1">
      <c r="D454" s="1503" t="s">
        <v>1035</v>
      </c>
      <c r="E454" s="1504"/>
      <c r="F454" s="1504"/>
      <c r="G454" s="1504"/>
      <c r="H454" s="1504"/>
      <c r="I454" s="1504"/>
      <c r="J454" s="1504"/>
      <c r="K454" s="1504"/>
      <c r="L454" s="1504"/>
      <c r="M454" s="1504"/>
      <c r="N454" s="1504"/>
      <c r="O454" s="1504"/>
      <c r="P454" s="1504"/>
      <c r="Q454" s="1504"/>
      <c r="R454" s="1504"/>
      <c r="S454" s="1504"/>
      <c r="T454" s="1504"/>
      <c r="U454" s="1504"/>
      <c r="V454" s="1504"/>
      <c r="W454" s="1504"/>
      <c r="X454" s="1504"/>
      <c r="Y454" s="1504"/>
      <c r="Z454" s="1504"/>
      <c r="AA454" s="1504"/>
      <c r="AB454" s="1504"/>
      <c r="AC454" s="1504"/>
      <c r="AD454" s="1504"/>
      <c r="AE454" s="1504"/>
      <c r="AF454" s="1505"/>
      <c r="AG454" s="1390">
        <f>MIN(IF(AG450&gt;AG453,AG453,AG450),1)</f>
        <v>1</v>
      </c>
      <c r="AH454" s="1390"/>
      <c r="AI454" s="1390"/>
      <c r="AJ454" s="1390"/>
    </row>
    <row r="455" spans="4:55" ht="12.9" customHeight="1">
      <c r="D455" s="1503" t="s">
        <v>2042</v>
      </c>
      <c r="E455" s="1397"/>
      <c r="F455" s="1397"/>
      <c r="G455" s="1397"/>
      <c r="H455" s="1397"/>
      <c r="I455" s="1397"/>
      <c r="J455" s="1397"/>
      <c r="K455" s="1397"/>
      <c r="L455" s="1397"/>
      <c r="M455" s="1397"/>
      <c r="N455" s="1397"/>
      <c r="O455" s="1397"/>
      <c r="P455" s="1397"/>
      <c r="Q455" s="1397"/>
      <c r="R455" s="1397"/>
      <c r="S455" s="1397"/>
      <c r="T455" s="1397"/>
      <c r="U455" s="1397"/>
      <c r="V455" s="1397"/>
      <c r="W455" s="1397"/>
      <c r="X455" s="1397"/>
      <c r="Y455" s="1397"/>
      <c r="Z455" s="1397"/>
      <c r="AA455" s="1397"/>
      <c r="AB455" s="1397"/>
      <c r="AC455" s="1397"/>
      <c r="AD455" s="1397"/>
      <c r="AE455" s="1397"/>
      <c r="AF455" s="1398"/>
      <c r="AG455" s="1495">
        <v>3000</v>
      </c>
      <c r="AH455" s="1495"/>
      <c r="AI455" s="1495"/>
      <c r="AJ455" s="1495"/>
      <c r="AZ455" s="34"/>
      <c r="BA455" s="34"/>
      <c r="BB455" s="34"/>
      <c r="BC455" s="34"/>
    </row>
    <row r="456" spans="4:55" ht="12.9" customHeight="1">
      <c r="D456" s="1396" t="s">
        <v>568</v>
      </c>
      <c r="E456" s="1397"/>
      <c r="F456" s="1397"/>
      <c r="G456" s="1397"/>
      <c r="H456" s="1397"/>
      <c r="I456" s="1397"/>
      <c r="J456" s="1397"/>
      <c r="K456" s="1397"/>
      <c r="L456" s="1397"/>
      <c r="M456" s="1397"/>
      <c r="N456" s="1397"/>
      <c r="O456" s="1397"/>
      <c r="P456" s="1397"/>
      <c r="Q456" s="1397"/>
      <c r="R456" s="1397"/>
      <c r="S456" s="1397"/>
      <c r="T456" s="1397"/>
      <c r="U456" s="1397"/>
      <c r="V456" s="1397"/>
      <c r="W456" s="1397"/>
      <c r="X456" s="1397"/>
      <c r="Y456" s="1397"/>
      <c r="Z456" s="1397"/>
      <c r="AA456" s="1397"/>
      <c r="AB456" s="1397"/>
      <c r="AC456" s="1397"/>
      <c r="AD456" s="1397"/>
      <c r="AE456" s="1397"/>
      <c r="AF456" s="1398"/>
      <c r="AG456" s="1495"/>
      <c r="AH456" s="1495"/>
      <c r="AI456" s="1495"/>
      <c r="AJ456" s="1495"/>
      <c r="AZ456" s="3"/>
      <c r="BA456" s="3"/>
      <c r="BB456" s="3"/>
      <c r="BC456" s="3"/>
    </row>
    <row r="457" spans="4:55" ht="12.9" customHeight="1">
      <c r="D457" s="1503" t="s">
        <v>1203</v>
      </c>
      <c r="E457" s="1397"/>
      <c r="F457" s="1397"/>
      <c r="G457" s="1397"/>
      <c r="H457" s="1397"/>
      <c r="I457" s="1397"/>
      <c r="J457" s="1397"/>
      <c r="K457" s="1397"/>
      <c r="L457" s="1397"/>
      <c r="M457" s="1397"/>
      <c r="N457" s="1397"/>
      <c r="O457" s="1397"/>
      <c r="P457" s="1397"/>
      <c r="Q457" s="1397"/>
      <c r="R457" s="1397"/>
      <c r="S457" s="1397"/>
      <c r="T457" s="1397"/>
      <c r="U457" s="1397"/>
      <c r="V457" s="1397"/>
      <c r="W457" s="1397"/>
      <c r="X457" s="1397"/>
      <c r="Y457" s="1397"/>
      <c r="Z457" s="1397"/>
      <c r="AA457" s="1397"/>
      <c r="AB457" s="1397"/>
      <c r="AC457" s="1397"/>
      <c r="AD457" s="1397"/>
      <c r="AE457" s="1397"/>
      <c r="AF457" s="1398"/>
      <c r="AG457" s="1495">
        <v>46237</v>
      </c>
      <c r="AH457" s="1495"/>
      <c r="AI457" s="1495"/>
      <c r="AJ457" s="1495"/>
      <c r="AZ457" s="3"/>
      <c r="BA457" s="3"/>
      <c r="BB457" s="3"/>
      <c r="BC457" s="3"/>
    </row>
    <row r="458" spans="4:55" ht="12.9" customHeight="1">
      <c r="D458" s="1503" t="s">
        <v>1036</v>
      </c>
      <c r="E458" s="1397"/>
      <c r="F458" s="1397"/>
      <c r="G458" s="1397"/>
      <c r="H458" s="1397"/>
      <c r="I458" s="1397"/>
      <c r="J458" s="1397"/>
      <c r="K458" s="1397"/>
      <c r="L458" s="1397"/>
      <c r="M458" s="1397"/>
      <c r="N458" s="1397"/>
      <c r="O458" s="1397"/>
      <c r="P458" s="1397"/>
      <c r="Q458" s="1397"/>
      <c r="R458" s="1397"/>
      <c r="S458" s="1397"/>
      <c r="T458" s="1397"/>
      <c r="U458" s="1397"/>
      <c r="V458" s="1397"/>
      <c r="W458" s="1397"/>
      <c r="X458" s="1397"/>
      <c r="Y458" s="1397"/>
      <c r="Z458" s="1397"/>
      <c r="AA458" s="1397"/>
      <c r="AB458" s="1397"/>
      <c r="AC458" s="1397"/>
      <c r="AD458" s="1397"/>
      <c r="AE458" s="1397"/>
      <c r="AF458" s="1398"/>
      <c r="AG458" s="1495"/>
      <c r="AH458" s="1495"/>
      <c r="AI458" s="1495"/>
      <c r="AJ458" s="1495"/>
      <c r="BB458" s="3"/>
      <c r="BC458" s="3"/>
    </row>
    <row r="459" spans="4:55" ht="12.9" customHeight="1">
      <c r="D459" s="1570" t="s">
        <v>1037</v>
      </c>
      <c r="E459" s="1571"/>
      <c r="F459" s="1571"/>
      <c r="G459" s="1571"/>
      <c r="H459" s="1571"/>
      <c r="I459" s="1571"/>
      <c r="J459" s="1571"/>
      <c r="K459" s="1571"/>
      <c r="L459" s="1571"/>
      <c r="M459" s="1571"/>
      <c r="N459" s="1571"/>
      <c r="O459" s="1571"/>
      <c r="P459" s="1571"/>
      <c r="Q459" s="1571"/>
      <c r="R459" s="1571"/>
      <c r="S459" s="1571"/>
      <c r="T459" s="1571"/>
      <c r="U459" s="1571"/>
      <c r="V459" s="1571"/>
      <c r="W459" s="1571"/>
      <c r="X459" s="1571"/>
      <c r="Y459" s="1571"/>
      <c r="Z459" s="1571"/>
      <c r="AA459" s="1571"/>
      <c r="AB459" s="1571"/>
      <c r="AC459" s="1571"/>
      <c r="AD459" s="1571"/>
      <c r="AE459" s="1571"/>
      <c r="AF459" s="1572"/>
      <c r="AG459" s="1437">
        <f>AG451+AG455+AG457+AG458</f>
        <v>170399</v>
      </c>
      <c r="AH459" s="1437"/>
      <c r="AI459" s="1437"/>
      <c r="AJ459" s="1437"/>
      <c r="AZ459" s="3"/>
      <c r="BA459" s="3"/>
      <c r="BB459" s="3"/>
      <c r="BC459" s="3"/>
    </row>
    <row r="460" spans="4:55" ht="12.9" customHeight="1">
      <c r="D460" s="1574" t="s">
        <v>1204</v>
      </c>
      <c r="E460" s="1574"/>
      <c r="F460" s="1574"/>
      <c r="G460" s="1574"/>
      <c r="H460" s="1574"/>
      <c r="I460" s="1574"/>
      <c r="J460" s="1574"/>
      <c r="K460" s="1574"/>
      <c r="L460" s="1574"/>
      <c r="M460" s="1574"/>
      <c r="N460" s="1574"/>
      <c r="O460" s="1574"/>
      <c r="P460" s="1574"/>
      <c r="Q460" s="1574"/>
      <c r="R460" s="1574"/>
      <c r="S460" s="1574"/>
      <c r="T460" s="1574"/>
      <c r="U460" s="1574"/>
      <c r="V460" s="1574"/>
      <c r="W460" s="1574"/>
      <c r="X460" s="1574"/>
      <c r="Y460" s="1574"/>
      <c r="Z460" s="1574"/>
      <c r="AA460" s="1574"/>
      <c r="AB460" s="1574"/>
      <c r="AC460" s="1574"/>
      <c r="AD460" s="1574"/>
      <c r="AE460" s="1574"/>
      <c r="AF460" s="1574"/>
      <c r="AG460" s="1574"/>
      <c r="AH460" s="1574"/>
      <c r="AI460" s="1574"/>
      <c r="AJ460" s="1574"/>
      <c r="AZ460" s="3"/>
      <c r="BA460" s="3"/>
      <c r="BB460" s="3"/>
      <c r="BC460" s="3"/>
    </row>
    <row r="461" spans="4:55" ht="12.9" customHeight="1">
      <c r="D461" s="1575"/>
      <c r="E461" s="1575"/>
      <c r="F461" s="1575"/>
      <c r="G461" s="1575"/>
      <c r="H461" s="1575"/>
      <c r="I461" s="1575"/>
      <c r="J461" s="1575"/>
      <c r="K461" s="1575"/>
      <c r="L461" s="1575"/>
      <c r="M461" s="1575"/>
      <c r="N461" s="1575"/>
      <c r="O461" s="1575"/>
      <c r="P461" s="1575"/>
      <c r="Q461" s="1575"/>
      <c r="R461" s="1575"/>
      <c r="S461" s="1575"/>
      <c r="T461" s="1575"/>
      <c r="U461" s="1575"/>
      <c r="V461" s="1575"/>
      <c r="W461" s="1575"/>
      <c r="X461" s="1575"/>
      <c r="Y461" s="1575"/>
      <c r="Z461" s="1575"/>
      <c r="AA461" s="1575"/>
      <c r="AB461" s="1575"/>
      <c r="AC461" s="1575"/>
      <c r="AD461" s="1575"/>
      <c r="AE461" s="1575"/>
      <c r="AF461" s="1575"/>
      <c r="AG461" s="1575"/>
      <c r="AH461" s="1575"/>
      <c r="AI461" s="1575"/>
      <c r="AJ461" s="1575"/>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4">
        <f>IF(AG446=0,"",'Sources and Uses Budget'!B105/Application!AG446)</f>
        <v>701998.86</v>
      </c>
      <c r="AD463" s="1474"/>
      <c r="AE463" s="1474"/>
      <c r="AF463" s="1474"/>
      <c r="AG463" s="177"/>
      <c r="AH463" s="177"/>
      <c r="AI463" s="177"/>
      <c r="AJ463" s="183"/>
      <c r="AZ463" s="3"/>
      <c r="BA463" s="3" t="str">
        <f>AG583</f>
        <v>Yes</v>
      </c>
      <c r="BB463" s="3"/>
      <c r="BC463" s="3"/>
    </row>
    <row r="464" spans="4:55" ht="12.9"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4">
        <f>IF(AG446=0,"",'Sources and Uses Budget'!C105/Application!AG446)</f>
        <v>701998.86</v>
      </c>
      <c r="AD464" s="1474"/>
      <c r="AE464" s="1474"/>
      <c r="AF464" s="1474"/>
      <c r="AG464" s="177"/>
      <c r="AH464" s="177"/>
      <c r="AI464" s="177"/>
      <c r="AJ464" s="183"/>
      <c r="AZ464" s="3"/>
      <c r="BA464" s="3"/>
      <c r="BB464" s="3"/>
      <c r="BC464" s="3"/>
    </row>
    <row r="465" spans="1:55" ht="12.9"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4">
        <f>IF(AG446=0,"",('Sources and Uses Budget'!$S$107+'Sources and Uses Budget'!$T$107)/Application!AG446)</f>
        <v>692298.48</v>
      </c>
      <c r="AD465" s="1474"/>
      <c r="AE465" s="1474"/>
      <c r="AF465" s="1474"/>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408" t="s">
        <v>2054</v>
      </c>
      <c r="E473" s="1439"/>
      <c r="F473" s="1439"/>
      <c r="G473" s="1439"/>
      <c r="H473" s="1439"/>
      <c r="I473" s="1439"/>
      <c r="J473" s="1439"/>
      <c r="K473" s="1439"/>
      <c r="L473" s="1439"/>
      <c r="M473" s="1439"/>
      <c r="N473" s="1439"/>
      <c r="O473" s="1439"/>
      <c r="P473" s="1439"/>
      <c r="Q473" s="1439"/>
      <c r="R473" s="1439"/>
      <c r="S473" s="1439"/>
      <c r="T473" s="1439"/>
      <c r="U473" s="1439"/>
      <c r="V473" s="1440"/>
      <c r="W473" s="1399"/>
      <c r="X473" s="1400"/>
      <c r="Y473" s="1401"/>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438" t="s">
        <v>691</v>
      </c>
      <c r="E474" s="1439"/>
      <c r="F474" s="1439"/>
      <c r="G474" s="1439"/>
      <c r="H474" s="1439"/>
      <c r="I474" s="1439"/>
      <c r="J474" s="1439"/>
      <c r="K474" s="1439"/>
      <c r="L474" s="1439"/>
      <c r="M474" s="1439"/>
      <c r="N474" s="1439"/>
      <c r="O474" s="1439"/>
      <c r="P474" s="1439"/>
      <c r="Q474" s="1439"/>
      <c r="R474" s="1439"/>
      <c r="S474" s="1439"/>
      <c r="T474" s="1439"/>
      <c r="U474" s="1439"/>
      <c r="V474" s="1440"/>
      <c r="W474" s="1399"/>
      <c r="X474" s="1400"/>
      <c r="Y474" s="1401"/>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438" t="s">
        <v>692</v>
      </c>
      <c r="E475" s="1439"/>
      <c r="F475" s="1439"/>
      <c r="G475" s="1439"/>
      <c r="H475" s="1439"/>
      <c r="I475" s="1439"/>
      <c r="J475" s="1439"/>
      <c r="K475" s="1439"/>
      <c r="L475" s="1439"/>
      <c r="M475" s="1439"/>
      <c r="N475" s="1439"/>
      <c r="O475" s="1439"/>
      <c r="P475" s="1439"/>
      <c r="Q475" s="1439"/>
      <c r="R475" s="1439"/>
      <c r="S475" s="1439"/>
      <c r="T475" s="1439"/>
      <c r="U475" s="1439"/>
      <c r="V475" s="1440"/>
      <c r="W475" s="1399"/>
      <c r="X475" s="1400"/>
      <c r="Y475" s="1401"/>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438" t="s">
        <v>693</v>
      </c>
      <c r="E476" s="1439"/>
      <c r="F476" s="1439"/>
      <c r="G476" s="1439"/>
      <c r="H476" s="1439"/>
      <c r="I476" s="1439"/>
      <c r="J476" s="1439"/>
      <c r="K476" s="1439"/>
      <c r="L476" s="1439"/>
      <c r="M476" s="1439"/>
      <c r="N476" s="1439"/>
      <c r="O476" s="1439"/>
      <c r="P476" s="1439"/>
      <c r="Q476" s="1439"/>
      <c r="R476" s="1439"/>
      <c r="S476" s="1439"/>
      <c r="T476" s="1439"/>
      <c r="U476" s="1439"/>
      <c r="V476" s="1440"/>
      <c r="W476" s="1399"/>
      <c r="X476" s="1400"/>
      <c r="Y476" s="1401"/>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438" t="s">
        <v>879</v>
      </c>
      <c r="E477" s="1439"/>
      <c r="F477" s="1439"/>
      <c r="G477" s="1439"/>
      <c r="H477" s="1439"/>
      <c r="I477" s="1439"/>
      <c r="J477" s="1439"/>
      <c r="K477" s="1439"/>
      <c r="L477" s="1439"/>
      <c r="M477" s="1439"/>
      <c r="N477" s="1439"/>
      <c r="O477" s="1439"/>
      <c r="P477" s="1439"/>
      <c r="Q477" s="1439"/>
      <c r="R477" s="1439"/>
      <c r="S477" s="1439"/>
      <c r="T477" s="1439"/>
      <c r="U477" s="1439"/>
      <c r="V477" s="1440"/>
      <c r="W477" s="1399"/>
      <c r="X477" s="1400"/>
      <c r="Y477" s="1401"/>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438" t="s">
        <v>694</v>
      </c>
      <c r="E478" s="1439"/>
      <c r="F478" s="1439"/>
      <c r="G478" s="1439"/>
      <c r="H478" s="1439"/>
      <c r="I478" s="1439"/>
      <c r="J478" s="1439"/>
      <c r="K478" s="1439"/>
      <c r="L478" s="1439"/>
      <c r="M478" s="1439"/>
      <c r="N478" s="1439"/>
      <c r="O478" s="1439"/>
      <c r="P478" s="1439"/>
      <c r="Q478" s="1439"/>
      <c r="R478" s="1439"/>
      <c r="S478" s="1439"/>
      <c r="T478" s="1439"/>
      <c r="U478" s="1439"/>
      <c r="V478" s="1440"/>
      <c r="W478" s="1399"/>
      <c r="X478" s="1400"/>
      <c r="Y478" s="1401"/>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438" t="s">
        <v>1010</v>
      </c>
      <c r="E479" s="1439"/>
      <c r="F479" s="1439"/>
      <c r="G479" s="1439"/>
      <c r="H479" s="1439"/>
      <c r="I479" s="1439"/>
      <c r="J479" s="1439"/>
      <c r="K479" s="1439"/>
      <c r="L479" s="1439"/>
      <c r="M479" s="1439"/>
      <c r="N479" s="1439"/>
      <c r="O479" s="1439"/>
      <c r="P479" s="1439"/>
      <c r="Q479" s="1439"/>
      <c r="R479" s="1439"/>
      <c r="S479" s="1439"/>
      <c r="T479" s="1439"/>
      <c r="U479" s="1439"/>
      <c r="V479" s="1440"/>
      <c r="W479" s="1399"/>
      <c r="X479" s="1400"/>
      <c r="Y479" s="1401"/>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408" t="s">
        <v>2144</v>
      </c>
      <c r="E480" s="1409"/>
      <c r="F480" s="1409"/>
      <c r="G480" s="1409"/>
      <c r="H480" s="1409"/>
      <c r="I480" s="1409"/>
      <c r="J480" s="1409"/>
      <c r="K480" s="1409"/>
      <c r="L480" s="1409"/>
      <c r="M480" s="1409"/>
      <c r="N480" s="1409"/>
      <c r="O480" s="1409"/>
      <c r="P480" s="1409"/>
      <c r="Q480" s="1409"/>
      <c r="R480" s="1409"/>
      <c r="S480" s="1409"/>
      <c r="T480" s="1409"/>
      <c r="U480" s="1409"/>
      <c r="V480" s="1410"/>
      <c r="W480" s="1399"/>
      <c r="X480" s="1400"/>
      <c r="Y480" s="1401"/>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408" t="s">
        <v>1641</v>
      </c>
      <c r="E481" s="1439"/>
      <c r="F481" s="1439"/>
      <c r="G481" s="1439"/>
      <c r="H481" s="1439"/>
      <c r="I481" s="1439"/>
      <c r="J481" s="1439"/>
      <c r="K481" s="1439"/>
      <c r="L481" s="1439"/>
      <c r="M481" s="1439"/>
      <c r="N481" s="1439"/>
      <c r="O481" s="1439"/>
      <c r="P481" s="1439"/>
      <c r="Q481" s="1439"/>
      <c r="R481" s="1439"/>
      <c r="S481" s="1439"/>
      <c r="T481" s="1439"/>
      <c r="U481" s="1439"/>
      <c r="V481" s="1440"/>
      <c r="W481" s="1399">
        <v>23</v>
      </c>
      <c r="X481" s="1400"/>
      <c r="Y481" s="1401"/>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1832" t="s">
        <v>2724</v>
      </c>
      <c r="H482" s="1833"/>
      <c r="I482" s="1833"/>
      <c r="J482" s="1833"/>
      <c r="K482" s="1833"/>
      <c r="L482" s="1833"/>
      <c r="M482" s="1833"/>
      <c r="N482" s="1833"/>
      <c r="O482" s="1833"/>
      <c r="P482" s="1833"/>
      <c r="Q482" s="1833"/>
      <c r="R482" s="1833"/>
      <c r="S482" s="1833"/>
      <c r="T482" s="1833"/>
      <c r="U482" s="1833"/>
      <c r="V482" s="1834"/>
      <c r="W482" s="1399">
        <v>15</v>
      </c>
      <c r="X482" s="1400"/>
      <c r="Y482" s="1401"/>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534" t="s">
        <v>808</v>
      </c>
      <c r="B488" s="1534"/>
      <c r="C488" s="1534"/>
      <c r="D488" s="1534"/>
      <c r="E488" s="1534"/>
      <c r="F488" s="1534"/>
      <c r="G488" s="1534"/>
      <c r="H488" s="1534"/>
      <c r="I488" s="1534"/>
      <c r="J488" s="1534"/>
      <c r="K488" s="1534"/>
      <c r="L488" s="1534"/>
      <c r="M488" s="1534"/>
      <c r="N488" s="1534"/>
      <c r="O488" s="1534"/>
      <c r="P488" s="1534"/>
      <c r="Q488" s="1534"/>
      <c r="R488" s="1534"/>
      <c r="S488" s="1534"/>
      <c r="T488" s="1534"/>
      <c r="U488" s="1534"/>
      <c r="V488" s="1534"/>
      <c r="W488" s="1534"/>
      <c r="X488" s="1534"/>
      <c r="Y488" s="1534"/>
      <c r="Z488" s="1534"/>
      <c r="AA488" s="1534"/>
      <c r="AB488" s="1534"/>
      <c r="AC488" s="1534"/>
      <c r="AD488" s="1534"/>
      <c r="AE488" s="1534"/>
      <c r="AF488" s="1534"/>
      <c r="AG488" s="1534"/>
      <c r="AH488" s="1534"/>
      <c r="AI488" s="1534"/>
      <c r="AJ488" s="1534"/>
      <c r="AK488" s="1534"/>
      <c r="AL488" s="1534"/>
      <c r="AM488" s="1534"/>
      <c r="AN488" s="1534"/>
      <c r="AO488" s="1534"/>
      <c r="AP488" s="1534"/>
      <c r="AQ488" s="1534"/>
      <c r="AR488" s="1534"/>
      <c r="AS488" s="1534"/>
      <c r="AT488" s="1534"/>
      <c r="AU488" s="95"/>
      <c r="AV488" s="95"/>
      <c r="AW488" s="95"/>
      <c r="AX488" s="95"/>
      <c r="AY488" s="95"/>
      <c r="AZ488" s="3"/>
      <c r="BB488" s="3"/>
      <c r="BC488" s="3"/>
    </row>
    <row r="489" spans="1:55" ht="12.9" customHeight="1">
      <c r="A489" s="1534"/>
      <c r="B489" s="1534"/>
      <c r="C489" s="1534"/>
      <c r="D489" s="1534"/>
      <c r="E489" s="1534"/>
      <c r="F489" s="1534"/>
      <c r="G489" s="1534"/>
      <c r="H489" s="1534"/>
      <c r="I489" s="1534"/>
      <c r="J489" s="1534"/>
      <c r="K489" s="1534"/>
      <c r="L489" s="1534"/>
      <c r="M489" s="1534"/>
      <c r="N489" s="1534"/>
      <c r="O489" s="1534"/>
      <c r="P489" s="1534"/>
      <c r="Q489" s="1534"/>
      <c r="R489" s="1534"/>
      <c r="S489" s="1534"/>
      <c r="T489" s="1534"/>
      <c r="U489" s="1534"/>
      <c r="V489" s="1534"/>
      <c r="W489" s="1534"/>
      <c r="X489" s="1534"/>
      <c r="Y489" s="1534"/>
      <c r="Z489" s="1534"/>
      <c r="AA489" s="1534"/>
      <c r="AB489" s="1534"/>
      <c r="AC489" s="1534"/>
      <c r="AD489" s="1534"/>
      <c r="AE489" s="1534"/>
      <c r="AF489" s="1534"/>
      <c r="AG489" s="1534"/>
      <c r="AH489" s="1534"/>
      <c r="AI489" s="1534"/>
      <c r="AJ489" s="1534"/>
      <c r="AK489" s="1534"/>
      <c r="AL489" s="1534"/>
      <c r="AM489" s="1534"/>
      <c r="AN489" s="1534"/>
      <c r="AO489" s="1534"/>
      <c r="AP489" s="1534"/>
      <c r="AQ489" s="1534"/>
      <c r="AR489" s="1534"/>
      <c r="AS489" s="1534"/>
      <c r="AT489" s="1534"/>
      <c r="AZ489" s="3"/>
      <c r="BB489" s="3"/>
      <c r="BC489" s="3"/>
    </row>
    <row r="490" spans="1:55" ht="12.9" customHeight="1">
      <c r="AZ490" s="3"/>
      <c r="BB490" s="3"/>
      <c r="BC490" s="3"/>
    </row>
    <row r="491" spans="1:55" ht="12.9" customHeight="1">
      <c r="A491" s="2" t="s">
        <v>318</v>
      </c>
      <c r="C491" s="2" t="s">
        <v>806</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402" t="s">
        <v>392</v>
      </c>
      <c r="R493" s="1403"/>
      <c r="S493" s="1403"/>
      <c r="T493" s="1403"/>
      <c r="U493" s="1403"/>
      <c r="V493" s="1403"/>
      <c r="W493" s="1403"/>
      <c r="X493" s="1403"/>
      <c r="Y493" s="1403"/>
      <c r="Z493" s="1403"/>
      <c r="AA493" s="1403"/>
      <c r="AB493" s="1403"/>
      <c r="AC493" s="1403"/>
      <c r="AD493" s="1403"/>
      <c r="AE493" s="1403"/>
      <c r="AF493" s="1403"/>
      <c r="AG493" s="1403"/>
      <c r="AH493" s="1403"/>
      <c r="AI493" s="1403"/>
      <c r="AJ493" s="1403"/>
      <c r="AK493" s="1404"/>
      <c r="AZ493" s="3"/>
      <c r="BB493" s="3"/>
      <c r="BC493" s="3"/>
    </row>
    <row r="494" spans="1:55" ht="12.9" customHeight="1">
      <c r="B494" s="45" t="s">
        <v>393</v>
      </c>
      <c r="C494" s="5"/>
      <c r="D494" s="5"/>
      <c r="E494" s="5"/>
      <c r="F494" s="5"/>
      <c r="G494" s="5"/>
      <c r="H494" s="5"/>
      <c r="I494" s="5"/>
      <c r="J494" s="5"/>
      <c r="K494" s="5"/>
      <c r="L494" s="5"/>
      <c r="M494" s="5"/>
      <c r="N494" s="5"/>
      <c r="O494" s="5"/>
      <c r="P494" s="5"/>
      <c r="Q494" s="1469" t="s">
        <v>2764</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470"/>
      <c r="AZ494" s="3"/>
      <c r="BB494" s="3"/>
      <c r="BC494" s="3"/>
    </row>
    <row r="495" spans="1:55" ht="12.9" customHeight="1">
      <c r="B495" s="45" t="s">
        <v>394</v>
      </c>
      <c r="C495" s="5"/>
      <c r="D495" s="5"/>
      <c r="E495" s="5"/>
      <c r="F495" s="5"/>
      <c r="G495" s="5"/>
      <c r="H495" s="5"/>
      <c r="I495" s="5"/>
      <c r="J495" s="5"/>
      <c r="K495" s="5"/>
      <c r="L495" s="5"/>
      <c r="M495" s="5"/>
      <c r="N495" s="5"/>
      <c r="O495" s="5"/>
      <c r="P495" s="5"/>
      <c r="Q495" s="1469" t="s">
        <v>2765</v>
      </c>
      <c r="R495" s="1369"/>
      <c r="S495" s="1369"/>
      <c r="T495" s="1369"/>
      <c r="U495" s="1369"/>
      <c r="V495" s="1369"/>
      <c r="W495" s="1369"/>
      <c r="X495" s="1369"/>
      <c r="Y495" s="1369"/>
      <c r="Z495" s="1369"/>
      <c r="AA495" s="1369"/>
      <c r="AB495" s="1369"/>
      <c r="AC495" s="1369"/>
      <c r="AD495" s="1369"/>
      <c r="AE495" s="1369"/>
      <c r="AF495" s="1369"/>
      <c r="AG495" s="1369"/>
      <c r="AH495" s="1369"/>
      <c r="AI495" s="1369"/>
      <c r="AJ495" s="1369"/>
      <c r="AK495" s="1470"/>
      <c r="AZ495" s="3"/>
      <c r="BB495" s="3"/>
      <c r="BC495" s="3"/>
    </row>
    <row r="496" spans="1:55" ht="12.9" customHeight="1">
      <c r="B496" s="45" t="s">
        <v>395</v>
      </c>
      <c r="C496" s="5"/>
      <c r="D496" s="5"/>
      <c r="E496" s="5"/>
      <c r="F496" s="5"/>
      <c r="G496" s="5"/>
      <c r="H496" s="5"/>
      <c r="I496" s="5"/>
      <c r="J496" s="5"/>
      <c r="K496" s="5"/>
      <c r="L496" s="5"/>
      <c r="M496" s="5"/>
      <c r="N496" s="5"/>
      <c r="O496" s="5"/>
      <c r="P496" s="5"/>
      <c r="Q496" s="1469" t="s">
        <v>2765</v>
      </c>
      <c r="R496" s="1369"/>
      <c r="S496" s="1369"/>
      <c r="T496" s="1369"/>
      <c r="U496" s="1369"/>
      <c r="V496" s="1369"/>
      <c r="W496" s="1369"/>
      <c r="X496" s="1369"/>
      <c r="Y496" s="1369"/>
      <c r="Z496" s="1369"/>
      <c r="AA496" s="1369"/>
      <c r="AB496" s="1369"/>
      <c r="AC496" s="1369"/>
      <c r="AD496" s="1369"/>
      <c r="AE496" s="1369"/>
      <c r="AF496" s="1369"/>
      <c r="AG496" s="1369"/>
      <c r="AH496" s="1369"/>
      <c r="AI496" s="1369"/>
      <c r="AJ496" s="1369"/>
      <c r="AK496" s="1470"/>
      <c r="AZ496" s="3"/>
      <c r="BA496" s="3"/>
      <c r="BB496" s="3"/>
      <c r="BC496" s="3"/>
    </row>
    <row r="497" spans="1:66" ht="12.9" customHeight="1">
      <c r="B497" s="1459" t="s">
        <v>396</v>
      </c>
      <c r="C497" s="1460"/>
      <c r="D497" s="1460"/>
      <c r="E497" s="1460"/>
      <c r="F497" s="1460"/>
      <c r="G497" s="1460"/>
      <c r="H497" s="1460"/>
      <c r="I497" s="1460"/>
      <c r="J497" s="1460"/>
      <c r="K497" s="1460"/>
      <c r="L497" s="1460"/>
      <c r="M497" s="1460"/>
      <c r="N497" s="1460"/>
      <c r="O497" s="1460"/>
      <c r="P497" s="1461"/>
      <c r="Q497" s="1465" t="s">
        <v>544</v>
      </c>
      <c r="R497" s="1466"/>
      <c r="S497" s="1576" t="s">
        <v>2747</v>
      </c>
      <c r="T497" s="1577"/>
      <c r="U497" s="1577"/>
      <c r="V497" s="1577"/>
      <c r="W497" s="1577"/>
      <c r="X497" s="1577"/>
      <c r="Y497" s="1577"/>
      <c r="Z497" s="1577"/>
      <c r="AA497" s="1577"/>
      <c r="AB497" s="1577"/>
      <c r="AC497" s="1577"/>
      <c r="AD497" s="1577"/>
      <c r="AE497" s="1577"/>
      <c r="AF497" s="1577"/>
      <c r="AG497" s="1577"/>
      <c r="AH497" s="1577"/>
      <c r="AI497" s="1577"/>
      <c r="AJ497" s="1577"/>
      <c r="AK497" s="1578"/>
      <c r="AZ497" s="3"/>
      <c r="BA497" s="3"/>
      <c r="BB497" s="3"/>
      <c r="BC497" s="3"/>
    </row>
    <row r="498" spans="1:66" ht="12.9" customHeight="1">
      <c r="B498" s="1462"/>
      <c r="C498" s="1463"/>
      <c r="D498" s="1463"/>
      <c r="E498" s="1463"/>
      <c r="F498" s="1463"/>
      <c r="G498" s="1463"/>
      <c r="H498" s="1463"/>
      <c r="I498" s="1463"/>
      <c r="J498" s="1463"/>
      <c r="K498" s="1463"/>
      <c r="L498" s="1463"/>
      <c r="M498" s="1463"/>
      <c r="N498" s="1463"/>
      <c r="O498" s="1463"/>
      <c r="P498" s="1464"/>
      <c r="Q498" s="1467"/>
      <c r="R498" s="1468"/>
      <c r="S498" s="1579"/>
      <c r="T498" s="1525"/>
      <c r="U498" s="1525"/>
      <c r="V498" s="1525"/>
      <c r="W498" s="1525"/>
      <c r="X498" s="1525"/>
      <c r="Y498" s="1525"/>
      <c r="Z498" s="1525"/>
      <c r="AA498" s="1525"/>
      <c r="AB498" s="1525"/>
      <c r="AC498" s="1525"/>
      <c r="AD498" s="1525"/>
      <c r="AE498" s="1525"/>
      <c r="AF498" s="1525"/>
      <c r="AG498" s="1525"/>
      <c r="AH498" s="1525"/>
      <c r="AI498" s="1525"/>
      <c r="AJ498" s="1525"/>
      <c r="AK498" s="1580"/>
      <c r="AZ498" s="3"/>
      <c r="BA498" s="3"/>
      <c r="BB498" s="3"/>
      <c r="BC498" s="3"/>
    </row>
    <row r="499" spans="1:66" ht="12.9" customHeight="1">
      <c r="B499" s="891" t="s">
        <v>1658</v>
      </c>
      <c r="C499" s="869"/>
      <c r="D499" s="869"/>
      <c r="E499" s="869"/>
      <c r="F499" s="869"/>
      <c r="G499" s="869"/>
      <c r="H499" s="869"/>
      <c r="I499" s="869"/>
      <c r="J499" s="869"/>
      <c r="K499" s="869"/>
      <c r="L499" s="869"/>
      <c r="M499" s="869"/>
      <c r="N499" s="869"/>
      <c r="O499" s="869"/>
      <c r="P499" s="869"/>
      <c r="Q499" s="1475" t="s">
        <v>667</v>
      </c>
      <c r="R499" s="1476"/>
      <c r="S499" s="1476"/>
      <c r="T499" s="1476"/>
      <c r="U499" s="1476"/>
      <c r="V499" s="1476"/>
      <c r="W499" s="1476"/>
      <c r="X499" s="1476"/>
      <c r="Y499" s="1476"/>
      <c r="Z499" s="1476"/>
      <c r="AA499" s="1476"/>
      <c r="AB499" s="1476"/>
      <c r="AC499" s="1476"/>
      <c r="AD499" s="1476"/>
      <c r="AE499" s="1476"/>
      <c r="AF499" s="1476"/>
      <c r="AG499" s="1476"/>
      <c r="AH499" s="1476"/>
      <c r="AI499" s="1476"/>
      <c r="AJ499" s="1476"/>
      <c r="AK499" s="1477"/>
      <c r="AZ499" s="3"/>
      <c r="BA499" s="3"/>
      <c r="BB499" s="3"/>
      <c r="BC499" s="3"/>
    </row>
    <row r="500" spans="1:66" ht="12.9" customHeight="1">
      <c r="B500" s="45" t="s">
        <v>397</v>
      </c>
      <c r="C500" s="5"/>
      <c r="D500" s="5"/>
      <c r="E500" s="5"/>
      <c r="F500" s="5"/>
      <c r="G500" s="5"/>
      <c r="H500" s="5"/>
      <c r="I500" s="5"/>
      <c r="J500" s="5"/>
      <c r="K500" s="5"/>
      <c r="L500" s="5"/>
      <c r="M500" s="5"/>
      <c r="N500" s="5"/>
      <c r="O500" s="5"/>
      <c r="P500" s="5"/>
      <c r="Q500" s="1469" t="s">
        <v>2766</v>
      </c>
      <c r="R500" s="1369"/>
      <c r="S500" s="1369"/>
      <c r="T500" s="1369"/>
      <c r="U500" s="1369"/>
      <c r="V500" s="1369"/>
      <c r="W500" s="1369"/>
      <c r="X500" s="1369"/>
      <c r="Y500" s="1369"/>
      <c r="Z500" s="1369"/>
      <c r="AA500" s="1369"/>
      <c r="AB500" s="1369"/>
      <c r="AC500" s="1369"/>
      <c r="AD500" s="1369"/>
      <c r="AE500" s="1369"/>
      <c r="AF500" s="1369"/>
      <c r="AG500" s="1369"/>
      <c r="AH500" s="1369"/>
      <c r="AI500" s="1369"/>
      <c r="AJ500" s="1369"/>
      <c r="AK500" s="1470"/>
      <c r="AZ500" s="3"/>
      <c r="BA500" s="3"/>
      <c r="BB500" s="3"/>
      <c r="BC500" s="3"/>
    </row>
    <row r="501" spans="1:66" ht="12.9" customHeight="1">
      <c r="B501" s="45" t="s">
        <v>398</v>
      </c>
      <c r="C501" s="5"/>
      <c r="D501" s="5"/>
      <c r="E501" s="5"/>
      <c r="F501" s="5"/>
      <c r="G501" s="5"/>
      <c r="H501" s="5"/>
      <c r="I501" s="5"/>
      <c r="J501" s="5"/>
      <c r="K501" s="5"/>
      <c r="L501" s="5"/>
      <c r="M501" s="5"/>
      <c r="N501" s="5"/>
      <c r="O501" s="5"/>
      <c r="P501" s="5"/>
      <c r="Q501" s="1469" t="s">
        <v>2767</v>
      </c>
      <c r="R501" s="1369"/>
      <c r="S501" s="1369"/>
      <c r="T501" s="1369"/>
      <c r="U501" s="1369"/>
      <c r="V501" s="1369"/>
      <c r="W501" s="1369"/>
      <c r="X501" s="1369"/>
      <c r="Y501" s="1369"/>
      <c r="Z501" s="1369"/>
      <c r="AA501" s="1369"/>
      <c r="AB501" s="1369"/>
      <c r="AC501" s="1369"/>
      <c r="AD501" s="1369"/>
      <c r="AE501" s="1369"/>
      <c r="AF501" s="1369"/>
      <c r="AG501" s="1369"/>
      <c r="AH501" s="1369"/>
      <c r="AI501" s="1369"/>
      <c r="AJ501" s="1369"/>
      <c r="AK501" s="1470"/>
      <c r="AZ501" s="3"/>
      <c r="BA501" s="3"/>
      <c r="BB501" s="3"/>
      <c r="BC501" s="3"/>
    </row>
    <row r="502" spans="1:66" ht="12.9" customHeight="1">
      <c r="B502" s="121" t="s">
        <v>1655</v>
      </c>
      <c r="C502" s="5"/>
      <c r="D502" s="5"/>
      <c r="E502" s="5"/>
      <c r="F502" s="5"/>
      <c r="G502" s="5"/>
      <c r="H502" s="5"/>
      <c r="I502" s="5"/>
      <c r="J502" s="5"/>
      <c r="K502" s="5"/>
      <c r="L502" s="5"/>
      <c r="M502" s="5"/>
      <c r="N502" s="5"/>
      <c r="O502" s="5"/>
      <c r="P502" s="5"/>
      <c r="Q502" s="1500">
        <v>90</v>
      </c>
      <c r="R502" s="1369"/>
      <c r="S502" s="1369"/>
      <c r="T502" s="1369"/>
      <c r="U502" s="1369"/>
      <c r="V502" s="1369"/>
      <c r="W502" s="1369"/>
      <c r="X502" s="1369"/>
      <c r="Y502" s="1369"/>
      <c r="Z502" s="1369"/>
      <c r="AA502" s="1369"/>
      <c r="AB502" s="1369"/>
      <c r="AC502" s="1369"/>
      <c r="AD502" s="1369"/>
      <c r="AE502" s="1369"/>
      <c r="AF502" s="1369"/>
      <c r="AG502" s="1369"/>
      <c r="AH502" s="1369"/>
      <c r="AI502" s="1369"/>
      <c r="AJ502" s="1369"/>
      <c r="AK502" s="1470"/>
      <c r="AZ502" s="3"/>
      <c r="BA502" s="3"/>
      <c r="BB502" s="3"/>
      <c r="BC502" s="3"/>
    </row>
    <row r="503" spans="1:66" ht="12.9" customHeight="1">
      <c r="B503" s="121" t="s">
        <v>1656</v>
      </c>
      <c r="C503" s="5"/>
      <c r="D503" s="5"/>
      <c r="E503" s="5"/>
      <c r="F503" s="5"/>
      <c r="G503" s="5"/>
      <c r="H503" s="5"/>
      <c r="I503" s="5"/>
      <c r="J503" s="5"/>
      <c r="K503" s="5"/>
      <c r="L503" s="5"/>
      <c r="M503" s="1478">
        <v>90</v>
      </c>
      <c r="N503" s="1479"/>
      <c r="O503" s="1479"/>
      <c r="P503" s="1480"/>
      <c r="Q503" s="121" t="s">
        <v>1657</v>
      </c>
      <c r="R503" s="5"/>
      <c r="S503" s="5"/>
      <c r="T503" s="5"/>
      <c r="U503" s="5"/>
      <c r="V503" s="5"/>
      <c r="W503" s="5"/>
      <c r="X503" s="5"/>
      <c r="Y503" s="5"/>
      <c r="Z503" s="5"/>
      <c r="AA503" s="5"/>
      <c r="AB503" s="5"/>
      <c r="AC503" s="5"/>
      <c r="AD503" s="5"/>
      <c r="AE503" s="5"/>
      <c r="AF503" s="5"/>
      <c r="AG503" s="5"/>
      <c r="AH503" s="1478"/>
      <c r="AI503" s="1479"/>
      <c r="AJ503" s="1479"/>
      <c r="AK503" s="1480"/>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2" t="s">
        <v>400</v>
      </c>
      <c r="AD507" s="1403"/>
      <c r="AE507" s="1403"/>
      <c r="AF507" s="1403"/>
      <c r="AG507" s="1403"/>
      <c r="AH507" s="1403"/>
      <c r="AI507" s="1403"/>
      <c r="AJ507" s="1403"/>
      <c r="AK507" s="1404"/>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2" t="s">
        <v>401</v>
      </c>
      <c r="AD508" s="1403"/>
      <c r="AE508" s="1403"/>
      <c r="AF508" s="1403"/>
      <c r="AG508" s="50" t="s">
        <v>402</v>
      </c>
      <c r="AH508" s="1403" t="s">
        <v>403</v>
      </c>
      <c r="AI508" s="1403"/>
      <c r="AJ508" s="1403"/>
      <c r="AK508" s="1404"/>
      <c r="AZ508" s="3"/>
      <c r="BA508" s="3"/>
      <c r="BB508" s="3"/>
      <c r="BC508" s="3"/>
      <c r="BD508" s="3"/>
      <c r="BE508" s="3"/>
      <c r="BF508" s="3"/>
      <c r="BG508" s="3"/>
      <c r="BH508" s="3"/>
      <c r="BI508" s="3"/>
      <c r="BJ508" s="3"/>
      <c r="BK508" s="3"/>
      <c r="BL508" s="3"/>
      <c r="BM508" s="3"/>
      <c r="BN508" s="3"/>
    </row>
    <row r="509" spans="1:66" ht="12.9" customHeight="1">
      <c r="B509" s="1411" t="s">
        <v>404</v>
      </c>
      <c r="C509" s="1412"/>
      <c r="D509" s="1412"/>
      <c r="E509" s="1412"/>
      <c r="F509" s="1412"/>
      <c r="G509" s="1412"/>
      <c r="H509" s="1413"/>
      <c r="I509" s="42" t="s">
        <v>405</v>
      </c>
      <c r="J509" s="42"/>
      <c r="K509" s="42"/>
      <c r="L509" s="42"/>
      <c r="M509" s="42"/>
      <c r="N509" s="42"/>
      <c r="O509" s="42"/>
      <c r="P509" s="42"/>
      <c r="Q509" s="42"/>
      <c r="R509" s="42"/>
      <c r="S509" s="42"/>
      <c r="T509" s="42"/>
      <c r="U509" s="42"/>
      <c r="V509" s="42"/>
      <c r="W509" s="42"/>
      <c r="AC509" s="1391" t="s">
        <v>590</v>
      </c>
      <c r="AD509" s="1392"/>
      <c r="AE509" s="1392"/>
      <c r="AF509" s="1392"/>
      <c r="AG509" s="13" t="s">
        <v>402</v>
      </c>
      <c r="AH509" s="1394"/>
      <c r="AI509" s="1394"/>
      <c r="AJ509" s="1394"/>
      <c r="AK509" s="1395"/>
      <c r="AZ509" s="3"/>
      <c r="BA509" s="3"/>
      <c r="BB509" s="3"/>
      <c r="BC509" s="3"/>
      <c r="BD509" s="3"/>
      <c r="BE509" s="3"/>
      <c r="BF509" s="3"/>
      <c r="BG509" s="3"/>
      <c r="BH509" s="3"/>
      <c r="BI509" s="3"/>
      <c r="BJ509" s="3"/>
      <c r="BK509" s="3"/>
      <c r="BL509" s="3"/>
      <c r="BM509" s="3"/>
      <c r="BN509" s="3"/>
    </row>
    <row r="510" spans="1:66" ht="12.9" customHeight="1">
      <c r="B510" s="1414"/>
      <c r="C510" s="1415"/>
      <c r="D510" s="1415"/>
      <c r="E510" s="1415"/>
      <c r="F510" s="1415"/>
      <c r="G510" s="1415"/>
      <c r="H510" s="1416"/>
      <c r="I510" s="48" t="s">
        <v>406</v>
      </c>
      <c r="J510" s="48"/>
      <c r="K510" s="48"/>
      <c r="L510" s="48"/>
      <c r="M510" s="48"/>
      <c r="N510" s="48"/>
      <c r="O510" s="48"/>
      <c r="P510" s="48"/>
      <c r="Q510" s="48"/>
      <c r="R510" s="48"/>
      <c r="S510" s="48"/>
      <c r="T510" s="48"/>
      <c r="U510" s="48"/>
      <c r="V510" s="48"/>
      <c r="W510" s="48"/>
      <c r="X510" s="48"/>
      <c r="Y510" s="48"/>
      <c r="Z510" s="48"/>
      <c r="AA510" s="48"/>
      <c r="AB510" s="48"/>
      <c r="AC510" s="1391" t="s">
        <v>590</v>
      </c>
      <c r="AD510" s="1392"/>
      <c r="AE510" s="1392"/>
      <c r="AF510" s="1392"/>
      <c r="AG510" s="38" t="s">
        <v>402</v>
      </c>
      <c r="AH510" s="1394"/>
      <c r="AI510" s="1394"/>
      <c r="AJ510" s="1394"/>
      <c r="AK510" s="1395"/>
      <c r="AZ510" s="3"/>
      <c r="BA510" s="3"/>
      <c r="BB510" s="3"/>
      <c r="BC510" s="3"/>
      <c r="BD510" s="3"/>
      <c r="BE510" s="3"/>
      <c r="BF510" s="3"/>
      <c r="BG510" s="3"/>
      <c r="BH510" s="3"/>
      <c r="BI510" s="3"/>
      <c r="BJ510" s="3"/>
      <c r="BK510" s="3"/>
      <c r="BL510" s="3"/>
      <c r="BM510" s="3"/>
      <c r="BN510" s="3"/>
    </row>
    <row r="511" spans="1:66" ht="12.9" customHeight="1">
      <c r="B511" s="1411" t="s">
        <v>407</v>
      </c>
      <c r="C511" s="1412"/>
      <c r="D511" s="1412"/>
      <c r="E511" s="1412"/>
      <c r="F511" s="1412"/>
      <c r="G511" s="1412"/>
      <c r="H511" s="1413"/>
      <c r="I511" s="42" t="s">
        <v>408</v>
      </c>
      <c r="J511" s="42"/>
      <c r="K511" s="42"/>
      <c r="L511" s="42"/>
      <c r="M511" s="42"/>
      <c r="N511" s="42"/>
      <c r="O511" s="42"/>
      <c r="P511" s="42"/>
      <c r="Q511" s="42"/>
      <c r="R511" s="42"/>
      <c r="S511" s="42"/>
      <c r="T511" s="42"/>
      <c r="U511" s="42"/>
      <c r="V511" s="42"/>
      <c r="W511" s="42"/>
      <c r="AC511" s="1391" t="s">
        <v>590</v>
      </c>
      <c r="AD511" s="1392"/>
      <c r="AE511" s="1392"/>
      <c r="AF511" s="1392"/>
      <c r="AG511" s="13" t="s">
        <v>402</v>
      </c>
      <c r="AH511" s="1394"/>
      <c r="AI511" s="1394"/>
      <c r="AJ511" s="1394"/>
      <c r="AK511" s="1395"/>
      <c r="AZ511" s="3"/>
      <c r="BA511" s="3"/>
      <c r="BB511" s="3"/>
      <c r="BC511" s="3"/>
      <c r="BD511" s="3"/>
      <c r="BE511" s="3"/>
      <c r="BF511" s="3"/>
      <c r="BG511" s="3"/>
      <c r="BH511" s="3"/>
      <c r="BI511" s="3"/>
      <c r="BJ511" s="3"/>
      <c r="BK511" s="3"/>
      <c r="BL511" s="3"/>
      <c r="BM511" s="3"/>
      <c r="BN511" s="3"/>
    </row>
    <row r="512" spans="1:66" ht="12.9" customHeight="1">
      <c r="B512" s="1414"/>
      <c r="C512" s="1415"/>
      <c r="D512" s="1415"/>
      <c r="E512" s="1415"/>
      <c r="F512" s="1415"/>
      <c r="G512" s="1415"/>
      <c r="H512" s="1416"/>
      <c r="I512" t="s">
        <v>409</v>
      </c>
      <c r="AC512" s="1391" t="s">
        <v>590</v>
      </c>
      <c r="AD512" s="1392"/>
      <c r="AE512" s="1392"/>
      <c r="AF512" s="1392"/>
      <c r="AG512" s="13" t="s">
        <v>402</v>
      </c>
      <c r="AH512" s="1394"/>
      <c r="AI512" s="1394"/>
      <c r="AJ512" s="1394"/>
      <c r="AK512" s="1395"/>
      <c r="AZ512" s="3"/>
      <c r="BA512" s="3"/>
      <c r="BB512" s="3"/>
      <c r="BC512" s="3"/>
      <c r="BD512" s="3"/>
      <c r="BE512" s="3"/>
      <c r="BF512" s="3"/>
      <c r="BG512" s="3"/>
      <c r="BH512" s="3"/>
      <c r="BI512" s="3"/>
      <c r="BJ512" s="3"/>
      <c r="BK512" s="3"/>
      <c r="BL512" s="3"/>
      <c r="BM512" s="3"/>
      <c r="BN512" s="3"/>
    </row>
    <row r="513" spans="2:66" ht="12.9" customHeight="1">
      <c r="B513" s="1414"/>
      <c r="C513" s="1415"/>
      <c r="D513" s="1415"/>
      <c r="E513" s="1415"/>
      <c r="F513" s="1415"/>
      <c r="G513" s="1415"/>
      <c r="H513" s="1416"/>
      <c r="I513" t="s">
        <v>410</v>
      </c>
      <c r="AC513" s="1391">
        <v>4</v>
      </c>
      <c r="AD513" s="1392"/>
      <c r="AE513" s="1392"/>
      <c r="AF513" s="1392"/>
      <c r="AG513" s="13" t="s">
        <v>402</v>
      </c>
      <c r="AH513" s="1394">
        <v>2024</v>
      </c>
      <c r="AI513" s="1394"/>
      <c r="AJ513" s="1394"/>
      <c r="AK513" s="1395"/>
      <c r="AZ513" s="3"/>
      <c r="BA513" s="3"/>
      <c r="BB513" s="3"/>
      <c r="BC513" s="3"/>
      <c r="BD513" s="3"/>
      <c r="BE513" s="3"/>
      <c r="BF513" s="3"/>
      <c r="BG513" s="3"/>
      <c r="BH513" s="3"/>
      <c r="BI513" s="3"/>
      <c r="BJ513" s="3"/>
      <c r="BK513" s="3"/>
      <c r="BL513" s="3"/>
      <c r="BM513" s="3"/>
      <c r="BN513" s="3"/>
    </row>
    <row r="514" spans="2:66" ht="12.9" customHeight="1">
      <c r="B514" s="1414"/>
      <c r="C514" s="1415"/>
      <c r="D514" s="1415"/>
      <c r="E514" s="1415"/>
      <c r="F514" s="1415"/>
      <c r="G514" s="1415"/>
      <c r="H514" s="1416"/>
      <c r="I514" t="s">
        <v>411</v>
      </c>
      <c r="AC514" s="1391">
        <v>10</v>
      </c>
      <c r="AD514" s="1392"/>
      <c r="AE514" s="1392"/>
      <c r="AF514" s="1392"/>
      <c r="AG514" s="13" t="s">
        <v>402</v>
      </c>
      <c r="AH514" s="1394">
        <v>2026</v>
      </c>
      <c r="AI514" s="1394"/>
      <c r="AJ514" s="1394"/>
      <c r="AK514" s="1395"/>
      <c r="AZ514" s="3"/>
      <c r="BA514" s="3"/>
      <c r="BB514" s="3"/>
      <c r="BC514" s="3"/>
      <c r="BD514" s="3"/>
      <c r="BE514" s="3"/>
      <c r="BF514" s="3"/>
      <c r="BG514" s="3"/>
      <c r="BH514" s="3"/>
      <c r="BI514" s="3"/>
      <c r="BJ514" s="3"/>
      <c r="BK514" s="3"/>
      <c r="BL514" s="3"/>
      <c r="BM514" s="3"/>
      <c r="BN514" s="3"/>
    </row>
    <row r="515" spans="2:66" ht="12.9" customHeight="1">
      <c r="B515" s="1414"/>
      <c r="C515" s="1415"/>
      <c r="D515" s="1415"/>
      <c r="E515" s="1415"/>
      <c r="F515" s="1415"/>
      <c r="G515" s="1415"/>
      <c r="H515" s="1416"/>
      <c r="I515" s="3" t="s">
        <v>412</v>
      </c>
      <c r="AC515" s="1362">
        <v>10</v>
      </c>
      <c r="AD515" s="1363"/>
      <c r="AE515" s="1363"/>
      <c r="AF515" s="1363"/>
      <c r="AG515" s="13" t="s">
        <v>402</v>
      </c>
      <c r="AH515" s="1394">
        <v>2026</v>
      </c>
      <c r="AI515" s="1394"/>
      <c r="AJ515" s="1394"/>
      <c r="AK515" s="1395"/>
      <c r="AZ515" s="3"/>
      <c r="BA515" s="3"/>
      <c r="BB515" s="3"/>
      <c r="BC515" s="3"/>
      <c r="BD515" s="3"/>
      <c r="BE515" s="3"/>
      <c r="BF515" s="3"/>
      <c r="BG515" s="3"/>
      <c r="BH515" s="3"/>
      <c r="BI515" s="3"/>
      <c r="BJ515" s="3"/>
      <c r="BK515" s="3"/>
      <c r="BL515" s="3"/>
      <c r="BM515" s="3"/>
      <c r="BN515" s="3"/>
    </row>
    <row r="516" spans="2:66" ht="12.9" customHeight="1">
      <c r="B516" s="1414"/>
      <c r="C516" s="1415"/>
      <c r="D516" s="1415"/>
      <c r="E516" s="1415"/>
      <c r="F516" s="1415"/>
      <c r="G516" s="1415"/>
      <c r="H516" s="1416"/>
      <c r="I516" s="892" t="s">
        <v>169</v>
      </c>
      <c r="J516" s="48"/>
      <c r="K516" s="48"/>
      <c r="L516" s="1471" t="s">
        <v>333</v>
      </c>
      <c r="M516" s="1472"/>
      <c r="N516" s="1472"/>
      <c r="O516" s="1472"/>
      <c r="P516" s="1472"/>
      <c r="Q516" s="1472"/>
      <c r="R516" s="1472"/>
      <c r="S516" s="1472"/>
      <c r="T516" s="1472"/>
      <c r="U516" s="1472"/>
      <c r="V516" s="1472"/>
      <c r="W516" s="1472"/>
      <c r="X516" s="1472"/>
      <c r="Y516" s="1472"/>
      <c r="Z516" s="1472"/>
      <c r="AA516" s="1472"/>
      <c r="AB516" s="1473"/>
      <c r="AC516" s="1391" t="s">
        <v>590</v>
      </c>
      <c r="AD516" s="1392"/>
      <c r="AE516" s="1392"/>
      <c r="AF516" s="1392"/>
      <c r="AG516" s="38" t="s">
        <v>402</v>
      </c>
      <c r="AH516" s="1394"/>
      <c r="AI516" s="1394"/>
      <c r="AJ516" s="1394"/>
      <c r="AK516" s="1395"/>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1662</v>
      </c>
      <c r="AC517" s="1502" t="s">
        <v>544</v>
      </c>
      <c r="AD517" s="1502"/>
      <c r="AE517" s="1502"/>
      <c r="AF517" s="1502"/>
      <c r="AG517" s="13"/>
      <c r="AH517" s="1449"/>
      <c r="AI517" s="1449"/>
      <c r="AJ517" s="1449"/>
      <c r="AK517" s="1450"/>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1659</v>
      </c>
      <c r="AC518" s="1362">
        <v>1</v>
      </c>
      <c r="AD518" s="1363"/>
      <c r="AE518" s="1363"/>
      <c r="AF518" s="1364"/>
      <c r="AG518" s="13"/>
      <c r="AH518" s="1449"/>
      <c r="AI518" s="1449"/>
      <c r="AJ518" s="1449"/>
      <c r="AK518" s="1450"/>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56">
        <v>0.3</v>
      </c>
      <c r="AD520" s="1457"/>
      <c r="AE520" s="1457"/>
      <c r="AF520" s="1458"/>
      <c r="AG520" s="38"/>
      <c r="AH520" s="1581"/>
      <c r="AI520" s="1581"/>
      <c r="AJ520" s="1581"/>
      <c r="AK520" s="1582"/>
      <c r="AZ520" s="3"/>
      <c r="BA520" s="3"/>
      <c r="BB520" s="3"/>
      <c r="BC520" s="3"/>
      <c r="BD520" s="3"/>
      <c r="BE520" s="3"/>
      <c r="BF520" s="3"/>
      <c r="BG520" s="3"/>
      <c r="BH520" s="3"/>
      <c r="BI520" s="3"/>
      <c r="BJ520" s="3"/>
      <c r="BK520" s="3"/>
      <c r="BL520" s="3"/>
      <c r="BM520" s="3"/>
      <c r="BN520" s="3" t="s">
        <v>1182</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9" t="s">
        <v>401</v>
      </c>
      <c r="AD521" s="1435"/>
      <c r="AE521" s="1435"/>
      <c r="AF521" s="1435"/>
      <c r="AG521" s="38" t="s">
        <v>402</v>
      </c>
      <c r="AH521" s="1435" t="s">
        <v>403</v>
      </c>
      <c r="AI521" s="1435"/>
      <c r="AJ521" s="1435"/>
      <c r="AK521" s="1436"/>
      <c r="AZ521" s="3"/>
      <c r="BA521" s="3"/>
      <c r="BB521" s="3"/>
      <c r="BC521" s="3"/>
      <c r="BD521" s="3"/>
      <c r="BE521" s="3"/>
      <c r="BF521" s="3"/>
      <c r="BG521" s="3"/>
      <c r="BH521" s="3"/>
      <c r="BI521" s="3"/>
      <c r="BJ521" s="3"/>
      <c r="BK521" s="3"/>
      <c r="BL521" s="3"/>
      <c r="BM521" s="3"/>
      <c r="BN521" s="3" t="s">
        <v>2059</v>
      </c>
    </row>
    <row r="522" spans="2:66" ht="12.9" customHeight="1">
      <c r="B522" s="1411" t="s">
        <v>413</v>
      </c>
      <c r="C522" s="1412"/>
      <c r="D522" s="1412"/>
      <c r="E522" s="1412"/>
      <c r="F522" s="1412"/>
      <c r="G522" s="1412"/>
      <c r="H522" s="1413"/>
      <c r="I522" s="42" t="s">
        <v>414</v>
      </c>
      <c r="J522" s="42"/>
      <c r="K522" s="42"/>
      <c r="L522" s="42"/>
      <c r="M522" s="42"/>
      <c r="N522" s="42"/>
      <c r="O522" s="42"/>
      <c r="P522" s="42"/>
      <c r="Q522" s="42"/>
      <c r="R522" s="42"/>
      <c r="S522" s="42"/>
      <c r="T522" s="42"/>
      <c r="U522" s="42"/>
      <c r="V522" s="42"/>
      <c r="W522" s="42"/>
      <c r="AC522" s="1391">
        <v>12</v>
      </c>
      <c r="AD522" s="1392"/>
      <c r="AE522" s="1392"/>
      <c r="AF522" s="1392"/>
      <c r="AG522" s="13" t="s">
        <v>402</v>
      </c>
      <c r="AH522" s="1394">
        <v>2025</v>
      </c>
      <c r="AI522" s="1394"/>
      <c r="AJ522" s="1394"/>
      <c r="AK522" s="1395"/>
      <c r="AZ522" s="3"/>
      <c r="BA522" s="3"/>
      <c r="BB522" s="3"/>
      <c r="BC522" s="3"/>
      <c r="BD522" s="3"/>
      <c r="BE522" s="3"/>
      <c r="BF522" s="3"/>
      <c r="BG522" s="3"/>
      <c r="BH522" s="3"/>
      <c r="BI522" s="3"/>
      <c r="BJ522" s="3"/>
      <c r="BK522" s="3"/>
      <c r="BL522" s="3"/>
      <c r="BM522" s="3"/>
      <c r="BN522" s="3" t="s">
        <v>2060</v>
      </c>
    </row>
    <row r="523" spans="2:66" ht="12.9" customHeight="1">
      <c r="B523" s="1414"/>
      <c r="C523" s="1415"/>
      <c r="D523" s="1415"/>
      <c r="E523" s="1415"/>
      <c r="F523" s="1415"/>
      <c r="G523" s="1415"/>
      <c r="H523" s="1416"/>
      <c r="I523" t="s">
        <v>415</v>
      </c>
      <c r="AC523" s="1391">
        <v>1</v>
      </c>
      <c r="AD523" s="1392"/>
      <c r="AE523" s="1392"/>
      <c r="AF523" s="1392"/>
      <c r="AG523" s="13" t="s">
        <v>402</v>
      </c>
      <c r="AH523" s="1394">
        <v>2026</v>
      </c>
      <c r="AI523" s="1394"/>
      <c r="AJ523" s="1394"/>
      <c r="AK523" s="1395"/>
      <c r="AZ523" s="3"/>
      <c r="BA523" s="3"/>
      <c r="BB523" s="3"/>
      <c r="BC523" s="3"/>
      <c r="BD523" s="3"/>
      <c r="BE523" s="3"/>
      <c r="BF523" s="3"/>
      <c r="BG523" s="3"/>
      <c r="BH523" s="3"/>
      <c r="BI523" s="3"/>
      <c r="BJ523" s="3"/>
      <c r="BK523" s="3"/>
      <c r="BL523" s="3"/>
      <c r="BM523" s="3"/>
      <c r="BN523" s="3" t="s">
        <v>2061</v>
      </c>
    </row>
    <row r="524" spans="2:66" ht="12.9" customHeight="1">
      <c r="B524" s="1414"/>
      <c r="C524" s="1415"/>
      <c r="D524" s="1415"/>
      <c r="E524" s="1415"/>
      <c r="F524" s="1415"/>
      <c r="G524" s="1415"/>
      <c r="H524" s="1416"/>
      <c r="I524" s="48" t="s">
        <v>416</v>
      </c>
      <c r="J524" s="48"/>
      <c r="K524" s="48"/>
      <c r="L524" s="48"/>
      <c r="M524" s="48"/>
      <c r="N524" s="48"/>
      <c r="O524" s="48"/>
      <c r="P524" s="48"/>
      <c r="Q524" s="48"/>
      <c r="R524" s="48"/>
      <c r="S524" s="48"/>
      <c r="T524" s="48"/>
      <c r="U524" s="48"/>
      <c r="V524" s="48"/>
      <c r="W524" s="48"/>
      <c r="X524" s="48"/>
      <c r="Y524" s="48"/>
      <c r="Z524" s="48"/>
      <c r="AA524" s="48"/>
      <c r="AB524" s="48"/>
      <c r="AC524" s="1391">
        <v>10</v>
      </c>
      <c r="AD524" s="1392"/>
      <c r="AE524" s="1392"/>
      <c r="AF524" s="1392"/>
      <c r="AG524" s="38" t="s">
        <v>402</v>
      </c>
      <c r="AH524" s="1394">
        <v>2026</v>
      </c>
      <c r="AI524" s="1394"/>
      <c r="AJ524" s="1394"/>
      <c r="AK524" s="1395"/>
      <c r="AZ524" s="3"/>
      <c r="BA524" s="3"/>
      <c r="BB524" s="3"/>
      <c r="BC524" s="3"/>
      <c r="BD524" s="3"/>
      <c r="BE524" s="3"/>
      <c r="BF524" s="3"/>
      <c r="BG524" s="3"/>
      <c r="BH524" s="3"/>
      <c r="BI524" s="3"/>
      <c r="BJ524" s="3"/>
      <c r="BK524" s="3"/>
      <c r="BL524" s="3"/>
      <c r="BM524" s="3"/>
      <c r="BN524" s="3" t="s">
        <v>2062</v>
      </c>
    </row>
    <row r="525" spans="2:66" ht="12.9" customHeight="1">
      <c r="B525" s="1411" t="s">
        <v>417</v>
      </c>
      <c r="C525" s="1412"/>
      <c r="D525" s="1412"/>
      <c r="E525" s="1412"/>
      <c r="F525" s="1412"/>
      <c r="G525" s="1412"/>
      <c r="H525" s="1413"/>
      <c r="I525" s="42" t="s">
        <v>414</v>
      </c>
      <c r="J525" s="42"/>
      <c r="K525" s="42"/>
      <c r="L525" s="42"/>
      <c r="M525" s="42"/>
      <c r="N525" s="42"/>
      <c r="O525" s="42"/>
      <c r="P525" s="42"/>
      <c r="Q525" s="42"/>
      <c r="R525" s="42"/>
      <c r="S525" s="42"/>
      <c r="T525" s="42"/>
      <c r="U525" s="42"/>
      <c r="V525" s="42"/>
      <c r="W525" s="42"/>
      <c r="X525" s="42"/>
      <c r="Y525" s="42"/>
      <c r="Z525" s="42"/>
      <c r="AA525" s="42"/>
      <c r="AB525" s="42"/>
      <c r="AC525" s="1362">
        <v>12</v>
      </c>
      <c r="AD525" s="1363"/>
      <c r="AE525" s="1363"/>
      <c r="AF525" s="1363"/>
      <c r="AG525" s="129" t="s">
        <v>402</v>
      </c>
      <c r="AH525" s="1394">
        <v>2025</v>
      </c>
      <c r="AI525" s="1394"/>
      <c r="AJ525" s="1394"/>
      <c r="AK525" s="1395"/>
      <c r="AZ525" s="3"/>
      <c r="BB525" s="3"/>
      <c r="BC525" s="3"/>
      <c r="BD525" s="3"/>
      <c r="BE525" s="3"/>
      <c r="BF525" s="3"/>
      <c r="BG525" s="3"/>
      <c r="BH525" s="3"/>
      <c r="BI525" s="3"/>
      <c r="BJ525" s="3"/>
      <c r="BK525" s="3"/>
      <c r="BL525" s="3"/>
      <c r="BM525" s="3"/>
      <c r="BN525" s="3" t="s">
        <v>2063</v>
      </c>
    </row>
    <row r="526" spans="2:66" ht="12.9" customHeight="1">
      <c r="B526" s="1414"/>
      <c r="C526" s="1415"/>
      <c r="D526" s="1415"/>
      <c r="E526" s="1415"/>
      <c r="F526" s="1415"/>
      <c r="G526" s="1415"/>
      <c r="H526" s="1416"/>
      <c r="I526" t="s">
        <v>415</v>
      </c>
      <c r="AC526" s="1391">
        <v>1</v>
      </c>
      <c r="AD526" s="1392"/>
      <c r="AE526" s="1392"/>
      <c r="AF526" s="1392"/>
      <c r="AG526" s="13" t="s">
        <v>402</v>
      </c>
      <c r="AH526" s="1394">
        <v>2026</v>
      </c>
      <c r="AI526" s="1394"/>
      <c r="AJ526" s="1394"/>
      <c r="AK526" s="1395"/>
      <c r="BB526" s="3"/>
      <c r="BC526" s="3"/>
      <c r="BD526" s="3"/>
      <c r="BE526" s="3"/>
      <c r="BF526" s="3"/>
      <c r="BG526" s="3"/>
      <c r="BH526" s="3"/>
      <c r="BI526" s="3"/>
      <c r="BJ526" s="3"/>
      <c r="BK526" s="3"/>
      <c r="BL526" s="3"/>
      <c r="BM526" s="3"/>
      <c r="BN526" s="3" t="s">
        <v>2064</v>
      </c>
    </row>
    <row r="527" spans="2:66" ht="12.9" customHeight="1">
      <c r="B527" s="1417"/>
      <c r="C527" s="1418"/>
      <c r="D527" s="1418"/>
      <c r="E527" s="1418"/>
      <c r="F527" s="1418"/>
      <c r="G527" s="1418"/>
      <c r="H527" s="1419"/>
      <c r="I527" s="48" t="s">
        <v>416</v>
      </c>
      <c r="J527" s="48"/>
      <c r="K527" s="48"/>
      <c r="L527" s="48"/>
      <c r="M527" s="48"/>
      <c r="N527" s="48"/>
      <c r="O527" s="48"/>
      <c r="P527" s="48"/>
      <c r="Q527" s="48"/>
      <c r="R527" s="48"/>
      <c r="S527" s="48"/>
      <c r="T527" s="48"/>
      <c r="U527" s="48"/>
      <c r="V527" s="48"/>
      <c r="W527" s="48"/>
      <c r="X527" s="48"/>
      <c r="Y527" s="48"/>
      <c r="Z527" s="48"/>
      <c r="AA527" s="48"/>
      <c r="AB527" s="48"/>
      <c r="AC527" s="1391">
        <v>10</v>
      </c>
      <c r="AD527" s="1392"/>
      <c r="AE527" s="1392"/>
      <c r="AF527" s="1392"/>
      <c r="AG527" s="38" t="s">
        <v>402</v>
      </c>
      <c r="AH527" s="1394">
        <v>2029</v>
      </c>
      <c r="AI527" s="1394"/>
      <c r="AJ527" s="1394"/>
      <c r="AK527" s="1395"/>
      <c r="BB527" s="3"/>
      <c r="BC527" s="3"/>
      <c r="BD527" s="3"/>
      <c r="BE527" s="3"/>
      <c r="BF527" s="3"/>
      <c r="BG527" s="3"/>
      <c r="BH527" s="3"/>
      <c r="BI527" s="3"/>
      <c r="BJ527" s="3"/>
      <c r="BK527" s="3"/>
      <c r="BL527" s="3"/>
      <c r="BM527" s="3"/>
      <c r="BN527" s="3" t="s">
        <v>2065</v>
      </c>
    </row>
    <row r="528" spans="2:66" ht="12.9" customHeight="1">
      <c r="B528" s="1411" t="s">
        <v>418</v>
      </c>
      <c r="C528" s="1412"/>
      <c r="D528" s="1412"/>
      <c r="E528" s="1412"/>
      <c r="F528" s="1412"/>
      <c r="G528" s="1412"/>
      <c r="H528" s="1413"/>
      <c r="I528" s="41" t="s">
        <v>419</v>
      </c>
      <c r="J528" s="42"/>
      <c r="K528" s="42"/>
      <c r="L528" s="42"/>
      <c r="M528" s="42"/>
      <c r="N528" s="42"/>
      <c r="O528" s="1471" t="s">
        <v>2768</v>
      </c>
      <c r="P528" s="1472"/>
      <c r="Q528" s="1472"/>
      <c r="R528" s="1472"/>
      <c r="S528" s="1472"/>
      <c r="T528" s="1472"/>
      <c r="U528" s="1472"/>
      <c r="V528" s="1472"/>
      <c r="W528" s="1472"/>
      <c r="X528" s="1472"/>
      <c r="Y528" s="1472"/>
      <c r="Z528" s="1472"/>
      <c r="AA528" s="1472"/>
      <c r="AB528" s="58"/>
      <c r="AC528" s="1362"/>
      <c r="AD528" s="1363"/>
      <c r="AE528" s="1363"/>
      <c r="AF528" s="1363"/>
      <c r="AG528" s="129" t="s">
        <v>402</v>
      </c>
      <c r="AH528" s="1394"/>
      <c r="AI528" s="1394"/>
      <c r="AJ528" s="1394"/>
      <c r="AK528" s="1395"/>
      <c r="AZ528" s="3"/>
      <c r="BB528" s="3"/>
      <c r="BC528" s="3"/>
      <c r="BD528" s="3"/>
      <c r="BE528" s="3"/>
      <c r="BF528" s="3"/>
      <c r="BG528" s="3"/>
      <c r="BH528" s="3"/>
      <c r="BI528" s="3"/>
      <c r="BJ528" s="3"/>
      <c r="BK528" s="3"/>
      <c r="BL528" s="3"/>
      <c r="BM528" s="3"/>
      <c r="BN528" s="3" t="s">
        <v>2066</v>
      </c>
    </row>
    <row r="529" spans="2:66" ht="12.9" customHeight="1">
      <c r="B529" s="1414"/>
      <c r="C529" s="1415"/>
      <c r="D529" s="1415"/>
      <c r="E529" s="1415"/>
      <c r="F529" s="1415"/>
      <c r="G529" s="1415"/>
      <c r="H529" s="1416"/>
      <c r="I529" s="114" t="s">
        <v>420</v>
      </c>
      <c r="AB529" s="65"/>
      <c r="AC529" s="1391">
        <v>3</v>
      </c>
      <c r="AD529" s="1392"/>
      <c r="AE529" s="1392"/>
      <c r="AF529" s="1392"/>
      <c r="AG529" s="13" t="s">
        <v>402</v>
      </c>
      <c r="AH529" s="1394">
        <v>2023</v>
      </c>
      <c r="AI529" s="1394"/>
      <c r="AJ529" s="1394"/>
      <c r="AK529" s="1395"/>
      <c r="AZ529" s="3"/>
      <c r="BB529" s="3"/>
      <c r="BC529" s="3"/>
      <c r="BD529" s="3"/>
      <c r="BE529" s="3"/>
      <c r="BF529" s="3"/>
      <c r="BG529" s="3"/>
      <c r="BH529" s="3"/>
      <c r="BI529" s="3"/>
      <c r="BJ529" s="3"/>
      <c r="BK529" s="3"/>
      <c r="BL529" s="3"/>
      <c r="BM529" s="3"/>
      <c r="BN529" s="3" t="s">
        <v>2067</v>
      </c>
    </row>
    <row r="530" spans="2:66" ht="12.9" customHeight="1">
      <c r="B530" s="1414"/>
      <c r="C530" s="1415"/>
      <c r="D530" s="1415"/>
      <c r="E530" s="1415"/>
      <c r="F530" s="1415"/>
      <c r="G530" s="1415"/>
      <c r="H530" s="1416"/>
      <c r="I530" s="47" t="s">
        <v>421</v>
      </c>
      <c r="J530" s="48"/>
      <c r="K530" s="48"/>
      <c r="L530" s="48"/>
      <c r="M530" s="48"/>
      <c r="N530" s="48"/>
      <c r="O530" s="48"/>
      <c r="P530" s="48"/>
      <c r="Q530" s="48"/>
      <c r="R530" s="48"/>
      <c r="S530" s="48"/>
      <c r="T530" s="48"/>
      <c r="U530" s="48"/>
      <c r="V530" s="48"/>
      <c r="W530" s="48"/>
      <c r="X530" s="48"/>
      <c r="Y530" s="48"/>
      <c r="Z530" s="48"/>
      <c r="AA530" s="48"/>
      <c r="AB530" s="49"/>
      <c r="AC530" s="1391">
        <v>10</v>
      </c>
      <c r="AD530" s="1392"/>
      <c r="AE530" s="1392"/>
      <c r="AF530" s="1392"/>
      <c r="AG530" s="38" t="s">
        <v>402</v>
      </c>
      <c r="AH530" s="1394">
        <v>2029</v>
      </c>
      <c r="AI530" s="1394"/>
      <c r="AJ530" s="1394"/>
      <c r="AK530" s="1395"/>
      <c r="AZ530" s="3"/>
      <c r="BA530" s="3"/>
      <c r="BB530" s="3"/>
      <c r="BC530" s="3"/>
      <c r="BD530" s="3"/>
      <c r="BE530" s="3"/>
      <c r="BF530" s="3"/>
      <c r="BG530" s="3"/>
      <c r="BH530" s="3"/>
      <c r="BI530" s="3"/>
      <c r="BJ530" s="3"/>
      <c r="BK530" s="3"/>
      <c r="BL530" s="3"/>
      <c r="BM530" s="3"/>
      <c r="BN530" s="3" t="s">
        <v>2068</v>
      </c>
    </row>
    <row r="531" spans="2:66" ht="12.9" customHeight="1">
      <c r="B531" s="1414"/>
      <c r="C531" s="1415"/>
      <c r="D531" s="1415"/>
      <c r="E531" s="1415"/>
      <c r="F531" s="1415"/>
      <c r="G531" s="1415"/>
      <c r="H531" s="1416"/>
      <c r="I531" s="42" t="s">
        <v>422</v>
      </c>
      <c r="J531" s="42"/>
      <c r="K531" s="42"/>
      <c r="L531" s="42"/>
      <c r="M531" s="42"/>
      <c r="N531" s="42"/>
      <c r="O531" s="1471" t="s">
        <v>2769</v>
      </c>
      <c r="P531" s="1472"/>
      <c r="Q531" s="1472"/>
      <c r="R531" s="1472"/>
      <c r="S531" s="1472"/>
      <c r="T531" s="1472"/>
      <c r="U531" s="1472"/>
      <c r="V531" s="1472"/>
      <c r="W531" s="1472"/>
      <c r="X531" s="1472"/>
      <c r="Y531" s="1472"/>
      <c r="Z531" s="1472"/>
      <c r="AA531" s="1472"/>
      <c r="AC531" s="1391"/>
      <c r="AD531" s="1392"/>
      <c r="AE531" s="1392"/>
      <c r="AF531" s="1392"/>
      <c r="AG531" s="13" t="s">
        <v>402</v>
      </c>
      <c r="AH531" s="1394"/>
      <c r="AI531" s="1394"/>
      <c r="AJ531" s="1394"/>
      <c r="AK531" s="1395"/>
      <c r="AZ531" s="3"/>
      <c r="BA531" s="3"/>
      <c r="BB531" s="3"/>
      <c r="BC531" s="3"/>
      <c r="BD531" s="3"/>
      <c r="BE531" s="3"/>
      <c r="BF531" s="3"/>
      <c r="BG531" s="3"/>
      <c r="BH531" s="3"/>
      <c r="BI531" s="3"/>
      <c r="BJ531" s="3"/>
      <c r="BK531" s="3"/>
      <c r="BL531" s="3"/>
      <c r="BM531" s="3"/>
      <c r="BN531" s="3" t="s">
        <v>2069</v>
      </c>
    </row>
    <row r="532" spans="2:66" ht="12.9" customHeight="1">
      <c r="B532" s="1414"/>
      <c r="C532" s="1415"/>
      <c r="D532" s="1415"/>
      <c r="E532" s="1415"/>
      <c r="F532" s="1415"/>
      <c r="G532" s="1415"/>
      <c r="H532" s="1416"/>
      <c r="I532" t="s">
        <v>420</v>
      </c>
      <c r="AC532" s="1391">
        <v>6</v>
      </c>
      <c r="AD532" s="1392"/>
      <c r="AE532" s="1392"/>
      <c r="AF532" s="1392"/>
      <c r="AG532" s="13" t="s">
        <v>402</v>
      </c>
      <c r="AH532" s="1394">
        <v>2022</v>
      </c>
      <c r="AI532" s="1394"/>
      <c r="AJ532" s="1394"/>
      <c r="AK532" s="1395"/>
      <c r="AZ532" s="3"/>
      <c r="BA532" s="3"/>
      <c r="BB532" s="3"/>
      <c r="BC532" s="3"/>
      <c r="BD532" s="3"/>
      <c r="BE532" s="3"/>
      <c r="BF532" s="3"/>
      <c r="BG532" s="3"/>
      <c r="BH532" s="3"/>
      <c r="BI532" s="3"/>
      <c r="BJ532" s="3"/>
      <c r="BK532" s="3"/>
      <c r="BL532" s="3"/>
      <c r="BM532" s="3"/>
      <c r="BN532" s="3" t="s">
        <v>2070</v>
      </c>
    </row>
    <row r="533" spans="2:66" ht="12.9" customHeight="1">
      <c r="B533" s="1414"/>
      <c r="C533" s="1415"/>
      <c r="D533" s="1415"/>
      <c r="E533" s="1415"/>
      <c r="F533" s="1415"/>
      <c r="G533" s="1415"/>
      <c r="H533" s="1416"/>
      <c r="I533" s="48" t="s">
        <v>421</v>
      </c>
      <c r="J533" s="48"/>
      <c r="K533" s="48"/>
      <c r="L533" s="48"/>
      <c r="M533" s="48"/>
      <c r="N533" s="48"/>
      <c r="O533" s="48"/>
      <c r="P533" s="48"/>
      <c r="Q533" s="48"/>
      <c r="R533" s="48"/>
      <c r="S533" s="48"/>
      <c r="T533" s="48"/>
      <c r="U533" s="48"/>
      <c r="V533" s="48"/>
      <c r="W533" s="48"/>
      <c r="X533" s="48"/>
      <c r="Y533" s="48"/>
      <c r="Z533" s="48"/>
      <c r="AA533" s="48"/>
      <c r="AB533" s="48"/>
      <c r="AC533" s="1391">
        <v>10</v>
      </c>
      <c r="AD533" s="1392"/>
      <c r="AE533" s="1392"/>
      <c r="AF533" s="1392"/>
      <c r="AG533" s="38" t="s">
        <v>402</v>
      </c>
      <c r="AH533" s="1394">
        <v>2026</v>
      </c>
      <c r="AI533" s="1394"/>
      <c r="AJ533" s="1394"/>
      <c r="AK533" s="1395"/>
      <c r="AZ533" s="3"/>
      <c r="BA533" s="3"/>
      <c r="BB533" s="3"/>
      <c r="BC533" s="3"/>
      <c r="BD533" s="3"/>
      <c r="BE533" s="3"/>
      <c r="BF533" s="3"/>
      <c r="BG533" s="3"/>
      <c r="BH533" s="3"/>
      <c r="BI533" s="3"/>
      <c r="BJ533" s="3"/>
      <c r="BK533" s="3"/>
      <c r="BL533" s="3"/>
      <c r="BM533" s="3"/>
      <c r="BN533" s="3" t="s">
        <v>2071</v>
      </c>
    </row>
    <row r="534" spans="2:66" ht="12.9" customHeight="1">
      <c r="B534" s="1414"/>
      <c r="C534" s="1415"/>
      <c r="D534" s="1415"/>
      <c r="E534" s="1415"/>
      <c r="F534" s="1415"/>
      <c r="G534" s="1415"/>
      <c r="H534" s="1416"/>
      <c r="I534" s="42" t="s">
        <v>422</v>
      </c>
      <c r="J534" s="42"/>
      <c r="K534" s="42"/>
      <c r="L534" s="42"/>
      <c r="M534" s="42"/>
      <c r="N534" s="42"/>
      <c r="O534" s="1471" t="s">
        <v>2798</v>
      </c>
      <c r="P534" s="1472"/>
      <c r="Q534" s="1472"/>
      <c r="R534" s="1472"/>
      <c r="S534" s="1472"/>
      <c r="T534" s="1472"/>
      <c r="U534" s="1472"/>
      <c r="V534" s="1472"/>
      <c r="W534" s="1472"/>
      <c r="X534" s="1472"/>
      <c r="Y534" s="1472"/>
      <c r="Z534" s="1472"/>
      <c r="AA534" s="1472"/>
      <c r="AC534" s="1391"/>
      <c r="AD534" s="1392"/>
      <c r="AE534" s="1392"/>
      <c r="AF534" s="1392"/>
      <c r="AG534" s="13" t="s">
        <v>402</v>
      </c>
      <c r="AH534" s="1394"/>
      <c r="AI534" s="1394"/>
      <c r="AJ534" s="1394"/>
      <c r="AK534" s="1395"/>
      <c r="AZ534" s="3"/>
      <c r="BA534" s="3"/>
      <c r="BB534" s="3"/>
      <c r="BC534" s="3"/>
      <c r="BD534" s="3"/>
      <c r="BE534" s="3"/>
      <c r="BF534" s="3"/>
      <c r="BG534" s="3"/>
      <c r="BH534" s="3"/>
      <c r="BI534" s="3"/>
      <c r="BJ534" s="3"/>
      <c r="BK534" s="3"/>
      <c r="BL534" s="3"/>
      <c r="BM534" s="3"/>
      <c r="BN534" s="3" t="s">
        <v>2072</v>
      </c>
    </row>
    <row r="535" spans="2:66" ht="12.9" customHeight="1">
      <c r="B535" s="1414"/>
      <c r="C535" s="1415"/>
      <c r="D535" s="1415"/>
      <c r="E535" s="1415"/>
      <c r="F535" s="1415"/>
      <c r="G535" s="1415"/>
      <c r="H535" s="1416"/>
      <c r="I535" t="s">
        <v>420</v>
      </c>
      <c r="AC535" s="1391">
        <v>8</v>
      </c>
      <c r="AD535" s="1392"/>
      <c r="AE535" s="1392"/>
      <c r="AF535" s="1392"/>
      <c r="AG535" s="13" t="s">
        <v>402</v>
      </c>
      <c r="AH535" s="1394">
        <v>2025</v>
      </c>
      <c r="AI535" s="1394"/>
      <c r="AJ535" s="1394"/>
      <c r="AK535" s="1395"/>
      <c r="AZ535" s="3"/>
      <c r="BA535" s="3"/>
      <c r="BB535" s="3"/>
      <c r="BC535" s="3"/>
      <c r="BD535" s="3"/>
      <c r="BE535" s="3"/>
      <c r="BF535" s="3"/>
      <c r="BG535" s="3"/>
      <c r="BH535" s="3"/>
      <c r="BI535" s="3"/>
      <c r="BJ535" s="3"/>
      <c r="BK535" s="3"/>
      <c r="BL535" s="3"/>
      <c r="BM535" s="3"/>
      <c r="BN535" s="3" t="s">
        <v>2073</v>
      </c>
    </row>
    <row r="536" spans="2:66" ht="12.9" customHeight="1">
      <c r="B536" s="1414"/>
      <c r="C536" s="1415"/>
      <c r="D536" s="1415"/>
      <c r="E536" s="1415"/>
      <c r="F536" s="1415"/>
      <c r="G536" s="1415"/>
      <c r="H536" s="1416"/>
      <c r="I536" s="48" t="s">
        <v>421</v>
      </c>
      <c r="J536" s="48"/>
      <c r="K536" s="48"/>
      <c r="L536" s="48"/>
      <c r="M536" s="48"/>
      <c r="N536" s="48"/>
      <c r="O536" s="48"/>
      <c r="P536" s="48"/>
      <c r="Q536" s="48"/>
      <c r="R536" s="48"/>
      <c r="S536" s="48"/>
      <c r="T536" s="48"/>
      <c r="U536" s="48"/>
      <c r="V536" s="48"/>
      <c r="W536" s="48"/>
      <c r="X536" s="48"/>
      <c r="Y536" s="48"/>
      <c r="Z536" s="48"/>
      <c r="AA536" s="48"/>
      <c r="AB536" s="48"/>
      <c r="AC536" s="1391">
        <v>10</v>
      </c>
      <c r="AD536" s="1392"/>
      <c r="AE536" s="1392"/>
      <c r="AF536" s="1392"/>
      <c r="AG536" s="38" t="s">
        <v>402</v>
      </c>
      <c r="AH536" s="1394">
        <v>2026</v>
      </c>
      <c r="AI536" s="1394"/>
      <c r="AJ536" s="1394"/>
      <c r="AK536" s="1395"/>
      <c r="AZ536" s="3"/>
      <c r="BA536" s="3"/>
      <c r="BB536" s="3"/>
      <c r="BC536" s="3"/>
      <c r="BD536" s="3"/>
      <c r="BE536" s="3"/>
      <c r="BF536" s="3"/>
      <c r="BG536" s="3"/>
      <c r="BH536" s="3"/>
      <c r="BI536" s="3"/>
      <c r="BJ536" s="3"/>
      <c r="BK536" s="3"/>
      <c r="BL536" s="3"/>
      <c r="BM536" s="3"/>
      <c r="BN536" s="3" t="s">
        <v>2074</v>
      </c>
    </row>
    <row r="537" spans="2:66" ht="12.9" customHeight="1">
      <c r="B537" s="1414"/>
      <c r="C537" s="1415"/>
      <c r="D537" s="1415"/>
      <c r="E537" s="1415"/>
      <c r="F537" s="1415"/>
      <c r="G537" s="1415"/>
      <c r="H537" s="1416"/>
      <c r="I537" s="42" t="s">
        <v>422</v>
      </c>
      <c r="J537" s="42"/>
      <c r="K537" s="42"/>
      <c r="L537" s="42"/>
      <c r="M537" s="42"/>
      <c r="N537" s="42"/>
      <c r="O537" s="1471" t="s">
        <v>2770</v>
      </c>
      <c r="P537" s="1472"/>
      <c r="Q537" s="1472"/>
      <c r="R537" s="1472"/>
      <c r="S537" s="1472"/>
      <c r="T537" s="1472"/>
      <c r="U537" s="1472"/>
      <c r="V537" s="1472"/>
      <c r="W537" s="1472"/>
      <c r="X537" s="1472"/>
      <c r="Y537" s="1472"/>
      <c r="Z537" s="1472"/>
      <c r="AA537" s="1472"/>
      <c r="AC537" s="1391"/>
      <c r="AD537" s="1392"/>
      <c r="AE537" s="1392"/>
      <c r="AF537" s="1392"/>
      <c r="AG537" s="13" t="s">
        <v>402</v>
      </c>
      <c r="AH537" s="1394"/>
      <c r="AI537" s="1394"/>
      <c r="AJ537" s="1394"/>
      <c r="AK537" s="1395"/>
      <c r="AZ537" s="3"/>
      <c r="BA537" s="3"/>
      <c r="BB537" s="3"/>
      <c r="BC537" s="3"/>
      <c r="BD537" s="3"/>
      <c r="BE537" s="3"/>
      <c r="BF537" s="3"/>
      <c r="BG537" s="3"/>
      <c r="BH537" s="3"/>
      <c r="BI537" s="3"/>
      <c r="BJ537" s="3"/>
      <c r="BK537" s="3"/>
      <c r="BL537" s="3"/>
      <c r="BM537" s="3"/>
      <c r="BN537" s="3" t="s">
        <v>2075</v>
      </c>
    </row>
    <row r="538" spans="2:66" ht="12.9" customHeight="1">
      <c r="B538" s="1414"/>
      <c r="C538" s="1415"/>
      <c r="D538" s="1415"/>
      <c r="E538" s="1415"/>
      <c r="F538" s="1415"/>
      <c r="G538" s="1415"/>
      <c r="H538" s="1416"/>
      <c r="I538" t="s">
        <v>420</v>
      </c>
      <c r="AC538" s="1391">
        <v>11</v>
      </c>
      <c r="AD538" s="1392"/>
      <c r="AE538" s="1392"/>
      <c r="AF538" s="1392"/>
      <c r="AG538" s="13" t="s">
        <v>402</v>
      </c>
      <c r="AH538" s="1394">
        <v>2023</v>
      </c>
      <c r="AI538" s="1394"/>
      <c r="AJ538" s="1394"/>
      <c r="AK538" s="1395"/>
      <c r="AZ538" s="3"/>
      <c r="BA538" s="3"/>
      <c r="BB538" s="3"/>
      <c r="BC538" s="3"/>
      <c r="BD538" s="3"/>
      <c r="BE538" s="3"/>
      <c r="BF538" s="3"/>
      <c r="BG538" s="3"/>
      <c r="BH538" s="3"/>
      <c r="BI538" s="3"/>
      <c r="BJ538" s="3"/>
      <c r="BK538" s="3"/>
      <c r="BL538" s="3"/>
      <c r="BM538" s="3"/>
      <c r="BN538" s="3" t="s">
        <v>2076</v>
      </c>
    </row>
    <row r="539" spans="2:66" ht="12.9" customHeight="1">
      <c r="B539" s="1414"/>
      <c r="C539" s="1415"/>
      <c r="D539" s="1415"/>
      <c r="E539" s="1415"/>
      <c r="F539" s="1415"/>
      <c r="G539" s="1415"/>
      <c r="H539" s="1416"/>
      <c r="I539" s="48" t="s">
        <v>421</v>
      </c>
      <c r="J539" s="48"/>
      <c r="K539" s="48"/>
      <c r="L539" s="48"/>
      <c r="M539" s="48"/>
      <c r="N539" s="48"/>
      <c r="O539" s="48"/>
      <c r="P539" s="48"/>
      <c r="Q539" s="48"/>
      <c r="R539" s="48"/>
      <c r="S539" s="48"/>
      <c r="T539" s="48"/>
      <c r="U539" s="48"/>
      <c r="V539" s="48"/>
      <c r="W539" s="48"/>
      <c r="X539" s="48"/>
      <c r="Y539" s="48"/>
      <c r="Z539" s="48"/>
      <c r="AA539" s="48"/>
      <c r="AB539" s="48"/>
      <c r="AC539" s="1391">
        <v>10</v>
      </c>
      <c r="AD539" s="1392"/>
      <c r="AE539" s="1392"/>
      <c r="AF539" s="1392"/>
      <c r="AG539" s="38" t="s">
        <v>402</v>
      </c>
      <c r="AH539" s="1394">
        <v>2029</v>
      </c>
      <c r="AI539" s="1394"/>
      <c r="AJ539" s="1394"/>
      <c r="AK539" s="1395"/>
      <c r="AZ539" s="3"/>
      <c r="BA539" s="3"/>
      <c r="BB539" s="3"/>
      <c r="BC539" s="3"/>
      <c r="BD539" s="3"/>
      <c r="BE539" s="3"/>
      <c r="BF539" s="3"/>
      <c r="BG539" s="3"/>
      <c r="BH539" s="3"/>
      <c r="BI539" s="3"/>
      <c r="BJ539" s="3"/>
      <c r="BK539" s="3"/>
      <c r="BL539" s="3"/>
      <c r="BM539" s="3"/>
      <c r="BN539" s="3" t="s">
        <v>2077</v>
      </c>
    </row>
    <row r="540" spans="2:66" ht="12.9" customHeight="1">
      <c r="B540" s="1414"/>
      <c r="C540" s="1415"/>
      <c r="D540" s="1415"/>
      <c r="E540" s="1415"/>
      <c r="F540" s="1415"/>
      <c r="G540" s="1415"/>
      <c r="H540" s="1416"/>
      <c r="I540" s="42" t="s">
        <v>422</v>
      </c>
      <c r="J540" s="42"/>
      <c r="K540" s="42"/>
      <c r="L540" s="42"/>
      <c r="M540" s="42"/>
      <c r="N540" s="42"/>
      <c r="O540" s="1471" t="s">
        <v>333</v>
      </c>
      <c r="P540" s="1472"/>
      <c r="Q540" s="1472"/>
      <c r="R540" s="1472"/>
      <c r="S540" s="1472"/>
      <c r="T540" s="1472"/>
      <c r="U540" s="1472"/>
      <c r="V540" s="1472"/>
      <c r="W540" s="1472"/>
      <c r="X540" s="1472"/>
      <c r="Y540" s="1472"/>
      <c r="Z540" s="1472"/>
      <c r="AA540" s="1472"/>
      <c r="AC540" s="1391" t="s">
        <v>590</v>
      </c>
      <c r="AD540" s="1392"/>
      <c r="AE540" s="1392"/>
      <c r="AF540" s="1392"/>
      <c r="AG540" s="13" t="s">
        <v>402</v>
      </c>
      <c r="AH540" s="1394"/>
      <c r="AI540" s="1394"/>
      <c r="AJ540" s="1394"/>
      <c r="AK540" s="1395"/>
      <c r="AZ540" s="3"/>
      <c r="BA540" s="3"/>
      <c r="BB540" s="3"/>
      <c r="BC540" s="3"/>
      <c r="BD540" s="3"/>
      <c r="BE540" s="3"/>
      <c r="BF540" s="3"/>
      <c r="BG540" s="3"/>
      <c r="BH540" s="3"/>
      <c r="BI540" s="3"/>
      <c r="BJ540" s="3"/>
      <c r="BK540" s="3"/>
      <c r="BL540" s="3"/>
      <c r="BM540" s="3"/>
      <c r="BN540" s="3" t="s">
        <v>2078</v>
      </c>
    </row>
    <row r="541" spans="2:66" ht="12.9" customHeight="1">
      <c r="B541" s="1414"/>
      <c r="C541" s="1415"/>
      <c r="D541" s="1415"/>
      <c r="E541" s="1415"/>
      <c r="F541" s="1415"/>
      <c r="G541" s="1415"/>
      <c r="H541" s="1416"/>
      <c r="I541" t="s">
        <v>420</v>
      </c>
      <c r="AC541" s="1391" t="s">
        <v>590</v>
      </c>
      <c r="AD541" s="1392"/>
      <c r="AE541" s="1392"/>
      <c r="AF541" s="1392"/>
      <c r="AG541" s="38" t="s">
        <v>402</v>
      </c>
      <c r="AH541" s="1394"/>
      <c r="AI541" s="1394"/>
      <c r="AJ541" s="1394"/>
      <c r="AK541" s="1395"/>
      <c r="AZ541" s="3"/>
      <c r="BA541" s="3"/>
      <c r="BB541" s="3"/>
      <c r="BC541" s="3"/>
      <c r="BD541" s="3"/>
      <c r="BE541" s="3"/>
      <c r="BF541" s="3"/>
      <c r="BG541" s="3"/>
      <c r="BH541" s="3"/>
      <c r="BI541" s="3"/>
      <c r="BJ541" s="3"/>
      <c r="BK541" s="3"/>
      <c r="BL541" s="3"/>
      <c r="BM541" s="3"/>
      <c r="BN541" s="3" t="s">
        <v>2079</v>
      </c>
    </row>
    <row r="542" spans="2:66" ht="12.9" customHeight="1">
      <c r="B542" s="1414"/>
      <c r="C542" s="1415"/>
      <c r="D542" s="1415"/>
      <c r="E542" s="1415"/>
      <c r="F542" s="1415"/>
      <c r="G542" s="1415"/>
      <c r="H542" s="1416"/>
      <c r="I542" s="48" t="s">
        <v>421</v>
      </c>
      <c r="J542" s="48"/>
      <c r="K542" s="48"/>
      <c r="L542" s="48"/>
      <c r="M542" s="48"/>
      <c r="N542" s="48"/>
      <c r="O542" s="48"/>
      <c r="P542" s="48"/>
      <c r="Q542" s="48"/>
      <c r="R542" s="48"/>
      <c r="S542" s="48"/>
      <c r="T542" s="48"/>
      <c r="U542" s="48"/>
      <c r="V542" s="48"/>
      <c r="W542" s="48"/>
      <c r="X542" s="48"/>
      <c r="Y542" s="48"/>
      <c r="Z542" s="48"/>
      <c r="AA542" s="48"/>
      <c r="AB542" s="48"/>
      <c r="AC542" s="1391" t="s">
        <v>590</v>
      </c>
      <c r="AD542" s="1392"/>
      <c r="AE542" s="1392"/>
      <c r="AF542" s="1392"/>
      <c r="AG542" s="13" t="s">
        <v>402</v>
      </c>
      <c r="AH542" s="1394"/>
      <c r="AI542" s="1394"/>
      <c r="AJ542" s="1394"/>
      <c r="AK542" s="1395"/>
      <c r="AZ542" s="3"/>
      <c r="BA542" s="3"/>
      <c r="BB542" s="3"/>
      <c r="BC542" s="3"/>
      <c r="BD542" s="3"/>
      <c r="BE542" s="3"/>
      <c r="BF542" s="3"/>
      <c r="BG542" s="3"/>
      <c r="BH542" s="3"/>
      <c r="BI542" s="3"/>
      <c r="BJ542" s="3"/>
      <c r="BK542" s="3"/>
      <c r="BL542" s="3"/>
      <c r="BM542" s="3"/>
      <c r="BN542" s="3" t="s">
        <v>2080</v>
      </c>
    </row>
    <row r="543" spans="2:66" ht="12.9" customHeight="1">
      <c r="B543" s="1414"/>
      <c r="C543" s="1415"/>
      <c r="D543" s="1415"/>
      <c r="E543" s="1415"/>
      <c r="F543" s="1415"/>
      <c r="G543" s="1415"/>
      <c r="H543" s="1416"/>
      <c r="I543" s="42" t="s">
        <v>422</v>
      </c>
      <c r="J543" s="42"/>
      <c r="K543" s="42"/>
      <c r="L543" s="42"/>
      <c r="M543" s="42"/>
      <c r="N543" s="42"/>
      <c r="O543" s="1471" t="s">
        <v>333</v>
      </c>
      <c r="P543" s="1472"/>
      <c r="Q543" s="1472"/>
      <c r="R543" s="1472"/>
      <c r="S543" s="1472"/>
      <c r="T543" s="1472"/>
      <c r="U543" s="1472"/>
      <c r="V543" s="1472"/>
      <c r="W543" s="1472"/>
      <c r="X543" s="1472"/>
      <c r="Y543" s="1472"/>
      <c r="Z543" s="1472"/>
      <c r="AA543" s="1472"/>
      <c r="AC543" s="1391" t="s">
        <v>590</v>
      </c>
      <c r="AD543" s="1392"/>
      <c r="AE543" s="1392"/>
      <c r="AF543" s="1392"/>
      <c r="AG543" s="38" t="s">
        <v>402</v>
      </c>
      <c r="AH543" s="1394"/>
      <c r="AI543" s="1394"/>
      <c r="AJ543" s="1394"/>
      <c r="AK543" s="1395"/>
      <c r="AZ543" s="3"/>
      <c r="BA543" s="3"/>
      <c r="BB543" s="3"/>
      <c r="BC543" s="3"/>
      <c r="BD543" s="3"/>
      <c r="BE543" s="3"/>
      <c r="BF543" s="3"/>
      <c r="BG543" s="3"/>
      <c r="BH543" s="3"/>
      <c r="BI543" s="3"/>
      <c r="BJ543" s="3"/>
      <c r="BK543" s="3"/>
      <c r="BL543" s="3"/>
      <c r="BM543" s="3"/>
      <c r="BN543" s="3" t="s">
        <v>2081</v>
      </c>
    </row>
    <row r="544" spans="2:66" ht="12.9" customHeight="1">
      <c r="B544" s="1414"/>
      <c r="C544" s="1415"/>
      <c r="D544" s="1415"/>
      <c r="E544" s="1415"/>
      <c r="F544" s="1415"/>
      <c r="G544" s="1415"/>
      <c r="H544" s="1416"/>
      <c r="I544" t="s">
        <v>420</v>
      </c>
      <c r="AC544" s="1391" t="s">
        <v>590</v>
      </c>
      <c r="AD544" s="1392"/>
      <c r="AE544" s="1392"/>
      <c r="AF544" s="1392"/>
      <c r="AG544" s="13" t="s">
        <v>402</v>
      </c>
      <c r="AH544" s="1394"/>
      <c r="AI544" s="1394"/>
      <c r="AJ544" s="1394"/>
      <c r="AK544" s="1395"/>
      <c r="AZ544" s="3"/>
      <c r="BA544" s="3"/>
      <c r="BB544" s="3"/>
      <c r="BC544" s="3"/>
      <c r="BD544" s="3"/>
      <c r="BE544" s="3"/>
      <c r="BF544" s="3"/>
      <c r="BG544" s="3"/>
      <c r="BH544" s="3"/>
      <c r="BI544" s="3"/>
      <c r="BJ544" s="3"/>
      <c r="BK544" s="3"/>
      <c r="BL544" s="3"/>
      <c r="BM544" s="3"/>
      <c r="BN544" s="3" t="s">
        <v>2082</v>
      </c>
    </row>
    <row r="545" spans="1:66" ht="12.9" customHeight="1">
      <c r="B545" s="1414"/>
      <c r="C545" s="1415"/>
      <c r="D545" s="1415"/>
      <c r="E545" s="1415"/>
      <c r="F545" s="1415"/>
      <c r="G545" s="1415"/>
      <c r="H545" s="1416"/>
      <c r="I545" s="48" t="s">
        <v>421</v>
      </c>
      <c r="J545" s="48"/>
      <c r="K545" s="48"/>
      <c r="L545" s="48"/>
      <c r="M545" s="48"/>
      <c r="N545" s="48"/>
      <c r="O545" s="48"/>
      <c r="P545" s="48"/>
      <c r="Q545" s="48"/>
      <c r="R545" s="48"/>
      <c r="S545" s="48"/>
      <c r="T545" s="48"/>
      <c r="U545" s="48"/>
      <c r="V545" s="48"/>
      <c r="W545" s="48"/>
      <c r="X545" s="48"/>
      <c r="Y545" s="48"/>
      <c r="Z545" s="48"/>
      <c r="AA545" s="48"/>
      <c r="AB545" s="48"/>
      <c r="AC545" s="1391" t="s">
        <v>590</v>
      </c>
      <c r="AD545" s="1392"/>
      <c r="AE545" s="1392"/>
      <c r="AF545" s="1392"/>
      <c r="AG545" s="38" t="s">
        <v>402</v>
      </c>
      <c r="AH545" s="1394"/>
      <c r="AI545" s="1394"/>
      <c r="AJ545" s="1394"/>
      <c r="AK545" s="1395"/>
      <c r="AZ545" s="3"/>
      <c r="BA545" s="3"/>
      <c r="BB545" s="3"/>
      <c r="BC545" s="3"/>
      <c r="BD545" s="3"/>
      <c r="BE545" s="3"/>
      <c r="BF545" s="3"/>
      <c r="BG545" s="3"/>
      <c r="BH545" s="3"/>
      <c r="BI545" s="3"/>
      <c r="BJ545" s="3"/>
      <c r="BK545" s="3"/>
      <c r="BL545" s="3"/>
      <c r="BM545" s="3"/>
      <c r="BN545" s="3" t="s">
        <v>2083</v>
      </c>
    </row>
    <row r="546" spans="1:66" ht="12.9" customHeight="1">
      <c r="B546" s="1414"/>
      <c r="C546" s="1415"/>
      <c r="D546" s="1415"/>
      <c r="E546" s="1415"/>
      <c r="F546" s="1415"/>
      <c r="G546" s="1415"/>
      <c r="H546" s="1416"/>
      <c r="I546" s="42" t="s">
        <v>561</v>
      </c>
      <c r="J546" s="42"/>
      <c r="K546" s="42"/>
      <c r="L546" s="42"/>
      <c r="M546" s="42"/>
      <c r="N546" s="42"/>
      <c r="O546" s="42"/>
      <c r="P546" s="42"/>
      <c r="Q546" s="42"/>
      <c r="R546" s="42"/>
      <c r="S546" s="42"/>
      <c r="T546" s="42"/>
      <c r="U546" s="42"/>
      <c r="V546" s="42"/>
      <c r="W546" s="42"/>
      <c r="AC546" s="1391">
        <v>2</v>
      </c>
      <c r="AD546" s="1392"/>
      <c r="AE546" s="1392"/>
      <c r="AF546" s="1392"/>
      <c r="AG546" s="38" t="s">
        <v>402</v>
      </c>
      <c r="AH546" s="1394">
        <v>2027</v>
      </c>
      <c r="AI546" s="1394"/>
      <c r="AJ546" s="1394"/>
      <c r="AK546" s="1395"/>
      <c r="AZ546" s="3"/>
      <c r="BA546" s="3"/>
      <c r="BB546" s="3"/>
      <c r="BC546" s="3"/>
      <c r="BD546" s="3"/>
      <c r="BE546" s="3"/>
      <c r="BF546" s="3"/>
      <c r="BG546" s="3"/>
      <c r="BH546" s="3"/>
      <c r="BI546" s="3"/>
      <c r="BJ546" s="3"/>
      <c r="BK546" s="3"/>
      <c r="BL546" s="3"/>
      <c r="BM546" s="3"/>
      <c r="BN546" s="3"/>
    </row>
    <row r="547" spans="1:66" ht="12.9" customHeight="1">
      <c r="B547" s="1414"/>
      <c r="C547" s="1415"/>
      <c r="D547" s="1415"/>
      <c r="E547" s="1415"/>
      <c r="F547" s="1415"/>
      <c r="G547" s="1415"/>
      <c r="H547" s="1416"/>
      <c r="I547" t="s">
        <v>562</v>
      </c>
      <c r="AC547" s="1391">
        <v>10</v>
      </c>
      <c r="AD547" s="1392"/>
      <c r="AE547" s="1392"/>
      <c r="AF547" s="1392"/>
      <c r="AG547" s="13" t="s">
        <v>402</v>
      </c>
      <c r="AH547" s="1394">
        <v>2026</v>
      </c>
      <c r="AI547" s="1394"/>
      <c r="AJ547" s="1394"/>
      <c r="AK547" s="1395"/>
      <c r="AZ547" s="3"/>
      <c r="BA547" s="3"/>
      <c r="BB547" s="3"/>
      <c r="BC547" s="3"/>
      <c r="BD547" s="3"/>
      <c r="BE547" s="3"/>
      <c r="BF547" s="3"/>
      <c r="BG547" s="3"/>
      <c r="BH547" s="3"/>
      <c r="BI547" s="3"/>
      <c r="BJ547" s="3"/>
      <c r="BK547" s="3"/>
      <c r="BL547" s="3"/>
      <c r="BM547" s="3"/>
      <c r="BN547" s="3"/>
    </row>
    <row r="548" spans="1:66" ht="12.9" customHeight="1">
      <c r="B548" s="1414"/>
      <c r="C548" s="1415"/>
      <c r="D548" s="1415"/>
      <c r="E548" s="1415"/>
      <c r="F548" s="1415"/>
      <c r="G548" s="1415"/>
      <c r="H548" s="1416"/>
      <c r="I548" t="s">
        <v>563</v>
      </c>
      <c r="AC548" s="1391">
        <v>10</v>
      </c>
      <c r="AD548" s="1392"/>
      <c r="AE548" s="1392"/>
      <c r="AF548" s="1392"/>
      <c r="AG548" s="38" t="s">
        <v>402</v>
      </c>
      <c r="AH548" s="1394">
        <v>2028</v>
      </c>
      <c r="AI548" s="1394"/>
      <c r="AJ548" s="1394"/>
      <c r="AK548" s="1395"/>
      <c r="AZ548" s="3"/>
      <c r="BA548" s="3"/>
      <c r="BB548" s="3"/>
      <c r="BC548" s="3"/>
      <c r="BD548" s="3"/>
      <c r="BE548" s="3"/>
      <c r="BF548" s="3"/>
      <c r="BG548" s="3"/>
      <c r="BH548" s="3"/>
      <c r="BI548" s="3"/>
      <c r="BJ548" s="3"/>
      <c r="BK548" s="3"/>
      <c r="BL548" s="3"/>
      <c r="BM548" s="3"/>
      <c r="BN548" s="3"/>
    </row>
    <row r="549" spans="1:66" ht="12.9" customHeight="1">
      <c r="B549" s="1414"/>
      <c r="C549" s="1415"/>
      <c r="D549" s="1415"/>
      <c r="E549" s="1415"/>
      <c r="F549" s="1415"/>
      <c r="G549" s="1415"/>
      <c r="H549" s="1416"/>
      <c r="I549" t="s">
        <v>564</v>
      </c>
      <c r="AC549" s="1391">
        <v>10</v>
      </c>
      <c r="AD549" s="1392"/>
      <c r="AE549" s="1392"/>
      <c r="AF549" s="1392"/>
      <c r="AG549" s="38" t="s">
        <v>402</v>
      </c>
      <c r="AH549" s="1394">
        <v>2028</v>
      </c>
      <c r="AI549" s="1394"/>
      <c r="AJ549" s="1394"/>
      <c r="AK549" s="1395"/>
      <c r="AZ549" s="3"/>
      <c r="BA549" s="3"/>
      <c r="BB549" s="3"/>
      <c r="BC549" s="3"/>
      <c r="BD549" s="3"/>
      <c r="BE549" s="3"/>
      <c r="BF549" s="3"/>
      <c r="BG549" s="3"/>
      <c r="BH549" s="3"/>
      <c r="BI549" s="3"/>
      <c r="BJ549" s="3"/>
      <c r="BK549" s="3"/>
      <c r="BL549" s="3"/>
      <c r="BM549" s="3"/>
      <c r="BN549" s="3"/>
    </row>
    <row r="550" spans="1:66" ht="12.9" customHeight="1">
      <c r="B550" s="1417"/>
      <c r="C550" s="1418"/>
      <c r="D550" s="1418"/>
      <c r="E550" s="1418"/>
      <c r="F550" s="1418"/>
      <c r="G550" s="1418"/>
      <c r="H550" s="1419"/>
      <c r="I550" s="48" t="s">
        <v>450</v>
      </c>
      <c r="J550" s="48"/>
      <c r="K550" s="48"/>
      <c r="L550" s="48"/>
      <c r="M550" s="48"/>
      <c r="N550" s="48"/>
      <c r="O550" s="48"/>
      <c r="P550" s="48"/>
      <c r="Q550" s="48"/>
      <c r="R550" s="48"/>
      <c r="S550" s="48"/>
      <c r="T550" s="48"/>
      <c r="U550" s="48"/>
      <c r="V550" s="48"/>
      <c r="W550" s="48"/>
      <c r="X550" s="48"/>
      <c r="Y550" s="48"/>
      <c r="Z550" s="48"/>
      <c r="AA550" s="48"/>
      <c r="AB550" s="48"/>
      <c r="AC550" s="1391">
        <v>4</v>
      </c>
      <c r="AD550" s="1392"/>
      <c r="AE550" s="1392"/>
      <c r="AF550" s="1392"/>
      <c r="AG550" s="38" t="s">
        <v>402</v>
      </c>
      <c r="AH550" s="1394">
        <v>2029</v>
      </c>
      <c r="AI550" s="1394"/>
      <c r="AJ550" s="1394"/>
      <c r="AK550" s="1395"/>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2055</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411" t="s">
        <v>2057</v>
      </c>
      <c r="C559" s="1412"/>
      <c r="D559" s="1412"/>
      <c r="E559" s="1412"/>
      <c r="F559" s="1412"/>
      <c r="G559" s="1412"/>
      <c r="H559" s="1412"/>
      <c r="I559" s="1412"/>
      <c r="J559" s="1412"/>
      <c r="K559" s="1412"/>
      <c r="L559" s="1413"/>
      <c r="M559" s="1411" t="s">
        <v>2058</v>
      </c>
      <c r="N559" s="1412"/>
      <c r="O559" s="1412"/>
      <c r="P559" s="1413"/>
      <c r="Q559" s="1411" t="s">
        <v>2084</v>
      </c>
      <c r="R559" s="1412"/>
      <c r="S559" s="1413"/>
      <c r="T559" s="1411" t="s">
        <v>2085</v>
      </c>
      <c r="U559" s="1412"/>
      <c r="V559" s="1413"/>
      <c r="W559" s="1411" t="s">
        <v>452</v>
      </c>
      <c r="X559" s="1412"/>
      <c r="Y559" s="1413"/>
      <c r="Z559" s="1411" t="s">
        <v>1826</v>
      </c>
      <c r="AA559" s="1412"/>
      <c r="AB559" s="1412"/>
      <c r="AC559" s="1412"/>
      <c r="AD559" s="1413"/>
      <c r="AE559" s="1411" t="s">
        <v>1663</v>
      </c>
      <c r="AF559" s="1412"/>
      <c r="AG559" s="1412"/>
      <c r="AH559" s="1413"/>
      <c r="AI559" s="1411" t="s">
        <v>1664</v>
      </c>
      <c r="AJ559" s="1412"/>
      <c r="AK559" s="1412"/>
      <c r="AL559" s="1413"/>
      <c r="AM559" s="1411" t="s">
        <v>453</v>
      </c>
      <c r="AN559" s="1412"/>
      <c r="AO559" s="1412"/>
      <c r="AP559" s="1412"/>
      <c r="AQ559" s="1412"/>
      <c r="AR559" s="1412"/>
      <c r="AS559" s="1413"/>
      <c r="BB559" s="3"/>
      <c r="BC559" s="3"/>
      <c r="BD559" s="3"/>
      <c r="BE559" s="3"/>
      <c r="BF559" s="3"/>
      <c r="BG559" s="3"/>
      <c r="BH559" s="3" t="s">
        <v>580</v>
      </c>
      <c r="BI559" s="3" t="str">
        <f>AG665</f>
        <v>Yes</v>
      </c>
    </row>
    <row r="560" spans="1:66" ht="12.9" customHeight="1">
      <c r="B560" s="1414"/>
      <c r="C560" s="1415"/>
      <c r="D560" s="1415"/>
      <c r="E560" s="1415"/>
      <c r="F560" s="1415"/>
      <c r="G560" s="1415"/>
      <c r="H560" s="1415"/>
      <c r="I560" s="1415"/>
      <c r="J560" s="1415"/>
      <c r="K560" s="1415"/>
      <c r="L560" s="1416"/>
      <c r="M560" s="1414"/>
      <c r="N560" s="1415"/>
      <c r="O560" s="1415"/>
      <c r="P560" s="1416"/>
      <c r="Q560" s="1414"/>
      <c r="R560" s="1415"/>
      <c r="S560" s="1416"/>
      <c r="T560" s="1414"/>
      <c r="U560" s="1415"/>
      <c r="V560" s="1416"/>
      <c r="W560" s="1414"/>
      <c r="X560" s="1415"/>
      <c r="Y560" s="1416"/>
      <c r="Z560" s="1414"/>
      <c r="AA560" s="1415"/>
      <c r="AB560" s="1415"/>
      <c r="AC560" s="1415"/>
      <c r="AD560" s="1416"/>
      <c r="AE560" s="1414"/>
      <c r="AF560" s="1415"/>
      <c r="AG560" s="1415"/>
      <c r="AH560" s="1416"/>
      <c r="AI560" s="1414"/>
      <c r="AJ560" s="1415"/>
      <c r="AK560" s="1415"/>
      <c r="AL560" s="1416"/>
      <c r="AM560" s="1414"/>
      <c r="AN560" s="1415"/>
      <c r="AO560" s="1415"/>
      <c r="AP560" s="1415"/>
      <c r="AQ560" s="1415"/>
      <c r="AR560" s="1415"/>
      <c r="AS560" s="1416"/>
      <c r="AU560" s="1141"/>
      <c r="BB560" s="3"/>
      <c r="BC560" s="3"/>
      <c r="BD560" s="3"/>
      <c r="BE560" s="3"/>
      <c r="BF560" s="3"/>
      <c r="BG560" s="3"/>
      <c r="BH560" s="3"/>
      <c r="BI560" s="3"/>
    </row>
    <row r="561" spans="1:61" ht="12.9" customHeight="1">
      <c r="B561" s="1417"/>
      <c r="C561" s="1418"/>
      <c r="D561" s="1418"/>
      <c r="E561" s="1418"/>
      <c r="F561" s="1418"/>
      <c r="G561" s="1418"/>
      <c r="H561" s="1418"/>
      <c r="I561" s="1418"/>
      <c r="J561" s="1418"/>
      <c r="K561" s="1418"/>
      <c r="L561" s="1419"/>
      <c r="M561" s="1417"/>
      <c r="N561" s="1418"/>
      <c r="O561" s="1418"/>
      <c r="P561" s="1419"/>
      <c r="Q561" s="1417"/>
      <c r="R561" s="1418"/>
      <c r="S561" s="1419"/>
      <c r="T561" s="1417"/>
      <c r="U561" s="1418"/>
      <c r="V561" s="1419"/>
      <c r="W561" s="1417"/>
      <c r="X561" s="1418"/>
      <c r="Y561" s="1419"/>
      <c r="Z561" s="1417"/>
      <c r="AA561" s="1418"/>
      <c r="AB561" s="1418"/>
      <c r="AC561" s="1418"/>
      <c r="AD561" s="1419"/>
      <c r="AE561" s="1417"/>
      <c r="AF561" s="1418"/>
      <c r="AG561" s="1418"/>
      <c r="AH561" s="1419"/>
      <c r="AI561" s="1417"/>
      <c r="AJ561" s="1418"/>
      <c r="AK561" s="1418"/>
      <c r="AL561" s="1419"/>
      <c r="AM561" s="1417"/>
      <c r="AN561" s="1418"/>
      <c r="AO561" s="1418"/>
      <c r="AP561" s="1418"/>
      <c r="AQ561" s="1418"/>
      <c r="AR561" s="1418"/>
      <c r="AS561" s="1419"/>
      <c r="AU561" s="1141"/>
      <c r="BB561" s="3"/>
      <c r="BC561" s="3"/>
      <c r="BD561" s="3"/>
      <c r="BE561" s="3"/>
      <c r="BF561" s="3"/>
      <c r="BG561" s="3"/>
      <c r="BH561" s="3"/>
      <c r="BI561" s="3"/>
    </row>
    <row r="562" spans="1:61" ht="12.9" customHeight="1">
      <c r="B562" s="51" t="s">
        <v>112</v>
      </c>
      <c r="C562" s="1444" t="s">
        <v>2725</v>
      </c>
      <c r="D562" s="1444"/>
      <c r="E562" s="1444"/>
      <c r="F562" s="1444"/>
      <c r="G562" s="1444"/>
      <c r="H562" s="1444"/>
      <c r="I562" s="1444"/>
      <c r="J562" s="1444"/>
      <c r="K562" s="1444"/>
      <c r="L562" s="1444"/>
      <c r="M562" s="1444" t="s">
        <v>2074</v>
      </c>
      <c r="N562" s="1444"/>
      <c r="O562" s="1444"/>
      <c r="P562" s="1444"/>
      <c r="Q562" s="1442">
        <v>36</v>
      </c>
      <c r="R562" s="1442"/>
      <c r="S562" s="1443"/>
      <c r="T562" s="1441"/>
      <c r="U562" s="1442"/>
      <c r="V562" s="1443"/>
      <c r="W562" s="1446">
        <v>0.06</v>
      </c>
      <c r="X562" s="1447"/>
      <c r="Y562" s="1448"/>
      <c r="Z562" s="1393" t="s">
        <v>2726</v>
      </c>
      <c r="AA562" s="1393"/>
      <c r="AB562" s="1393"/>
      <c r="AC562" s="1393"/>
      <c r="AD562" s="1393"/>
      <c r="AE562" s="1432">
        <v>1</v>
      </c>
      <c r="AF562" s="1433"/>
      <c r="AG562" s="1433"/>
      <c r="AH562" s="1434"/>
      <c r="AI562" s="1481"/>
      <c r="AJ562" s="1482"/>
      <c r="AK562" s="1482"/>
      <c r="AL562" s="1483"/>
      <c r="AM562" s="1423">
        <v>28600000</v>
      </c>
      <c r="AN562" s="1424"/>
      <c r="AO562" s="1424"/>
      <c r="AP562" s="1424"/>
      <c r="AQ562" s="1424"/>
      <c r="AR562" s="1424"/>
      <c r="AS562" s="1425"/>
      <c r="AT562" s="1142"/>
      <c r="AU562" s="1141"/>
      <c r="BB562" s="3"/>
      <c r="BC562" s="3"/>
      <c r="BD562" s="3"/>
      <c r="BE562" s="3"/>
      <c r="BF562" s="3"/>
      <c r="BG562" s="3"/>
      <c r="BH562" s="3"/>
      <c r="BI562" s="3"/>
    </row>
    <row r="563" spans="1:61" ht="12.9" customHeight="1">
      <c r="B563" s="52" t="s">
        <v>113</v>
      </c>
      <c r="C563" s="1445" t="s">
        <v>2725</v>
      </c>
      <c r="D563" s="1445"/>
      <c r="E563" s="1445"/>
      <c r="F563" s="1445"/>
      <c r="G563" s="1445"/>
      <c r="H563" s="1445"/>
      <c r="I563" s="1445"/>
      <c r="J563" s="1445"/>
      <c r="K563" s="1445"/>
      <c r="L563" s="1445"/>
      <c r="M563" s="1444" t="s">
        <v>2073</v>
      </c>
      <c r="N563" s="1444"/>
      <c r="O563" s="1444"/>
      <c r="P563" s="1444"/>
      <c r="Q563" s="1441">
        <v>36</v>
      </c>
      <c r="R563" s="1442"/>
      <c r="S563" s="1443"/>
      <c r="T563" s="1441"/>
      <c r="U563" s="1442"/>
      <c r="V563" s="1443"/>
      <c r="W563" s="1446">
        <v>6.5000000000000002E-2</v>
      </c>
      <c r="X563" s="1447"/>
      <c r="Y563" s="1448"/>
      <c r="Z563" s="1393" t="s">
        <v>2726</v>
      </c>
      <c r="AA563" s="1393"/>
      <c r="AB563" s="1393"/>
      <c r="AC563" s="1393"/>
      <c r="AD563" s="1393"/>
      <c r="AE563" s="1432">
        <v>2</v>
      </c>
      <c r="AF563" s="1433"/>
      <c r="AG563" s="1433"/>
      <c r="AH563" s="1434"/>
      <c r="AI563" s="1481"/>
      <c r="AJ563" s="1482"/>
      <c r="AK563" s="1482"/>
      <c r="AL563" s="1483"/>
      <c r="AM563" s="1423">
        <v>45976861</v>
      </c>
      <c r="AN563" s="1424"/>
      <c r="AO563" s="1424"/>
      <c r="AP563" s="1424"/>
      <c r="AQ563" s="1424"/>
      <c r="AR563" s="1424"/>
      <c r="AS563" s="1425"/>
      <c r="AT563" s="1142" t="str">
        <f>IF(AND(NOT(C562=""),C563="",NOT(C564="")),"!","")</f>
        <v/>
      </c>
      <c r="AU563" s="1141"/>
      <c r="BB563" s="3"/>
      <c r="BC563" s="3"/>
      <c r="BD563" s="3"/>
      <c r="BE563" s="3"/>
      <c r="BF563" s="3"/>
      <c r="BG563" s="3"/>
      <c r="BH563" s="3"/>
      <c r="BI563" s="3"/>
    </row>
    <row r="564" spans="1:61" ht="12.9" customHeight="1">
      <c r="B564" s="52" t="s">
        <v>119</v>
      </c>
      <c r="C564" s="1445" t="s">
        <v>2793</v>
      </c>
      <c r="D564" s="1445"/>
      <c r="E564" s="1445"/>
      <c r="F564" s="1445"/>
      <c r="G564" s="1445"/>
      <c r="H564" s="1445"/>
      <c r="I564" s="1445"/>
      <c r="J564" s="1445"/>
      <c r="K564" s="1445"/>
      <c r="L564" s="1445"/>
      <c r="M564" s="1444" t="s">
        <v>2068</v>
      </c>
      <c r="N564" s="1444"/>
      <c r="O564" s="1444"/>
      <c r="P564" s="1444"/>
      <c r="Q564" s="1441">
        <v>36</v>
      </c>
      <c r="R564" s="1442"/>
      <c r="S564" s="1443"/>
      <c r="T564" s="1441"/>
      <c r="U564" s="1442"/>
      <c r="V564" s="1443"/>
      <c r="W564" s="1446">
        <v>0.03</v>
      </c>
      <c r="X564" s="1447"/>
      <c r="Y564" s="1448"/>
      <c r="Z564" s="1393" t="s">
        <v>2726</v>
      </c>
      <c r="AA564" s="1393"/>
      <c r="AB564" s="1393"/>
      <c r="AC564" s="1393"/>
      <c r="AD564" s="1393"/>
      <c r="AE564" s="1432">
        <v>3</v>
      </c>
      <c r="AF564" s="1433"/>
      <c r="AG564" s="1433"/>
      <c r="AH564" s="1434"/>
      <c r="AI564" s="1481"/>
      <c r="AJ564" s="1482"/>
      <c r="AK564" s="1482"/>
      <c r="AL564" s="1483"/>
      <c r="AM564" s="1423">
        <v>2600000</v>
      </c>
      <c r="AN564" s="1424"/>
      <c r="AO564" s="1424"/>
      <c r="AP564" s="1424"/>
      <c r="AQ564" s="1424"/>
      <c r="AR564" s="1424"/>
      <c r="AS564" s="1425"/>
      <c r="AT564" s="1142" t="str">
        <f>IF(AND(NOT(C563=""),C564="",NOT(C565="")),"!","")</f>
        <v/>
      </c>
      <c r="AU564" s="1141"/>
      <c r="BB564" s="3"/>
      <c r="BC564" s="3"/>
      <c r="BD564" s="3"/>
      <c r="BE564" s="3"/>
      <c r="BF564" s="3"/>
      <c r="BG564" s="3"/>
      <c r="BH564" s="3"/>
      <c r="BI564" s="3"/>
    </row>
    <row r="565" spans="1:61" ht="12.9" customHeight="1">
      <c r="B565" s="52" t="s">
        <v>580</v>
      </c>
      <c r="C565" s="1445" t="s">
        <v>2769</v>
      </c>
      <c r="D565" s="1445"/>
      <c r="E565" s="1445"/>
      <c r="F565" s="1445"/>
      <c r="G565" s="1445"/>
      <c r="H565" s="1445"/>
      <c r="I565" s="1445"/>
      <c r="J565" s="1445"/>
      <c r="K565" s="1445"/>
      <c r="L565" s="1445"/>
      <c r="M565" s="1444" t="s">
        <v>2070</v>
      </c>
      <c r="N565" s="1444"/>
      <c r="O565" s="1444"/>
      <c r="P565" s="1444"/>
      <c r="Q565" s="1441">
        <v>36</v>
      </c>
      <c r="R565" s="1442"/>
      <c r="S565" s="1443"/>
      <c r="T565" s="1441"/>
      <c r="U565" s="1442"/>
      <c r="V565" s="1443"/>
      <c r="W565" s="1446">
        <v>0.03</v>
      </c>
      <c r="X565" s="1447"/>
      <c r="Y565" s="1448"/>
      <c r="Z565" s="1393" t="s">
        <v>2726</v>
      </c>
      <c r="AA565" s="1393"/>
      <c r="AB565" s="1393"/>
      <c r="AC565" s="1393"/>
      <c r="AD565" s="1393"/>
      <c r="AE565" s="1432">
        <v>4</v>
      </c>
      <c r="AF565" s="1433"/>
      <c r="AG565" s="1433"/>
      <c r="AH565" s="1434"/>
      <c r="AI565" s="1481"/>
      <c r="AJ565" s="1482"/>
      <c r="AK565" s="1482"/>
      <c r="AL565" s="1483"/>
      <c r="AM565" s="1423">
        <v>4500000</v>
      </c>
      <c r="AN565" s="1424"/>
      <c r="AO565" s="1424"/>
      <c r="AP565" s="1424"/>
      <c r="AQ565" s="1424"/>
      <c r="AR565" s="1424"/>
      <c r="AS565" s="1425"/>
      <c r="AT565" s="1142" t="str">
        <f>IF(AND(NOT(C564=""),C565="",NOT(C566="")),"!","")</f>
        <v/>
      </c>
      <c r="AU565" s="1141"/>
      <c r="BB565" s="3"/>
      <c r="BC565" s="3"/>
      <c r="BD565" s="3"/>
      <c r="BE565" s="3"/>
      <c r="BF565" s="3"/>
      <c r="BG565" s="3"/>
      <c r="BH565" s="3"/>
      <c r="BI565" s="3"/>
    </row>
    <row r="566" spans="1:61" ht="12.9" customHeight="1">
      <c r="B566" s="52" t="s">
        <v>761</v>
      </c>
      <c r="C566" s="1445" t="s">
        <v>2649</v>
      </c>
      <c r="D566" s="1445"/>
      <c r="E566" s="1445"/>
      <c r="F566" s="1445"/>
      <c r="G566" s="1445"/>
      <c r="H566" s="1445"/>
      <c r="I566" s="1445"/>
      <c r="J566" s="1445"/>
      <c r="K566" s="1445"/>
      <c r="L566" s="1445"/>
      <c r="M566" s="1444" t="s">
        <v>2061</v>
      </c>
      <c r="N566" s="1444"/>
      <c r="O566" s="1444"/>
      <c r="P566" s="1444"/>
      <c r="Q566" s="1441"/>
      <c r="R566" s="1442"/>
      <c r="S566" s="1443"/>
      <c r="T566" s="1441"/>
      <c r="U566" s="1442"/>
      <c r="V566" s="1443"/>
      <c r="W566" s="1446"/>
      <c r="X566" s="1447"/>
      <c r="Y566" s="1448"/>
      <c r="Z566" s="1393" t="s">
        <v>590</v>
      </c>
      <c r="AA566" s="1393"/>
      <c r="AB566" s="1393"/>
      <c r="AC566" s="1393"/>
      <c r="AD566" s="1393"/>
      <c r="AE566" s="1432"/>
      <c r="AF566" s="1433"/>
      <c r="AG566" s="1433"/>
      <c r="AH566" s="1434"/>
      <c r="AI566" s="1481"/>
      <c r="AJ566" s="1482"/>
      <c r="AK566" s="1482"/>
      <c r="AL566" s="1483"/>
      <c r="AM566" s="1423">
        <v>13544970</v>
      </c>
      <c r="AN566" s="1424"/>
      <c r="AO566" s="1424"/>
      <c r="AP566" s="1424"/>
      <c r="AQ566" s="1424"/>
      <c r="AR566" s="1424"/>
      <c r="AS566" s="1425"/>
      <c r="AT566" s="1142" t="str">
        <f t="shared" ref="AT566:AT573" si="2">IF(AND(NOT(C565=""),C566="",NOT(C567="")),"!","")</f>
        <v/>
      </c>
      <c r="AU566" s="1141"/>
      <c r="BB566" s="3"/>
      <c r="BC566" s="3"/>
      <c r="BD566" s="3"/>
      <c r="BE566" s="3"/>
      <c r="BF566" s="3"/>
      <c r="BG566" s="3"/>
      <c r="BH566" s="3" t="s">
        <v>761</v>
      </c>
      <c r="BI566" s="3" t="str">
        <f>N673</f>
        <v>Yes</v>
      </c>
    </row>
    <row r="567" spans="1:61" ht="12.9" customHeight="1">
      <c r="B567" s="52" t="s">
        <v>583</v>
      </c>
      <c r="C567" s="1445" t="s">
        <v>2771</v>
      </c>
      <c r="D567" s="1445"/>
      <c r="E567" s="1445"/>
      <c r="F567" s="1445"/>
      <c r="G567" s="1445"/>
      <c r="H567" s="1445"/>
      <c r="I567" s="1445"/>
      <c r="J567" s="1445"/>
      <c r="K567" s="1445"/>
      <c r="L567" s="1445"/>
      <c r="M567" s="1444" t="s">
        <v>2060</v>
      </c>
      <c r="N567" s="1444"/>
      <c r="O567" s="1444"/>
      <c r="P567" s="1444"/>
      <c r="Q567" s="1441"/>
      <c r="R567" s="1442"/>
      <c r="S567" s="1443"/>
      <c r="T567" s="1441"/>
      <c r="U567" s="1442"/>
      <c r="V567" s="1443"/>
      <c r="W567" s="1446"/>
      <c r="X567" s="1447"/>
      <c r="Y567" s="1448"/>
      <c r="Z567" s="1393" t="s">
        <v>590</v>
      </c>
      <c r="AA567" s="1393"/>
      <c r="AB567" s="1393"/>
      <c r="AC567" s="1393"/>
      <c r="AD567" s="1393"/>
      <c r="AE567" s="1432"/>
      <c r="AF567" s="1433"/>
      <c r="AG567" s="1433"/>
      <c r="AH567" s="1434"/>
      <c r="AI567" s="1481"/>
      <c r="AJ567" s="1482"/>
      <c r="AK567" s="1482"/>
      <c r="AL567" s="1483"/>
      <c r="AM567" s="1423">
        <v>1007026</v>
      </c>
      <c r="AN567" s="1424"/>
      <c r="AO567" s="1424"/>
      <c r="AP567" s="1424"/>
      <c r="AQ567" s="1424"/>
      <c r="AR567" s="1424"/>
      <c r="AS567" s="1425"/>
      <c r="AT567" s="1142" t="str">
        <f t="shared" si="2"/>
        <v/>
      </c>
      <c r="AU567" s="1141"/>
      <c r="BB567" s="3"/>
      <c r="BC567" s="3"/>
      <c r="BD567" s="3"/>
      <c r="BE567" s="3"/>
      <c r="BF567" s="3"/>
      <c r="BG567" s="3"/>
      <c r="BH567" s="3" t="s">
        <v>583</v>
      </c>
      <c r="BI567" s="3" t="str">
        <f>AG673</f>
        <v>Yes</v>
      </c>
    </row>
    <row r="568" spans="1:61" ht="12.9" customHeight="1">
      <c r="B568" s="52" t="s">
        <v>454</v>
      </c>
      <c r="C568" s="1445" t="s">
        <v>2697</v>
      </c>
      <c r="D568" s="1445"/>
      <c r="E568" s="1445"/>
      <c r="F568" s="1445"/>
      <c r="G568" s="1445"/>
      <c r="H568" s="1445"/>
      <c r="I568" s="1445"/>
      <c r="J568" s="1445"/>
      <c r="K568" s="1445"/>
      <c r="L568" s="1445"/>
      <c r="M568" s="1444" t="s">
        <v>2065</v>
      </c>
      <c r="N568" s="1444"/>
      <c r="O568" s="1444"/>
      <c r="P568" s="1444"/>
      <c r="Q568" s="1441"/>
      <c r="R568" s="1442"/>
      <c r="S568" s="1443"/>
      <c r="T568" s="1441"/>
      <c r="U568" s="1442"/>
      <c r="V568" s="1443"/>
      <c r="W568" s="1446"/>
      <c r="X568" s="1447"/>
      <c r="Y568" s="1448"/>
      <c r="Z568" s="1393" t="s">
        <v>590</v>
      </c>
      <c r="AA568" s="1393"/>
      <c r="AB568" s="1393"/>
      <c r="AC568" s="1393"/>
      <c r="AD568" s="1393"/>
      <c r="AE568" s="1432"/>
      <c r="AF568" s="1433"/>
      <c r="AG568" s="1433"/>
      <c r="AH568" s="1434"/>
      <c r="AI568" s="1481"/>
      <c r="AJ568" s="1482"/>
      <c r="AK568" s="1482"/>
      <c r="AL568" s="1483"/>
      <c r="AM568" s="1423">
        <v>9070972</v>
      </c>
      <c r="AN568" s="1424"/>
      <c r="AO568" s="1424"/>
      <c r="AP568" s="1424"/>
      <c r="AQ568" s="1424"/>
      <c r="AR568" s="1424"/>
      <c r="AS568" s="1425"/>
      <c r="AT568" s="1142" t="str">
        <f t="shared" si="2"/>
        <v/>
      </c>
      <c r="AU568" s="1141"/>
      <c r="BB568" s="3"/>
      <c r="BC568" s="3"/>
      <c r="BD568" s="3"/>
      <c r="BE568" s="3"/>
      <c r="BF568" s="3"/>
      <c r="BG568" s="3"/>
      <c r="BH568" s="3"/>
      <c r="BI568" s="3"/>
    </row>
    <row r="569" spans="1:61" ht="12.9" customHeight="1">
      <c r="B569" s="52" t="s">
        <v>455</v>
      </c>
      <c r="C569" s="1445"/>
      <c r="D569" s="1445"/>
      <c r="E569" s="1445"/>
      <c r="F569" s="1445"/>
      <c r="G569" s="1445"/>
      <c r="H569" s="1445"/>
      <c r="I569" s="1445"/>
      <c r="J569" s="1445"/>
      <c r="K569" s="1445"/>
      <c r="L569" s="1445"/>
      <c r="M569" s="1444"/>
      <c r="N569" s="1444"/>
      <c r="O569" s="1444"/>
      <c r="P569" s="1444"/>
      <c r="Q569" s="1441"/>
      <c r="R569" s="1442"/>
      <c r="S569" s="1443"/>
      <c r="T569" s="1441"/>
      <c r="U569" s="1442"/>
      <c r="V569" s="1443"/>
      <c r="W569" s="1446"/>
      <c r="X569" s="1447"/>
      <c r="Y569" s="1448"/>
      <c r="Z569" s="1393"/>
      <c r="AA569" s="1393"/>
      <c r="AB569" s="1393"/>
      <c r="AC569" s="1393"/>
      <c r="AD569" s="1393"/>
      <c r="AE569" s="1432"/>
      <c r="AF569" s="1433"/>
      <c r="AG569" s="1433"/>
      <c r="AH569" s="1434"/>
      <c r="AI569" s="1481"/>
      <c r="AJ569" s="1482"/>
      <c r="AK569" s="1482"/>
      <c r="AL569" s="1483"/>
      <c r="AM569" s="1423"/>
      <c r="AN569" s="1424"/>
      <c r="AO569" s="1424"/>
      <c r="AP569" s="1424"/>
      <c r="AQ569" s="1424"/>
      <c r="AR569" s="1424"/>
      <c r="AS569" s="1425"/>
      <c r="AT569" s="1142" t="str">
        <f t="shared" si="2"/>
        <v/>
      </c>
      <c r="AU569" s="1141"/>
      <c r="BB569" s="3"/>
      <c r="BC569" s="3"/>
      <c r="BD569" s="3"/>
      <c r="BE569" s="3"/>
      <c r="BF569" s="3"/>
      <c r="BG569" s="3"/>
      <c r="BH569" s="3"/>
      <c r="BI569" s="3"/>
    </row>
    <row r="570" spans="1:61" ht="12.9" customHeight="1">
      <c r="B570" s="52" t="s">
        <v>460</v>
      </c>
      <c r="C570" s="1445"/>
      <c r="D570" s="1445"/>
      <c r="E570" s="1445"/>
      <c r="F570" s="1445"/>
      <c r="G570" s="1445"/>
      <c r="H570" s="1445"/>
      <c r="I570" s="1445"/>
      <c r="J570" s="1445"/>
      <c r="K570" s="1445"/>
      <c r="L570" s="1445"/>
      <c r="M570" s="1444"/>
      <c r="N570" s="1444"/>
      <c r="O570" s="1444"/>
      <c r="P570" s="1444"/>
      <c r="Q570" s="1441"/>
      <c r="R570" s="1442"/>
      <c r="S570" s="1443"/>
      <c r="T570" s="1441"/>
      <c r="U570" s="1442"/>
      <c r="V570" s="1443"/>
      <c r="W570" s="1446"/>
      <c r="X570" s="1447"/>
      <c r="Y570" s="1448"/>
      <c r="Z570" s="1393"/>
      <c r="AA570" s="1393"/>
      <c r="AB570" s="1393"/>
      <c r="AC570" s="1393"/>
      <c r="AD570" s="1393"/>
      <c r="AE570" s="1432"/>
      <c r="AF570" s="1433"/>
      <c r="AG570" s="1433"/>
      <c r="AH570" s="1434"/>
      <c r="AI570" s="1481"/>
      <c r="AJ570" s="1482"/>
      <c r="AK570" s="1482"/>
      <c r="AL570" s="1483"/>
      <c r="AM570" s="1423"/>
      <c r="AN570" s="1424"/>
      <c r="AO570" s="1424"/>
      <c r="AP570" s="1424"/>
      <c r="AQ570" s="1424"/>
      <c r="AR570" s="1424"/>
      <c r="AS570" s="1425"/>
      <c r="AT570" s="1142" t="str">
        <f t="shared" si="2"/>
        <v/>
      </c>
      <c r="AU570" s="1141"/>
      <c r="BB570" s="3"/>
      <c r="BC570" s="3"/>
      <c r="BD570" s="3"/>
      <c r="BE570" s="3"/>
      <c r="BF570" s="3"/>
      <c r="BG570" s="3"/>
      <c r="BH570" s="3"/>
      <c r="BI570" s="3"/>
    </row>
    <row r="571" spans="1:61" ht="12.9" customHeight="1">
      <c r="B571" s="52" t="s">
        <v>644</v>
      </c>
      <c r="C571" s="1445"/>
      <c r="D571" s="1445"/>
      <c r="E571" s="1445"/>
      <c r="F571" s="1445"/>
      <c r="G571" s="1445"/>
      <c r="H571" s="1445"/>
      <c r="I571" s="1445"/>
      <c r="J571" s="1445"/>
      <c r="K571" s="1445"/>
      <c r="L571" s="1445"/>
      <c r="M571" s="1444"/>
      <c r="N571" s="1444"/>
      <c r="O571" s="1444"/>
      <c r="P571" s="1444"/>
      <c r="Q571" s="1441"/>
      <c r="R571" s="1442"/>
      <c r="S571" s="1443"/>
      <c r="T571" s="1441"/>
      <c r="U571" s="1442"/>
      <c r="V571" s="1443"/>
      <c r="W571" s="1446"/>
      <c r="X571" s="1447"/>
      <c r="Y571" s="1448"/>
      <c r="Z571" s="1393"/>
      <c r="AA571" s="1393"/>
      <c r="AB571" s="1393"/>
      <c r="AC571" s="1393"/>
      <c r="AD571" s="1393"/>
      <c r="AE571" s="1432"/>
      <c r="AF571" s="1433"/>
      <c r="AG571" s="1433"/>
      <c r="AH571" s="1434"/>
      <c r="AI571" s="1481"/>
      <c r="AJ571" s="1482"/>
      <c r="AK571" s="1482"/>
      <c r="AL571" s="1483"/>
      <c r="AM571" s="1423"/>
      <c r="AN571" s="1424"/>
      <c r="AO571" s="1424"/>
      <c r="AP571" s="1424"/>
      <c r="AQ571" s="1424"/>
      <c r="AR571" s="1424"/>
      <c r="AS571" s="1425"/>
      <c r="AT571" s="1142" t="str">
        <f t="shared" si="2"/>
        <v/>
      </c>
      <c r="BB571" s="3"/>
      <c r="BC571" s="3"/>
      <c r="BD571" s="3"/>
      <c r="BE571" s="3"/>
      <c r="BF571" s="3"/>
      <c r="BG571" s="3"/>
      <c r="BH571" s="3"/>
      <c r="BI571" s="3"/>
    </row>
    <row r="572" spans="1:61" ht="12.9" customHeight="1">
      <c r="B572" s="52" t="s">
        <v>361</v>
      </c>
      <c r="C572" s="1445"/>
      <c r="D572" s="1445"/>
      <c r="E572" s="1445"/>
      <c r="F572" s="1445"/>
      <c r="G572" s="1445"/>
      <c r="H572" s="1445"/>
      <c r="I572" s="1445"/>
      <c r="J572" s="1445"/>
      <c r="K572" s="1445"/>
      <c r="L572" s="1445"/>
      <c r="M572" s="1444"/>
      <c r="N572" s="1444"/>
      <c r="O572" s="1444"/>
      <c r="P572" s="1444"/>
      <c r="Q572" s="1441"/>
      <c r="R572" s="1442"/>
      <c r="S572" s="1443"/>
      <c r="T572" s="1441"/>
      <c r="U572" s="1442"/>
      <c r="V572" s="1443"/>
      <c r="W572" s="1446"/>
      <c r="X572" s="1447"/>
      <c r="Y572" s="1448"/>
      <c r="Z572" s="1393"/>
      <c r="AA572" s="1393"/>
      <c r="AB572" s="1393"/>
      <c r="AC572" s="1393"/>
      <c r="AD572" s="1393"/>
      <c r="AE572" s="1432"/>
      <c r="AF572" s="1433"/>
      <c r="AG572" s="1433"/>
      <c r="AH572" s="1434"/>
      <c r="AI572" s="1481"/>
      <c r="AJ572" s="1482"/>
      <c r="AK572" s="1482"/>
      <c r="AL572" s="1483"/>
      <c r="AM572" s="1423"/>
      <c r="AN572" s="1424"/>
      <c r="AO572" s="1424"/>
      <c r="AP572" s="1424"/>
      <c r="AQ572" s="1424"/>
      <c r="AR572" s="1424"/>
      <c r="AS572" s="1425"/>
      <c r="AT572" s="1142" t="str">
        <f t="shared" si="2"/>
        <v/>
      </c>
      <c r="BB572" s="3"/>
      <c r="BC572" s="3"/>
      <c r="BD572" s="3"/>
      <c r="BE572" s="3"/>
      <c r="BF572" s="3"/>
      <c r="BG572" s="3"/>
      <c r="BH572" s="3"/>
      <c r="BI572" s="3"/>
    </row>
    <row r="573" spans="1:61" ht="12.9" customHeight="1">
      <c r="B573" s="52" t="s">
        <v>362</v>
      </c>
      <c r="C573" s="1445"/>
      <c r="D573" s="1445"/>
      <c r="E573" s="1445"/>
      <c r="F573" s="1445"/>
      <c r="G573" s="1445"/>
      <c r="H573" s="1445"/>
      <c r="I573" s="1445"/>
      <c r="J573" s="1445"/>
      <c r="K573" s="1445"/>
      <c r="L573" s="1445"/>
      <c r="M573" s="1444"/>
      <c r="N573" s="1444"/>
      <c r="O573" s="1444"/>
      <c r="P573" s="1444"/>
      <c r="Q573" s="1441"/>
      <c r="R573" s="1442"/>
      <c r="S573" s="1443"/>
      <c r="T573" s="1441"/>
      <c r="U573" s="1442"/>
      <c r="V573" s="1443"/>
      <c r="W573" s="1446"/>
      <c r="X573" s="1447"/>
      <c r="Y573" s="1448"/>
      <c r="Z573" s="1393"/>
      <c r="AA573" s="1393"/>
      <c r="AB573" s="1393"/>
      <c r="AC573" s="1393"/>
      <c r="AD573" s="1393"/>
      <c r="AE573" s="1432"/>
      <c r="AF573" s="1433"/>
      <c r="AG573" s="1433"/>
      <c r="AH573" s="1434"/>
      <c r="AI573" s="1481"/>
      <c r="AJ573" s="1482"/>
      <c r="AK573" s="1482"/>
      <c r="AL573" s="1483"/>
      <c r="AM573" s="1423"/>
      <c r="AN573" s="1424"/>
      <c r="AO573" s="1424"/>
      <c r="AP573" s="1424"/>
      <c r="AQ573" s="1424"/>
      <c r="AR573" s="1424"/>
      <c r="AS573" s="1425"/>
      <c r="AT573" s="1142" t="str">
        <f t="shared" si="2"/>
        <v/>
      </c>
      <c r="BB573" s="3"/>
      <c r="BC573" s="3"/>
      <c r="BD573" s="3"/>
      <c r="BE573" s="3"/>
      <c r="BF573" s="3"/>
      <c r="BG573" s="3"/>
      <c r="BH573" s="3"/>
      <c r="BI573" s="3"/>
    </row>
    <row r="574" spans="1:61" ht="12.9" customHeight="1">
      <c r="B574" s="1428" t="s">
        <v>127</v>
      </c>
      <c r="C574" s="1429"/>
      <c r="D574" s="1429"/>
      <c r="E574" s="1429"/>
      <c r="F574" s="1429"/>
      <c r="G574" s="1429"/>
      <c r="H574" s="1429"/>
      <c r="I574" s="1429"/>
      <c r="J574" s="1429"/>
      <c r="K574" s="1429"/>
      <c r="L574" s="1429"/>
      <c r="M574" s="1429"/>
      <c r="N574" s="1429"/>
      <c r="O574" s="1429"/>
      <c r="P574" s="1429"/>
      <c r="Q574" s="1429"/>
      <c r="R574" s="1429"/>
      <c r="S574" s="1429"/>
      <c r="T574" s="1429"/>
      <c r="U574" s="1430"/>
      <c r="V574" s="1429"/>
      <c r="W574" s="1429"/>
      <c r="X574" s="1429"/>
      <c r="Y574" s="1429"/>
      <c r="Z574" s="1429"/>
      <c r="AA574" s="1429"/>
      <c r="AB574" s="1429"/>
      <c r="AC574" s="1429"/>
      <c r="AD574" s="1429"/>
      <c r="AE574" s="1429"/>
      <c r="AF574" s="1429"/>
      <c r="AG574" s="1429"/>
      <c r="AH574" s="1429"/>
      <c r="AI574" s="1429"/>
      <c r="AJ574" s="1429"/>
      <c r="AK574" s="1429"/>
      <c r="AL574" s="1431"/>
      <c r="AM574" s="1487">
        <f>SUM(AM562:AS573)</f>
        <v>105299829</v>
      </c>
      <c r="AN574" s="1488"/>
      <c r="AO574" s="1488"/>
      <c r="AP574" s="1488"/>
      <c r="AQ574" s="1488"/>
      <c r="AR574" s="1488"/>
      <c r="AS574" s="1489"/>
      <c r="BB574" s="3"/>
      <c r="BC574" s="3"/>
      <c r="BD574" s="3"/>
      <c r="BE574" s="3"/>
      <c r="BF574" s="3"/>
      <c r="BG574" s="3"/>
      <c r="BH574" s="3" t="s">
        <v>454</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 customHeight="1">
      <c r="A576" s="55" t="s">
        <v>112</v>
      </c>
      <c r="B576" t="s">
        <v>462</v>
      </c>
      <c r="G576" s="1371" t="str">
        <f>C562</f>
        <v>Citibank, N.A.</v>
      </c>
      <c r="H576" s="1371"/>
      <c r="I576" s="1371"/>
      <c r="J576" s="1371"/>
      <c r="K576" s="1371"/>
      <c r="L576" s="1371"/>
      <c r="M576" s="1371"/>
      <c r="N576" s="1371"/>
      <c r="O576" s="1371"/>
      <c r="P576" s="1371"/>
      <c r="Q576" s="1371"/>
      <c r="R576" s="1371"/>
      <c r="S576" s="8"/>
      <c r="T576" s="55" t="s">
        <v>113</v>
      </c>
      <c r="U576" t="s">
        <v>462</v>
      </c>
      <c r="Z576" s="1371" t="str">
        <f>C563</f>
        <v>Citibank, N.A.</v>
      </c>
      <c r="AA576" s="1371"/>
      <c r="AB576" s="1371"/>
      <c r="AC576" s="1371"/>
      <c r="AD576" s="1371"/>
      <c r="AE576" s="1371"/>
      <c r="AF576" s="1371"/>
      <c r="AG576" s="1371"/>
      <c r="AH576" s="1371"/>
      <c r="AI576" s="1371"/>
      <c r="AJ576" s="1371"/>
      <c r="AK576" s="1371"/>
      <c r="BB576" s="3"/>
      <c r="BC576" s="3"/>
      <c r="BD576" s="3"/>
      <c r="BE576" s="3"/>
      <c r="BF576" s="3"/>
      <c r="BG576" s="3"/>
      <c r="BH576" s="3"/>
      <c r="BI576" s="3"/>
    </row>
    <row r="577" spans="1:61" ht="12.9" customHeight="1">
      <c r="A577" s="22"/>
      <c r="B577" t="s">
        <v>85</v>
      </c>
      <c r="G577" s="1426" t="s">
        <v>2727</v>
      </c>
      <c r="H577" s="1427"/>
      <c r="I577" s="1427"/>
      <c r="J577" s="1427"/>
      <c r="K577" s="1427"/>
      <c r="L577" s="1427"/>
      <c r="M577" s="1427"/>
      <c r="N577" s="1427"/>
      <c r="O577" s="1427"/>
      <c r="P577" s="1427"/>
      <c r="Q577" s="1427"/>
      <c r="R577" s="1427"/>
      <c r="S577" s="8"/>
      <c r="T577" s="22"/>
      <c r="U577" t="s">
        <v>85</v>
      </c>
      <c r="Z577" s="1426" t="s">
        <v>2727</v>
      </c>
      <c r="AA577" s="1427"/>
      <c r="AB577" s="1427"/>
      <c r="AC577" s="1427"/>
      <c r="AD577" s="1427"/>
      <c r="AE577" s="1427"/>
      <c r="AF577" s="1427"/>
      <c r="AG577" s="1427"/>
      <c r="AH577" s="1427"/>
      <c r="AI577" s="1427"/>
      <c r="AJ577" s="1427"/>
      <c r="AK577" s="1427"/>
      <c r="BB577" s="3"/>
      <c r="BC577" s="3"/>
      <c r="BD577" s="3"/>
      <c r="BE577" s="3"/>
      <c r="BF577" s="3"/>
      <c r="BG577" s="3"/>
      <c r="BH577" s="3"/>
      <c r="BI577" s="3"/>
    </row>
    <row r="578" spans="1:61" ht="12.9" customHeight="1">
      <c r="A578" s="22"/>
      <c r="B578" t="s">
        <v>579</v>
      </c>
      <c r="G578" s="1426" t="s">
        <v>2728</v>
      </c>
      <c r="H578" s="1427"/>
      <c r="I578" s="1427"/>
      <c r="J578" s="1427"/>
      <c r="K578" s="1427"/>
      <c r="L578" s="1427"/>
      <c r="M578" s="1427"/>
      <c r="N578" s="1427"/>
      <c r="O578" s="1427"/>
      <c r="P578" s="1427"/>
      <c r="Q578" s="1427"/>
      <c r="R578" s="1427"/>
      <c r="T578" s="22"/>
      <c r="U578" t="s">
        <v>579</v>
      </c>
      <c r="Z578" s="1368" t="s">
        <v>2728</v>
      </c>
      <c r="AA578" s="1369"/>
      <c r="AB578" s="1369"/>
      <c r="AC578" s="1369"/>
      <c r="AD578" s="1369"/>
      <c r="AE578" s="1369"/>
      <c r="AF578" s="1369"/>
      <c r="AG578" s="1369"/>
      <c r="AH578" s="1369"/>
      <c r="AI578" s="1369"/>
      <c r="AJ578" s="1369"/>
      <c r="AK578" s="1369"/>
      <c r="BB578" s="3"/>
      <c r="BC578" s="3"/>
      <c r="BD578" s="3"/>
      <c r="BE578" s="3"/>
      <c r="BF578" s="3"/>
      <c r="BG578" s="3"/>
      <c r="BH578" s="3"/>
      <c r="BI578" s="3"/>
    </row>
    <row r="579" spans="1:61" ht="12.9" customHeight="1">
      <c r="A579" s="22"/>
      <c r="B579" t="s">
        <v>17</v>
      </c>
      <c r="G579" s="1426" t="s">
        <v>2729</v>
      </c>
      <c r="H579" s="1427"/>
      <c r="I579" s="1427"/>
      <c r="J579" s="1427"/>
      <c r="K579" s="1427"/>
      <c r="L579" s="1427"/>
      <c r="M579" s="1427"/>
      <c r="N579" s="1427"/>
      <c r="O579" s="1427"/>
      <c r="P579" s="1427"/>
      <c r="Q579" s="1427"/>
      <c r="R579" s="1427"/>
      <c r="S579" s="8"/>
      <c r="T579" s="22"/>
      <c r="U579" t="s">
        <v>17</v>
      </c>
      <c r="Z579" s="1368" t="s">
        <v>2729</v>
      </c>
      <c r="AA579" s="1369"/>
      <c r="AB579" s="1369"/>
      <c r="AC579" s="1369"/>
      <c r="AD579" s="1369"/>
      <c r="AE579" s="1369"/>
      <c r="AF579" s="1369"/>
      <c r="AG579" s="1369"/>
      <c r="AH579" s="1369"/>
      <c r="AI579" s="1369"/>
      <c r="AJ579" s="1369"/>
      <c r="AK579" s="1369"/>
      <c r="BB579" s="3"/>
      <c r="BC579" s="3"/>
      <c r="BD579" s="3"/>
      <c r="BE579" s="3"/>
      <c r="BF579" s="3"/>
      <c r="BG579" s="3"/>
      <c r="BH579" s="3"/>
      <c r="BI579" s="3"/>
    </row>
    <row r="580" spans="1:61" ht="12.9" customHeight="1">
      <c r="A580" s="22"/>
      <c r="B580" t="s">
        <v>315</v>
      </c>
      <c r="G580" s="1385" t="s">
        <v>2730</v>
      </c>
      <c r="H580" s="1386"/>
      <c r="I580" s="1386"/>
      <c r="J580" s="1386"/>
      <c r="K580" s="1386"/>
      <c r="L580" s="1386"/>
      <c r="O580" s="33" t="s">
        <v>205</v>
      </c>
      <c r="P580" s="1370"/>
      <c r="Q580" s="1370"/>
      <c r="R580" s="1370"/>
      <c r="S580" s="10"/>
      <c r="T580" s="22"/>
      <c r="U580" t="s">
        <v>315</v>
      </c>
      <c r="Z580" s="1385" t="s">
        <v>2730</v>
      </c>
      <c r="AA580" s="1386"/>
      <c r="AB580" s="1386"/>
      <c r="AC580" s="1386"/>
      <c r="AD580" s="1386"/>
      <c r="AE580" s="1386"/>
      <c r="AH580" s="33" t="s">
        <v>205</v>
      </c>
      <c r="AI580" s="1370"/>
      <c r="AJ580" s="1370"/>
      <c r="AK580" s="1370"/>
      <c r="BB580" s="3"/>
      <c r="BC580" s="3"/>
      <c r="BD580" s="3"/>
      <c r="BE580" s="3"/>
      <c r="BF580" s="3"/>
      <c r="BG580" s="3"/>
      <c r="BH580" s="3"/>
      <c r="BI580" s="3"/>
    </row>
    <row r="581" spans="1:61" ht="12.9" customHeight="1">
      <c r="A581" s="22"/>
      <c r="B581" t="s">
        <v>18</v>
      </c>
      <c r="H581" s="1426" t="s">
        <v>2731</v>
      </c>
      <c r="I581" s="1427"/>
      <c r="J581" s="1427"/>
      <c r="K581" s="1427"/>
      <c r="L581" s="1427"/>
      <c r="M581" s="1427"/>
      <c r="N581" s="1427"/>
      <c r="O581" s="1427"/>
      <c r="P581" s="1427"/>
      <c r="Q581" s="1427"/>
      <c r="R581" s="1427"/>
      <c r="S581" s="8"/>
      <c r="T581" s="22"/>
      <c r="U581" t="s">
        <v>18</v>
      </c>
      <c r="AA581" s="1426" t="s">
        <v>2732</v>
      </c>
      <c r="AB581" s="1427"/>
      <c r="AC581" s="1427"/>
      <c r="AD581" s="1427"/>
      <c r="AE581" s="1427"/>
      <c r="AF581" s="1427"/>
      <c r="AG581" s="1427"/>
      <c r="AH581" s="1427"/>
      <c r="AI581" s="1427"/>
      <c r="AJ581" s="1427"/>
      <c r="AK581" s="1427"/>
      <c r="BB581" s="3"/>
      <c r="BC581" s="3"/>
      <c r="BD581" s="3"/>
      <c r="BE581" s="3"/>
      <c r="BF581" s="3"/>
      <c r="BG581" s="3"/>
      <c r="BH581" s="3"/>
      <c r="BI581" s="3"/>
    </row>
    <row r="582" spans="1:61" ht="12.9" customHeight="1">
      <c r="A582" s="22"/>
      <c r="B582" s="320" t="s">
        <v>1183</v>
      </c>
      <c r="H582" s="8"/>
      <c r="I582" s="8"/>
      <c r="J582" s="8"/>
      <c r="K582" s="8"/>
      <c r="L582" s="8"/>
      <c r="M582" s="1584" t="s">
        <v>590</v>
      </c>
      <c r="N582" s="1585"/>
      <c r="O582" s="1585"/>
      <c r="P582" s="1585"/>
      <c r="Q582" s="1585"/>
      <c r="R582" s="1585"/>
      <c r="S582" s="8"/>
      <c r="T582" s="22"/>
      <c r="U582" s="320" t="s">
        <v>1183</v>
      </c>
      <c r="AA582" s="8"/>
      <c r="AB582" s="8"/>
      <c r="AC582" s="8"/>
      <c r="AD582" s="8"/>
      <c r="AE582" s="8"/>
      <c r="AF582" s="1584" t="s">
        <v>590</v>
      </c>
      <c r="AG582" s="1585"/>
      <c r="AH582" s="1585"/>
      <c r="AI582" s="1585"/>
      <c r="AJ582" s="1585"/>
      <c r="AK582" s="1585"/>
      <c r="BB582" s="3"/>
      <c r="BC582" s="3"/>
      <c r="BD582" s="3"/>
      <c r="BE582" s="3"/>
      <c r="BF582" s="3"/>
      <c r="BG582" s="3"/>
      <c r="BH582" s="3"/>
      <c r="BI582" s="3"/>
    </row>
    <row r="583" spans="1:61" ht="12.9" customHeight="1">
      <c r="A583" s="22"/>
      <c r="B583" t="s">
        <v>20</v>
      </c>
      <c r="N583" s="1381" t="s">
        <v>544</v>
      </c>
      <c r="O583" s="1381"/>
      <c r="T583" s="22"/>
      <c r="U583" t="s">
        <v>20</v>
      </c>
      <c r="AG583" s="1381" t="s">
        <v>544</v>
      </c>
      <c r="AH583" s="1381"/>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371" t="str">
        <f>C564</f>
        <v>Housing Trust Silicon Valley</v>
      </c>
      <c r="H585" s="1371"/>
      <c r="I585" s="1371"/>
      <c r="J585" s="1371"/>
      <c r="K585" s="1371"/>
      <c r="L585" s="1371"/>
      <c r="M585" s="1371"/>
      <c r="N585" s="1371"/>
      <c r="O585" s="1371"/>
      <c r="P585" s="1371"/>
      <c r="Q585" s="1371"/>
      <c r="R585" s="1371"/>
      <c r="T585" s="55" t="s">
        <v>580</v>
      </c>
      <c r="U585" t="s">
        <v>462</v>
      </c>
      <c r="Z585" s="1371" t="str">
        <f>C565</f>
        <v>HCD - IIG Loan</v>
      </c>
      <c r="AA585" s="1371"/>
      <c r="AB585" s="1371"/>
      <c r="AC585" s="1371"/>
      <c r="AD585" s="1371"/>
      <c r="AE585" s="1371"/>
      <c r="AF585" s="1371"/>
      <c r="AG585" s="1371"/>
      <c r="AH585" s="1371"/>
      <c r="AI585" s="1371"/>
      <c r="AJ585" s="1371"/>
      <c r="AK585" s="1371"/>
      <c r="BB585" s="3"/>
      <c r="BC585" s="3"/>
    </row>
    <row r="586" spans="1:61" ht="12.9" customHeight="1">
      <c r="A586" s="22"/>
      <c r="B586" t="s">
        <v>85</v>
      </c>
      <c r="G586" s="1426" t="s">
        <v>2795</v>
      </c>
      <c r="H586" s="1427"/>
      <c r="I586" s="1427"/>
      <c r="J586" s="1427"/>
      <c r="K586" s="1427"/>
      <c r="L586" s="1427"/>
      <c r="M586" s="1427"/>
      <c r="N586" s="1427"/>
      <c r="O586" s="1427"/>
      <c r="P586" s="1427"/>
      <c r="Q586" s="1427"/>
      <c r="R586" s="1427"/>
      <c r="T586" s="22"/>
      <c r="U586" t="s">
        <v>85</v>
      </c>
      <c r="Z586" s="1426" t="s">
        <v>2772</v>
      </c>
      <c r="AA586" s="1427"/>
      <c r="AB586" s="1427"/>
      <c r="AC586" s="1427"/>
      <c r="AD586" s="1427"/>
      <c r="AE586" s="1427"/>
      <c r="AF586" s="1427"/>
      <c r="AG586" s="1427"/>
      <c r="AH586" s="1427"/>
      <c r="AI586" s="1427"/>
      <c r="AJ586" s="1427"/>
      <c r="AK586" s="1427"/>
      <c r="BB586" s="3"/>
      <c r="BC586" s="3"/>
    </row>
    <row r="587" spans="1:61" ht="12.9" customHeight="1">
      <c r="A587" s="22"/>
      <c r="B587" t="s">
        <v>579</v>
      </c>
      <c r="G587" s="1368" t="s">
        <v>2796</v>
      </c>
      <c r="H587" s="1369"/>
      <c r="I587" s="1369"/>
      <c r="J587" s="1369"/>
      <c r="K587" s="1369"/>
      <c r="L587" s="1369"/>
      <c r="M587" s="1369"/>
      <c r="N587" s="1369"/>
      <c r="O587" s="1369"/>
      <c r="P587" s="1369"/>
      <c r="Q587" s="1369"/>
      <c r="R587" s="1369"/>
      <c r="T587" s="22"/>
      <c r="U587" t="s">
        <v>579</v>
      </c>
      <c r="Z587" s="1368" t="s">
        <v>2773</v>
      </c>
      <c r="AA587" s="1369"/>
      <c r="AB587" s="1369"/>
      <c r="AC587" s="1369"/>
      <c r="AD587" s="1369"/>
      <c r="AE587" s="1369"/>
      <c r="AF587" s="1369"/>
      <c r="AG587" s="1369"/>
      <c r="AH587" s="1369"/>
      <c r="AI587" s="1369"/>
      <c r="AJ587" s="1369"/>
      <c r="AK587" s="1369"/>
      <c r="BB587" s="3"/>
      <c r="BC587" s="3"/>
    </row>
    <row r="588" spans="1:61" ht="12.9" customHeight="1">
      <c r="A588" s="22"/>
      <c r="B588" t="s">
        <v>17</v>
      </c>
      <c r="G588" s="1368" t="s">
        <v>2794</v>
      </c>
      <c r="H588" s="1369"/>
      <c r="I588" s="1369"/>
      <c r="J588" s="1369"/>
      <c r="K588" s="1369"/>
      <c r="L588" s="1369"/>
      <c r="M588" s="1369"/>
      <c r="N588" s="1369"/>
      <c r="O588" s="1369"/>
      <c r="P588" s="1369"/>
      <c r="Q588" s="1369"/>
      <c r="R588" s="1369"/>
      <c r="T588" s="22"/>
      <c r="U588" t="s">
        <v>17</v>
      </c>
      <c r="Z588" s="1368" t="s">
        <v>2774</v>
      </c>
      <c r="AA588" s="1369"/>
      <c r="AB588" s="1369"/>
      <c r="AC588" s="1369"/>
      <c r="AD588" s="1369"/>
      <c r="AE588" s="1369"/>
      <c r="AF588" s="1369"/>
      <c r="AG588" s="1369"/>
      <c r="AH588" s="1369"/>
      <c r="AI588" s="1369"/>
      <c r="AJ588" s="1369"/>
      <c r="AK588" s="1369"/>
      <c r="BB588" s="3"/>
      <c r="BC588" s="3"/>
    </row>
    <row r="589" spans="1:61" ht="12.9" customHeight="1">
      <c r="A589" s="22"/>
      <c r="B589" t="s">
        <v>315</v>
      </c>
      <c r="G589" s="1385" t="s">
        <v>2797</v>
      </c>
      <c r="H589" s="1386"/>
      <c r="I589" s="1386"/>
      <c r="J589" s="1386"/>
      <c r="K589" s="1386"/>
      <c r="L589" s="1386"/>
      <c r="O589" s="33" t="s">
        <v>205</v>
      </c>
      <c r="P589" s="1370"/>
      <c r="Q589" s="1370"/>
      <c r="R589" s="1370"/>
      <c r="T589" s="22"/>
      <c r="U589" t="s">
        <v>315</v>
      </c>
      <c r="Z589" s="1385" t="s">
        <v>2775</v>
      </c>
      <c r="AA589" s="1386"/>
      <c r="AB589" s="1386"/>
      <c r="AC589" s="1386"/>
      <c r="AD589" s="1386"/>
      <c r="AE589" s="1386"/>
      <c r="AH589" s="33" t="s">
        <v>205</v>
      </c>
      <c r="AI589" s="1370"/>
      <c r="AJ589" s="1370"/>
      <c r="AK589" s="1370"/>
      <c r="BB589" s="3"/>
      <c r="BC589" s="3"/>
    </row>
    <row r="590" spans="1:61" ht="12.9" customHeight="1">
      <c r="A590" s="22"/>
      <c r="B590" t="s">
        <v>18</v>
      </c>
      <c r="H590" s="1426" t="s">
        <v>2800</v>
      </c>
      <c r="I590" s="1427"/>
      <c r="J590" s="1427"/>
      <c r="K590" s="1427"/>
      <c r="L590" s="1427"/>
      <c r="M590" s="1427"/>
      <c r="N590" s="1427"/>
      <c r="O590" s="1427"/>
      <c r="P590" s="1427"/>
      <c r="Q590" s="1427"/>
      <c r="R590" s="1427"/>
      <c r="T590" s="22"/>
      <c r="U590" t="s">
        <v>18</v>
      </c>
      <c r="AA590" s="1426" t="s">
        <v>2776</v>
      </c>
      <c r="AB590" s="1427"/>
      <c r="AC590" s="1427"/>
      <c r="AD590" s="1427"/>
      <c r="AE590" s="1427"/>
      <c r="AF590" s="1427"/>
      <c r="AG590" s="1427"/>
      <c r="AH590" s="1427"/>
      <c r="AI590" s="1427"/>
      <c r="AJ590" s="1427"/>
      <c r="AK590" s="1427"/>
      <c r="BB590" s="3"/>
      <c r="BC590" s="3"/>
    </row>
    <row r="591" spans="1:61" ht="12.9" customHeight="1">
      <c r="A591" s="22"/>
      <c r="B591" t="s">
        <v>20</v>
      </c>
      <c r="N591" s="1381" t="s">
        <v>544</v>
      </c>
      <c r="O591" s="1381"/>
      <c r="T591" s="22"/>
      <c r="U591" t="s">
        <v>20</v>
      </c>
      <c r="AG591" s="1381" t="s">
        <v>544</v>
      </c>
      <c r="AH591" s="1381"/>
      <c r="BB591" s="3"/>
      <c r="BC591" s="3"/>
    </row>
    <row r="592" spans="1:61" ht="12.9" customHeight="1">
      <c r="A592" s="22"/>
      <c r="T592" s="22"/>
      <c r="BB592" s="3"/>
      <c r="BC592" s="3"/>
    </row>
    <row r="593" spans="1:55" ht="12.9" customHeight="1">
      <c r="A593" s="55" t="s">
        <v>761</v>
      </c>
      <c r="B593" t="s">
        <v>462</v>
      </c>
      <c r="G593" s="1371" t="str">
        <f>C566</f>
        <v>Pacific West Communities, Inc.</v>
      </c>
      <c r="H593" s="1371"/>
      <c r="I593" s="1371"/>
      <c r="J593" s="1371"/>
      <c r="K593" s="1371"/>
      <c r="L593" s="1371"/>
      <c r="M593" s="1371"/>
      <c r="N593" s="1371"/>
      <c r="O593" s="1371"/>
      <c r="P593" s="1371"/>
      <c r="Q593" s="1371"/>
      <c r="R593" s="1371"/>
      <c r="T593" s="55" t="s">
        <v>583</v>
      </c>
      <c r="U593" t="s">
        <v>462</v>
      </c>
      <c r="Z593" s="1371" t="str">
        <f>C567</f>
        <v>Richmond Metrowalk Associates</v>
      </c>
      <c r="AA593" s="1371"/>
      <c r="AB593" s="1371"/>
      <c r="AC593" s="1371"/>
      <c r="AD593" s="1371"/>
      <c r="AE593" s="1371"/>
      <c r="AF593" s="1371"/>
      <c r="AG593" s="1371"/>
      <c r="AH593" s="1371"/>
      <c r="AI593" s="1371"/>
      <c r="AJ593" s="1371"/>
      <c r="AK593" s="1371"/>
      <c r="BB593" s="3"/>
      <c r="BC593" s="3"/>
    </row>
    <row r="594" spans="1:55" ht="12.9" customHeight="1">
      <c r="A594" s="22"/>
      <c r="B594" t="s">
        <v>85</v>
      </c>
      <c r="G594" s="1426" t="s">
        <v>2654</v>
      </c>
      <c r="H594" s="1427"/>
      <c r="I594" s="1427"/>
      <c r="J594" s="1427"/>
      <c r="K594" s="1427"/>
      <c r="L594" s="1427"/>
      <c r="M594" s="1427"/>
      <c r="N594" s="1427"/>
      <c r="O594" s="1427"/>
      <c r="P594" s="1427"/>
      <c r="Q594" s="1427"/>
      <c r="R594" s="1427"/>
      <c r="T594" s="22"/>
      <c r="U594" t="s">
        <v>85</v>
      </c>
      <c r="Z594" s="1426" t="s">
        <v>2654</v>
      </c>
      <c r="AA594" s="1427"/>
      <c r="AB594" s="1427"/>
      <c r="AC594" s="1427"/>
      <c r="AD594" s="1427"/>
      <c r="AE594" s="1427"/>
      <c r="AF594" s="1427"/>
      <c r="AG594" s="1427"/>
      <c r="AH594" s="1427"/>
      <c r="AI594" s="1427"/>
      <c r="AJ594" s="1427"/>
      <c r="AK594" s="1427"/>
      <c r="BB594" s="3"/>
      <c r="BC594" s="3"/>
    </row>
    <row r="595" spans="1:55" ht="12.9" customHeight="1">
      <c r="A595" s="22"/>
      <c r="B595" t="s">
        <v>579</v>
      </c>
      <c r="G595" s="1426" t="s">
        <v>2671</v>
      </c>
      <c r="H595" s="1427"/>
      <c r="I595" s="1427"/>
      <c r="J595" s="1427"/>
      <c r="K595" s="1427"/>
      <c r="L595" s="1427"/>
      <c r="M595" s="1427"/>
      <c r="N595" s="1427"/>
      <c r="O595" s="1427"/>
      <c r="P595" s="1427"/>
      <c r="Q595" s="1427"/>
      <c r="R595" s="1427"/>
      <c r="T595" s="22"/>
      <c r="U595" t="s">
        <v>579</v>
      </c>
      <c r="Z595" s="1368" t="s">
        <v>2671</v>
      </c>
      <c r="AA595" s="1369"/>
      <c r="AB595" s="1369"/>
      <c r="AC595" s="1369"/>
      <c r="AD595" s="1369"/>
      <c r="AE595" s="1369"/>
      <c r="AF595" s="1369"/>
      <c r="AG595" s="1369"/>
      <c r="AH595" s="1369"/>
      <c r="AI595" s="1369"/>
      <c r="AJ595" s="1369"/>
      <c r="AK595" s="1369"/>
      <c r="BB595" s="3"/>
      <c r="BC595" s="3"/>
    </row>
    <row r="596" spans="1:55" ht="12.9" customHeight="1">
      <c r="A596" s="22"/>
      <c r="B596" t="s">
        <v>17</v>
      </c>
      <c r="G596" s="1426" t="s">
        <v>2644</v>
      </c>
      <c r="H596" s="1427"/>
      <c r="I596" s="1427"/>
      <c r="J596" s="1427"/>
      <c r="K596" s="1427"/>
      <c r="L596" s="1427"/>
      <c r="M596" s="1427"/>
      <c r="N596" s="1427"/>
      <c r="O596" s="1427"/>
      <c r="P596" s="1427"/>
      <c r="Q596" s="1427"/>
      <c r="R596" s="1427"/>
      <c r="T596" s="22"/>
      <c r="U596" t="s">
        <v>17</v>
      </c>
      <c r="Z596" s="1368" t="s">
        <v>2644</v>
      </c>
      <c r="AA596" s="1369"/>
      <c r="AB596" s="1369"/>
      <c r="AC596" s="1369"/>
      <c r="AD596" s="1369"/>
      <c r="AE596" s="1369"/>
      <c r="AF596" s="1369"/>
      <c r="AG596" s="1369"/>
      <c r="AH596" s="1369"/>
      <c r="AI596" s="1369"/>
      <c r="AJ596" s="1369"/>
      <c r="AK596" s="1369"/>
    </row>
    <row r="597" spans="1:55" ht="12.9" customHeight="1">
      <c r="A597" s="22"/>
      <c r="B597" t="s">
        <v>315</v>
      </c>
      <c r="G597" s="1385" t="s">
        <v>2656</v>
      </c>
      <c r="H597" s="1386"/>
      <c r="I597" s="1386"/>
      <c r="J597" s="1386"/>
      <c r="K597" s="1386"/>
      <c r="L597" s="1386"/>
      <c r="O597" s="33" t="s">
        <v>205</v>
      </c>
      <c r="P597" s="1370">
        <v>3015</v>
      </c>
      <c r="Q597" s="1370"/>
      <c r="R597" s="1370"/>
      <c r="T597" s="22"/>
      <c r="U597" t="s">
        <v>315</v>
      </c>
      <c r="Z597" s="1385" t="s">
        <v>2656</v>
      </c>
      <c r="AA597" s="1386"/>
      <c r="AB597" s="1386"/>
      <c r="AC597" s="1386"/>
      <c r="AD597" s="1386"/>
      <c r="AE597" s="1386"/>
      <c r="AH597" s="33" t="s">
        <v>205</v>
      </c>
      <c r="AI597" s="1370">
        <v>3015</v>
      </c>
      <c r="AJ597" s="1370"/>
      <c r="AK597" s="1370"/>
      <c r="AZ597" s="3"/>
      <c r="BA597" s="3"/>
      <c r="BB597" s="3"/>
      <c r="BC597" s="3"/>
    </row>
    <row r="598" spans="1:55" ht="12.9" customHeight="1">
      <c r="A598" s="22"/>
      <c r="B598" t="s">
        <v>18</v>
      </c>
      <c r="H598" s="1426" t="s">
        <v>2262</v>
      </c>
      <c r="I598" s="1427"/>
      <c r="J598" s="1427"/>
      <c r="K598" s="1427"/>
      <c r="L598" s="1427"/>
      <c r="M598" s="1427"/>
      <c r="N598" s="1427"/>
      <c r="O598" s="1427"/>
      <c r="P598" s="1427"/>
      <c r="Q598" s="1427"/>
      <c r="R598" s="1427"/>
      <c r="T598" s="22"/>
      <c r="U598" t="s">
        <v>18</v>
      </c>
      <c r="AA598" s="1426" t="s">
        <v>2733</v>
      </c>
      <c r="AB598" s="1427"/>
      <c r="AC598" s="1427"/>
      <c r="AD598" s="1427"/>
      <c r="AE598" s="1427"/>
      <c r="AF598" s="1427"/>
      <c r="AG598" s="1427"/>
      <c r="AH598" s="1427"/>
      <c r="AI598" s="1427"/>
      <c r="AJ598" s="1427"/>
      <c r="AK598" s="1427"/>
      <c r="AZ598" s="3"/>
      <c r="BA598" s="3"/>
      <c r="BB598" s="3"/>
      <c r="BC598" s="3"/>
    </row>
    <row r="599" spans="1:55" ht="12.9" customHeight="1">
      <c r="A599" s="22"/>
      <c r="B599" t="s">
        <v>20</v>
      </c>
      <c r="N599" s="1381" t="s">
        <v>544</v>
      </c>
      <c r="O599" s="1381"/>
      <c r="T599" s="22"/>
      <c r="U599" t="s">
        <v>20</v>
      </c>
      <c r="AG599" s="1381" t="s">
        <v>544</v>
      </c>
      <c r="AH599" s="1381"/>
      <c r="AZ599" s="3"/>
      <c r="BA599" s="3"/>
      <c r="BB599" s="3"/>
      <c r="BC599" s="3"/>
    </row>
    <row r="600" spans="1:55" ht="12.9" customHeight="1">
      <c r="A600" s="22"/>
      <c r="T600" s="22"/>
      <c r="AZ600" s="3"/>
      <c r="BA600" s="3"/>
      <c r="BB600" s="3"/>
      <c r="BC600" s="3"/>
    </row>
    <row r="601" spans="1:55" ht="12.9" customHeight="1">
      <c r="A601" s="55" t="s">
        <v>454</v>
      </c>
      <c r="B601" t="s">
        <v>462</v>
      </c>
      <c r="G601" s="1371" t="str">
        <f>C568</f>
        <v>Boston Financial</v>
      </c>
      <c r="H601" s="1371"/>
      <c r="I601" s="1371"/>
      <c r="J601" s="1371"/>
      <c r="K601" s="1371"/>
      <c r="L601" s="1371"/>
      <c r="M601" s="1371"/>
      <c r="N601" s="1371"/>
      <c r="O601" s="1371"/>
      <c r="P601" s="1371"/>
      <c r="Q601" s="1371"/>
      <c r="R601" s="1371"/>
      <c r="T601" s="55" t="s">
        <v>455</v>
      </c>
      <c r="U601" t="s">
        <v>462</v>
      </c>
      <c r="Z601" s="1371">
        <f>C569</f>
        <v>0</v>
      </c>
      <c r="AA601" s="1371"/>
      <c r="AB601" s="1371"/>
      <c r="AC601" s="1371"/>
      <c r="AD601" s="1371"/>
      <c r="AE601" s="1371"/>
      <c r="AF601" s="1371"/>
      <c r="AG601" s="1371"/>
      <c r="AH601" s="1371"/>
      <c r="AI601" s="1371"/>
      <c r="AJ601" s="1371"/>
      <c r="AK601" s="1371"/>
      <c r="AZ601" s="3"/>
      <c r="BA601" s="3"/>
      <c r="BB601" s="3"/>
      <c r="BC601" s="3"/>
    </row>
    <row r="602" spans="1:55" s="4" customFormat="1" ht="12.9" customHeight="1">
      <c r="A602" s="22"/>
      <c r="B602" t="s">
        <v>85</v>
      </c>
      <c r="C602"/>
      <c r="D602"/>
      <c r="E602"/>
      <c r="F602"/>
      <c r="G602" s="1427" t="s">
        <v>2698</v>
      </c>
      <c r="H602" s="1427"/>
      <c r="I602" s="1427"/>
      <c r="J602" s="1427"/>
      <c r="K602" s="1427"/>
      <c r="L602" s="1427"/>
      <c r="M602" s="1427"/>
      <c r="N602" s="1427"/>
      <c r="O602" s="1427"/>
      <c r="P602" s="1427"/>
      <c r="Q602" s="1427"/>
      <c r="R602" s="1427"/>
      <c r="S602"/>
      <c r="T602" s="22"/>
      <c r="U602" t="s">
        <v>85</v>
      </c>
      <c r="V602"/>
      <c r="W602"/>
      <c r="X602"/>
      <c r="Y602"/>
      <c r="Z602" s="1427"/>
      <c r="AA602" s="1427"/>
      <c r="AB602" s="1427"/>
      <c r="AC602" s="1427"/>
      <c r="AD602" s="1427"/>
      <c r="AE602" s="1427"/>
      <c r="AF602" s="1427"/>
      <c r="AG602" s="1427"/>
      <c r="AH602" s="1427"/>
      <c r="AI602" s="1427"/>
      <c r="AJ602" s="1427"/>
      <c r="AK602" s="1427"/>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427" t="s">
        <v>2699</v>
      </c>
      <c r="H603" s="1427"/>
      <c r="I603" s="1427"/>
      <c r="J603" s="1427"/>
      <c r="K603" s="1427"/>
      <c r="L603" s="1427"/>
      <c r="M603" s="1427"/>
      <c r="N603" s="1427"/>
      <c r="O603" s="1427"/>
      <c r="P603" s="1427"/>
      <c r="Q603" s="1427"/>
      <c r="R603" s="1427"/>
      <c r="S603"/>
      <c r="T603" s="22"/>
      <c r="U603" t="s">
        <v>579</v>
      </c>
      <c r="V603"/>
      <c r="W603"/>
      <c r="X603"/>
      <c r="Y603"/>
      <c r="Z603" s="1369"/>
      <c r="AA603" s="1369"/>
      <c r="AB603" s="1369"/>
      <c r="AC603" s="1369"/>
      <c r="AD603" s="1369"/>
      <c r="AE603" s="1369"/>
      <c r="AF603" s="1369"/>
      <c r="AG603" s="1369"/>
      <c r="AH603" s="1369"/>
      <c r="AI603" s="1369"/>
      <c r="AJ603" s="1369"/>
      <c r="AK603" s="1369"/>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27" t="s">
        <v>2700</v>
      </c>
      <c r="H604" s="1427"/>
      <c r="I604" s="1427"/>
      <c r="J604" s="1427"/>
      <c r="K604" s="1427"/>
      <c r="L604" s="1427"/>
      <c r="M604" s="1427"/>
      <c r="N604" s="1427"/>
      <c r="O604" s="1427"/>
      <c r="P604" s="1427"/>
      <c r="Q604" s="1427"/>
      <c r="R604" s="1427"/>
      <c r="S604"/>
      <c r="T604" s="22"/>
      <c r="U604" t="s">
        <v>17</v>
      </c>
      <c r="V604"/>
      <c r="W604"/>
      <c r="X604"/>
      <c r="Y604"/>
      <c r="Z604" s="1369"/>
      <c r="AA604" s="1369"/>
      <c r="AB604" s="1369"/>
      <c r="AC604" s="1369"/>
      <c r="AD604" s="1369"/>
      <c r="AE604" s="1369"/>
      <c r="AF604" s="1369"/>
      <c r="AG604" s="1369"/>
      <c r="AH604" s="1369"/>
      <c r="AI604" s="1369"/>
      <c r="AJ604" s="1369"/>
      <c r="AK604" s="1369"/>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385" t="s">
        <v>2701</v>
      </c>
      <c r="H605" s="1386"/>
      <c r="I605" s="1386"/>
      <c r="J605" s="1386"/>
      <c r="K605" s="1386"/>
      <c r="L605" s="1386"/>
      <c r="M605"/>
      <c r="N605"/>
      <c r="O605" s="33" t="s">
        <v>205</v>
      </c>
      <c r="P605" s="1370"/>
      <c r="Q605" s="1370"/>
      <c r="R605" s="1370"/>
      <c r="S605"/>
      <c r="T605" s="22"/>
      <c r="U605" t="s">
        <v>315</v>
      </c>
      <c r="V605"/>
      <c r="W605"/>
      <c r="X605"/>
      <c r="Y605"/>
      <c r="Z605" s="1386"/>
      <c r="AA605" s="1386"/>
      <c r="AB605" s="1386"/>
      <c r="AC605" s="1386"/>
      <c r="AD605" s="1386"/>
      <c r="AE605" s="1386"/>
      <c r="AF605"/>
      <c r="AG605"/>
      <c r="AH605" s="33" t="s">
        <v>205</v>
      </c>
      <c r="AI605" s="1370"/>
      <c r="AJ605" s="1370"/>
      <c r="AK605" s="1370"/>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27" t="s">
        <v>2734</v>
      </c>
      <c r="I606" s="1427"/>
      <c r="J606" s="1427"/>
      <c r="K606" s="1427"/>
      <c r="L606" s="1427"/>
      <c r="M606" s="1427"/>
      <c r="N606" s="1427"/>
      <c r="O606" s="1427"/>
      <c r="P606" s="1427"/>
      <c r="Q606" s="1427"/>
      <c r="R606" s="1427"/>
      <c r="S606"/>
      <c r="T606" s="22"/>
      <c r="U606" t="s">
        <v>18</v>
      </c>
      <c r="V606"/>
      <c r="W606"/>
      <c r="X606"/>
      <c r="Y606"/>
      <c r="Z606"/>
      <c r="AA606" s="1427"/>
      <c r="AB606" s="1427"/>
      <c r="AC606" s="1427"/>
      <c r="AD606" s="1427"/>
      <c r="AE606" s="1427"/>
      <c r="AF606" s="1427"/>
      <c r="AG606" s="1427"/>
      <c r="AH606" s="1427"/>
      <c r="AI606" s="1427"/>
      <c r="AJ606" s="1427"/>
      <c r="AK606" s="1427"/>
      <c r="AL606"/>
      <c r="AM606"/>
      <c r="AN606"/>
      <c r="AO606"/>
      <c r="AP606"/>
      <c r="AQ606"/>
      <c r="AR606"/>
      <c r="AS606"/>
      <c r="AT606"/>
      <c r="AU606"/>
      <c r="AV606"/>
      <c r="AW606"/>
      <c r="AX606"/>
      <c r="AY606"/>
      <c r="BB606" s="3"/>
      <c r="BC606" s="3"/>
    </row>
    <row r="607" spans="1:55" ht="12.9" customHeight="1">
      <c r="A607" s="22"/>
      <c r="B607" t="s">
        <v>20</v>
      </c>
      <c r="N607" s="1381" t="s">
        <v>667</v>
      </c>
      <c r="O607" s="1381"/>
      <c r="T607" s="22"/>
      <c r="U607" t="s">
        <v>20</v>
      </c>
      <c r="AG607" s="1381" t="s">
        <v>667</v>
      </c>
      <c r="AH607" s="1381"/>
      <c r="BB607" s="3"/>
      <c r="BC607" s="3"/>
    </row>
    <row r="608" spans="1:55" ht="12.9" customHeight="1">
      <c r="A608" s="22"/>
      <c r="T608" s="22"/>
      <c r="BB608" s="3"/>
      <c r="BC608" s="3"/>
    </row>
    <row r="609" spans="1:55" ht="12.9" customHeight="1">
      <c r="A609" s="55" t="s">
        <v>460</v>
      </c>
      <c r="B609" t="s">
        <v>462</v>
      </c>
      <c r="G609" s="1371">
        <f>C570</f>
        <v>0</v>
      </c>
      <c r="H609" s="1371"/>
      <c r="I609" s="1371"/>
      <c r="J609" s="1371"/>
      <c r="K609" s="1371"/>
      <c r="L609" s="1371"/>
      <c r="M609" s="1371"/>
      <c r="N609" s="1371"/>
      <c r="O609" s="1371"/>
      <c r="P609" s="1371"/>
      <c r="Q609" s="1371"/>
      <c r="R609" s="1371"/>
      <c r="T609" s="55" t="s">
        <v>644</v>
      </c>
      <c r="U609" t="s">
        <v>462</v>
      </c>
      <c r="Z609" s="1371">
        <f>C571</f>
        <v>0</v>
      </c>
      <c r="AA609" s="1371"/>
      <c r="AB609" s="1371"/>
      <c r="AC609" s="1371"/>
      <c r="AD609" s="1371"/>
      <c r="AE609" s="1371"/>
      <c r="AF609" s="1371"/>
      <c r="AG609" s="1371"/>
      <c r="AH609" s="1371"/>
      <c r="AI609" s="1371"/>
      <c r="AJ609" s="1371"/>
      <c r="AK609" s="1371"/>
      <c r="BB609" s="3"/>
      <c r="BC609" s="3"/>
    </row>
    <row r="610" spans="1:55" ht="12.9" customHeight="1">
      <c r="A610" s="22"/>
      <c r="B610" t="s">
        <v>85</v>
      </c>
      <c r="G610" s="1427"/>
      <c r="H610" s="1427"/>
      <c r="I610" s="1427"/>
      <c r="J610" s="1427"/>
      <c r="K610" s="1427"/>
      <c r="L610" s="1427"/>
      <c r="M610" s="1427"/>
      <c r="N610" s="1427"/>
      <c r="O610" s="1427"/>
      <c r="P610" s="1427"/>
      <c r="Q610" s="1427"/>
      <c r="R610" s="1427"/>
      <c r="T610" s="22"/>
      <c r="U610" t="s">
        <v>85</v>
      </c>
      <c r="Z610" s="1427"/>
      <c r="AA610" s="1427"/>
      <c r="AB610" s="1427"/>
      <c r="AC610" s="1427"/>
      <c r="AD610" s="1427"/>
      <c r="AE610" s="1427"/>
      <c r="AF610" s="1427"/>
      <c r="AG610" s="1427"/>
      <c r="AH610" s="1427"/>
      <c r="AI610" s="1427"/>
      <c r="AJ610" s="1427"/>
      <c r="AK610" s="1427"/>
      <c r="AZ610" s="3"/>
      <c r="BA610" s="3"/>
      <c r="BB610" s="3"/>
      <c r="BC610" s="3"/>
    </row>
    <row r="611" spans="1:55" ht="12.9" customHeight="1">
      <c r="A611" s="22"/>
      <c r="B611" t="s">
        <v>579</v>
      </c>
      <c r="G611" s="1427"/>
      <c r="H611" s="1427"/>
      <c r="I611" s="1427"/>
      <c r="J611" s="1427"/>
      <c r="K611" s="1427"/>
      <c r="L611" s="1427"/>
      <c r="M611" s="1427"/>
      <c r="N611" s="1427"/>
      <c r="O611" s="1427"/>
      <c r="P611" s="1427"/>
      <c r="Q611" s="1427"/>
      <c r="R611" s="1427"/>
      <c r="T611" s="22"/>
      <c r="U611" t="s">
        <v>579</v>
      </c>
      <c r="Z611" s="1369"/>
      <c r="AA611" s="1369"/>
      <c r="AB611" s="1369"/>
      <c r="AC611" s="1369"/>
      <c r="AD611" s="1369"/>
      <c r="AE611" s="1369"/>
      <c r="AF611" s="1369"/>
      <c r="AG611" s="1369"/>
      <c r="AH611" s="1369"/>
      <c r="AI611" s="1369"/>
      <c r="AJ611" s="1369"/>
      <c r="AK611" s="1369"/>
      <c r="AZ611" s="3"/>
      <c r="BA611" s="3"/>
      <c r="BB611" s="3"/>
      <c r="BC611" s="3"/>
    </row>
    <row r="612" spans="1:55" ht="12.9" customHeight="1">
      <c r="A612" s="22"/>
      <c r="B612" t="s">
        <v>17</v>
      </c>
      <c r="G612" s="1427"/>
      <c r="H612" s="1427"/>
      <c r="I612" s="1427"/>
      <c r="J612" s="1427"/>
      <c r="K612" s="1427"/>
      <c r="L612" s="1427"/>
      <c r="M612" s="1427"/>
      <c r="N612" s="1427"/>
      <c r="O612" s="1427"/>
      <c r="P612" s="1427"/>
      <c r="Q612" s="1427"/>
      <c r="R612" s="1427"/>
      <c r="T612" s="22"/>
      <c r="U612" t="s">
        <v>17</v>
      </c>
      <c r="Z612" s="1369"/>
      <c r="AA612" s="1369"/>
      <c r="AB612" s="1369"/>
      <c r="AC612" s="1369"/>
      <c r="AD612" s="1369"/>
      <c r="AE612" s="1369"/>
      <c r="AF612" s="1369"/>
      <c r="AG612" s="1369"/>
      <c r="AH612" s="1369"/>
      <c r="AI612" s="1369"/>
      <c r="AJ612" s="1369"/>
      <c r="AK612" s="1369"/>
      <c r="AZ612" s="3"/>
      <c r="BA612" s="3"/>
      <c r="BB612" s="3"/>
      <c r="BC612" s="3"/>
    </row>
    <row r="613" spans="1:55" s="4" customFormat="1" ht="12.9" customHeight="1">
      <c r="A613" s="22"/>
      <c r="B613" t="s">
        <v>315</v>
      </c>
      <c r="C613"/>
      <c r="D613"/>
      <c r="E613"/>
      <c r="F613"/>
      <c r="G613" s="1386"/>
      <c r="H613" s="1386"/>
      <c r="I613" s="1386"/>
      <c r="J613" s="1386"/>
      <c r="K613" s="1386"/>
      <c r="L613" s="1386"/>
      <c r="M613"/>
      <c r="N613"/>
      <c r="O613" s="33" t="s">
        <v>205</v>
      </c>
      <c r="P613" s="1370"/>
      <c r="Q613" s="1370"/>
      <c r="R613" s="1370"/>
      <c r="S613"/>
      <c r="T613" s="22"/>
      <c r="U613" t="s">
        <v>315</v>
      </c>
      <c r="V613"/>
      <c r="W613"/>
      <c r="X613"/>
      <c r="Y613"/>
      <c r="Z613" s="1386"/>
      <c r="AA613" s="1386"/>
      <c r="AB613" s="1386"/>
      <c r="AC613" s="1386"/>
      <c r="AD613" s="1386"/>
      <c r="AE613" s="1386"/>
      <c r="AF613"/>
      <c r="AG613"/>
      <c r="AH613" s="33" t="s">
        <v>205</v>
      </c>
      <c r="AI613" s="1370"/>
      <c r="AJ613" s="1370"/>
      <c r="AK613" s="1370"/>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27"/>
      <c r="I614" s="1427"/>
      <c r="J614" s="1427"/>
      <c r="K614" s="1427"/>
      <c r="L614" s="1427"/>
      <c r="M614" s="1427"/>
      <c r="N614" s="1427"/>
      <c r="O614" s="1427"/>
      <c r="P614" s="1427"/>
      <c r="Q614" s="1427"/>
      <c r="R614" s="1427"/>
      <c r="S614"/>
      <c r="T614" s="22"/>
      <c r="U614" t="s">
        <v>18</v>
      </c>
      <c r="V614"/>
      <c r="W614"/>
      <c r="X614"/>
      <c r="Y614"/>
      <c r="Z614"/>
      <c r="AA614" s="1427"/>
      <c r="AB614" s="1427"/>
      <c r="AC614" s="1427"/>
      <c r="AD614" s="1427"/>
      <c r="AE614" s="1427"/>
      <c r="AF614" s="1427"/>
      <c r="AG614" s="1427"/>
      <c r="AH614" s="1427"/>
      <c r="AI614" s="1427"/>
      <c r="AJ614" s="1427"/>
      <c r="AK614" s="1427"/>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81" t="s">
        <v>667</v>
      </c>
      <c r="O615" s="1381"/>
      <c r="P615"/>
      <c r="Q615"/>
      <c r="R615"/>
      <c r="S615"/>
      <c r="T615" s="22"/>
      <c r="U615" t="s">
        <v>20</v>
      </c>
      <c r="V615"/>
      <c r="W615"/>
      <c r="X615"/>
      <c r="Y615"/>
      <c r="Z615"/>
      <c r="AA615"/>
      <c r="AB615"/>
      <c r="AC615"/>
      <c r="AD615"/>
      <c r="AE615"/>
      <c r="AF615"/>
      <c r="AG615" s="1381" t="s">
        <v>667</v>
      </c>
      <c r="AH615" s="1381"/>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462</v>
      </c>
      <c r="G617" s="1371">
        <f>C572</f>
        <v>0</v>
      </c>
      <c r="H617" s="1371"/>
      <c r="I617" s="1371"/>
      <c r="J617" s="1371"/>
      <c r="K617" s="1371"/>
      <c r="L617" s="1371"/>
      <c r="M617" s="1371"/>
      <c r="N617" s="1371"/>
      <c r="O617" s="1371"/>
      <c r="P617" s="1371"/>
      <c r="Q617" s="1371"/>
      <c r="R617" s="1371"/>
      <c r="T617" s="55" t="s">
        <v>362</v>
      </c>
      <c r="U617" t="s">
        <v>462</v>
      </c>
      <c r="Z617" s="1371">
        <f>C573</f>
        <v>0</v>
      </c>
      <c r="AA617" s="1371"/>
      <c r="AB617" s="1371"/>
      <c r="AC617" s="1371"/>
      <c r="AD617" s="1371"/>
      <c r="AE617" s="1371"/>
      <c r="AF617" s="1371"/>
      <c r="AG617" s="1371"/>
      <c r="AH617" s="1371"/>
      <c r="AI617" s="1371"/>
      <c r="AJ617" s="1371"/>
      <c r="AK617" s="1371"/>
      <c r="AZ617" s="3"/>
      <c r="BA617" s="3"/>
      <c r="BB617" s="3"/>
      <c r="BC617" s="3"/>
    </row>
    <row r="618" spans="1:55" ht="12.9" customHeight="1">
      <c r="B618" t="s">
        <v>85</v>
      </c>
      <c r="G618" s="1427"/>
      <c r="H618" s="1427"/>
      <c r="I618" s="1427"/>
      <c r="J618" s="1427"/>
      <c r="K618" s="1427"/>
      <c r="L618" s="1427"/>
      <c r="M618" s="1427"/>
      <c r="N618" s="1427"/>
      <c r="O618" s="1427"/>
      <c r="P618" s="1427"/>
      <c r="Q618" s="1427"/>
      <c r="R618" s="1427"/>
      <c r="U618" t="s">
        <v>85</v>
      </c>
      <c r="Z618" s="1427"/>
      <c r="AA618" s="1427"/>
      <c r="AB618" s="1427"/>
      <c r="AC618" s="1427"/>
      <c r="AD618" s="1427"/>
      <c r="AE618" s="1427"/>
      <c r="AF618" s="1427"/>
      <c r="AG618" s="1427"/>
      <c r="AH618" s="1427"/>
      <c r="AI618" s="1427"/>
      <c r="AJ618" s="1427"/>
      <c r="AK618" s="1427"/>
      <c r="AZ618" s="3"/>
      <c r="BA618" s="3"/>
      <c r="BB618" s="3"/>
      <c r="BC618" s="3"/>
    </row>
    <row r="619" spans="1:55" ht="12.9" customHeight="1">
      <c r="B619" t="s">
        <v>579</v>
      </c>
      <c r="G619" s="1427"/>
      <c r="H619" s="1427"/>
      <c r="I619" s="1427"/>
      <c r="J619" s="1427"/>
      <c r="K619" s="1427"/>
      <c r="L619" s="1427"/>
      <c r="M619" s="1427"/>
      <c r="N619" s="1427"/>
      <c r="O619" s="1427"/>
      <c r="P619" s="1427"/>
      <c r="Q619" s="1427"/>
      <c r="R619" s="1427"/>
      <c r="U619" t="s">
        <v>579</v>
      </c>
      <c r="Z619" s="1369"/>
      <c r="AA619" s="1369"/>
      <c r="AB619" s="1369"/>
      <c r="AC619" s="1369"/>
      <c r="AD619" s="1369"/>
      <c r="AE619" s="1369"/>
      <c r="AF619" s="1369"/>
      <c r="AG619" s="1369"/>
      <c r="AH619" s="1369"/>
      <c r="AI619" s="1369"/>
      <c r="AJ619" s="1369"/>
      <c r="AK619" s="1369"/>
      <c r="AZ619" s="3"/>
      <c r="BA619" s="3"/>
      <c r="BB619" s="3"/>
      <c r="BC619" s="3"/>
    </row>
    <row r="620" spans="1:55" ht="12.9" customHeight="1">
      <c r="B620" t="s">
        <v>17</v>
      </c>
      <c r="G620" s="1427"/>
      <c r="H620" s="1427"/>
      <c r="I620" s="1427"/>
      <c r="J620" s="1427"/>
      <c r="K620" s="1427"/>
      <c r="L620" s="1427"/>
      <c r="M620" s="1427"/>
      <c r="N620" s="1427"/>
      <c r="O620" s="1427"/>
      <c r="P620" s="1427"/>
      <c r="Q620" s="1427"/>
      <c r="R620" s="1427"/>
      <c r="U620" t="s">
        <v>17</v>
      </c>
      <c r="Z620" s="1369"/>
      <c r="AA620" s="1369"/>
      <c r="AB620" s="1369"/>
      <c r="AC620" s="1369"/>
      <c r="AD620" s="1369"/>
      <c r="AE620" s="1369"/>
      <c r="AF620" s="1369"/>
      <c r="AG620" s="1369"/>
      <c r="AH620" s="1369"/>
      <c r="AI620" s="1369"/>
      <c r="AJ620" s="1369"/>
      <c r="AK620" s="1369"/>
      <c r="AZ620" s="3"/>
      <c r="BA620" s="3"/>
      <c r="BB620" s="3"/>
      <c r="BC620" s="3"/>
    </row>
    <row r="621" spans="1:55" ht="12.9" customHeight="1">
      <c r="B621" t="s">
        <v>315</v>
      </c>
      <c r="G621" s="1386"/>
      <c r="H621" s="1386"/>
      <c r="I621" s="1386"/>
      <c r="J621" s="1386"/>
      <c r="K621" s="1386"/>
      <c r="L621" s="1386"/>
      <c r="O621" s="33" t="s">
        <v>205</v>
      </c>
      <c r="P621" s="1370"/>
      <c r="Q621" s="1370"/>
      <c r="R621" s="1370"/>
      <c r="U621" t="s">
        <v>315</v>
      </c>
      <c r="Z621" s="1386"/>
      <c r="AA621" s="1386"/>
      <c r="AB621" s="1386"/>
      <c r="AC621" s="1386"/>
      <c r="AD621" s="1386"/>
      <c r="AE621" s="1386"/>
      <c r="AH621" s="33" t="s">
        <v>205</v>
      </c>
      <c r="AI621" s="1370"/>
      <c r="AJ621" s="1370"/>
      <c r="AK621" s="1370"/>
      <c r="AZ621" s="3"/>
      <c r="BA621" s="3"/>
      <c r="BB621" s="3"/>
      <c r="BC621" s="3"/>
    </row>
    <row r="622" spans="1:55" ht="12.9" customHeight="1">
      <c r="B622" t="s">
        <v>18</v>
      </c>
      <c r="H622" s="1427"/>
      <c r="I622" s="1427"/>
      <c r="J622" s="1427"/>
      <c r="K622" s="1427"/>
      <c r="L622" s="1427"/>
      <c r="M622" s="1427"/>
      <c r="N622" s="1427"/>
      <c r="O622" s="1427"/>
      <c r="P622" s="1427"/>
      <c r="Q622" s="1427"/>
      <c r="R622" s="1427"/>
      <c r="U622" t="s">
        <v>18</v>
      </c>
      <c r="AA622" s="1427"/>
      <c r="AB622" s="1427"/>
      <c r="AC622" s="1427"/>
      <c r="AD622" s="1427"/>
      <c r="AE622" s="1427"/>
      <c r="AF622" s="1427"/>
      <c r="AG622" s="1427"/>
      <c r="AH622" s="1427"/>
      <c r="AI622" s="1427"/>
      <c r="AJ622" s="1427"/>
      <c r="AK622" s="1427"/>
      <c r="AU622" s="895"/>
      <c r="AV622" s="895"/>
      <c r="AW622" s="895"/>
      <c r="AX622" s="895"/>
      <c r="AY622" s="895"/>
      <c r="AZ622" s="3"/>
      <c r="BA622" s="3"/>
      <c r="BB622" s="3"/>
      <c r="BC622" s="3"/>
    </row>
    <row r="623" spans="1:55" ht="12.9" customHeight="1">
      <c r="B623" t="s">
        <v>20</v>
      </c>
      <c r="N623" s="1381" t="s">
        <v>667</v>
      </c>
      <c r="O623" s="1381"/>
      <c r="U623" t="s">
        <v>20</v>
      </c>
      <c r="AG623" s="1381" t="s">
        <v>667</v>
      </c>
      <c r="AH623" s="1381"/>
      <c r="AU623" s="895"/>
      <c r="AV623" s="895"/>
      <c r="AW623" s="895"/>
      <c r="AX623" s="895"/>
      <c r="AY623" s="895"/>
      <c r="AZ623" s="3"/>
      <c r="BA623" s="3"/>
      <c r="BB623" s="3"/>
      <c r="BC623" s="3"/>
    </row>
    <row r="624" spans="1:55" ht="12.9" customHeight="1">
      <c r="AZ624" s="3"/>
      <c r="BA624" s="3"/>
      <c r="BB624" s="3"/>
      <c r="BC624" s="3"/>
    </row>
    <row r="625" spans="1:56" ht="12.9"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2055</v>
      </c>
      <c r="AZ630" s="3"/>
      <c r="BA630" s="3"/>
      <c r="BB630" s="3"/>
      <c r="BC630" s="3"/>
    </row>
    <row r="631" spans="1:56" ht="12.9" customHeight="1">
      <c r="B631" s="512"/>
      <c r="C631" s="2"/>
      <c r="AU631" s="3"/>
      <c r="AZ631" s="3"/>
      <c r="BA631" s="3"/>
      <c r="BB631" s="3"/>
      <c r="BC631" s="3"/>
    </row>
    <row r="632" spans="1:56" ht="12.9" customHeight="1">
      <c r="B632" s="1835" t="s">
        <v>2057</v>
      </c>
      <c r="C632" s="1835"/>
      <c r="D632" s="1835"/>
      <c r="E632" s="1835"/>
      <c r="F632" s="1835"/>
      <c r="G632" s="1835"/>
      <c r="H632" s="1835"/>
      <c r="I632" s="1835"/>
      <c r="J632" s="1835"/>
      <c r="K632" s="1835"/>
      <c r="L632" s="1835"/>
      <c r="M632" s="1673" t="s">
        <v>2058</v>
      </c>
      <c r="N632" s="1673"/>
      <c r="O632" s="1673"/>
      <c r="P632" s="1673"/>
      <c r="Q632" s="1673" t="s">
        <v>1827</v>
      </c>
      <c r="R632" s="1673"/>
      <c r="S632" s="1673"/>
      <c r="T632" s="1673" t="s">
        <v>1825</v>
      </c>
      <c r="U632" s="1673"/>
      <c r="V632" s="1673"/>
      <c r="W632" s="1674" t="s">
        <v>452</v>
      </c>
      <c r="X632" s="1674"/>
      <c r="Y632" s="1674"/>
      <c r="Z632" s="1412" t="s">
        <v>2087</v>
      </c>
      <c r="AA632" s="1412"/>
      <c r="AB632" s="1413"/>
      <c r="AC632" s="1836" t="s">
        <v>1663</v>
      </c>
      <c r="AD632" s="1837"/>
      <c r="AE632" s="1838"/>
      <c r="AF632" s="1411" t="s">
        <v>1902</v>
      </c>
      <c r="AG632" s="1412"/>
      <c r="AH632" s="1412"/>
      <c r="AI632" s="1412"/>
      <c r="AJ632" s="1413"/>
      <c r="AK632" s="1663" t="s">
        <v>1903</v>
      </c>
      <c r="AL632" s="1664"/>
      <c r="AM632" s="1664"/>
      <c r="AN632" s="1665"/>
      <c r="AO632" s="1673" t="s">
        <v>453</v>
      </c>
      <c r="AP632" s="1673"/>
      <c r="AQ632" s="1673"/>
      <c r="AR632" s="1673"/>
      <c r="AS632" s="1673"/>
      <c r="AU632" s="3"/>
      <c r="AZ632" s="3"/>
      <c r="BA632" s="3"/>
      <c r="BB632" s="3"/>
      <c r="BC632" s="3"/>
    </row>
    <row r="633" spans="1:56" ht="12.9" customHeight="1">
      <c r="B633" s="1835"/>
      <c r="C633" s="1835"/>
      <c r="D633" s="1835"/>
      <c r="E633" s="1835"/>
      <c r="F633" s="1835"/>
      <c r="G633" s="1835"/>
      <c r="H633" s="1835"/>
      <c r="I633" s="1835"/>
      <c r="J633" s="1835"/>
      <c r="K633" s="1835"/>
      <c r="L633" s="1835"/>
      <c r="M633" s="1673"/>
      <c r="N633" s="1673"/>
      <c r="O633" s="1673"/>
      <c r="P633" s="1673"/>
      <c r="Q633" s="1673"/>
      <c r="R633" s="1673"/>
      <c r="S633" s="1673"/>
      <c r="T633" s="1673"/>
      <c r="U633" s="1673"/>
      <c r="V633" s="1673"/>
      <c r="W633" s="1674"/>
      <c r="X633" s="1674"/>
      <c r="Y633" s="1674"/>
      <c r="Z633" s="1415"/>
      <c r="AA633" s="1415"/>
      <c r="AB633" s="1416"/>
      <c r="AC633" s="1839"/>
      <c r="AD633" s="1840"/>
      <c r="AE633" s="1841"/>
      <c r="AF633" s="1414"/>
      <c r="AG633" s="1415"/>
      <c r="AH633" s="1415"/>
      <c r="AI633" s="1415"/>
      <c r="AJ633" s="1416"/>
      <c r="AK633" s="1666"/>
      <c r="AL633" s="1667"/>
      <c r="AM633" s="1667"/>
      <c r="AN633" s="1668"/>
      <c r="AO633" s="1673"/>
      <c r="AP633" s="1673"/>
      <c r="AQ633" s="1673"/>
      <c r="AR633" s="1673"/>
      <c r="AS633" s="1673"/>
      <c r="AU633" s="3"/>
      <c r="AZ633" s="3"/>
      <c r="BA633" s="3"/>
      <c r="BB633" s="3"/>
      <c r="BC633" s="3"/>
      <c r="BD633" s="3"/>
    </row>
    <row r="634" spans="1:56" ht="12.9" customHeight="1">
      <c r="B634" s="1835"/>
      <c r="C634" s="1835"/>
      <c r="D634" s="1835"/>
      <c r="E634" s="1835"/>
      <c r="F634" s="1835"/>
      <c r="G634" s="1835"/>
      <c r="H634" s="1835"/>
      <c r="I634" s="1835"/>
      <c r="J634" s="1835"/>
      <c r="K634" s="1835"/>
      <c r="L634" s="1835"/>
      <c r="M634" s="1673"/>
      <c r="N634" s="1673"/>
      <c r="O634" s="1673"/>
      <c r="P634" s="1673"/>
      <c r="Q634" s="1673"/>
      <c r="R634" s="1673"/>
      <c r="S634" s="1673"/>
      <c r="T634" s="1673"/>
      <c r="U634" s="1673"/>
      <c r="V634" s="1673"/>
      <c r="W634" s="1674"/>
      <c r="X634" s="1674"/>
      <c r="Y634" s="1674"/>
      <c r="Z634" s="1418"/>
      <c r="AA634" s="1418"/>
      <c r="AB634" s="1419"/>
      <c r="AC634" s="1842"/>
      <c r="AD634" s="1843"/>
      <c r="AE634" s="1844"/>
      <c r="AF634" s="1417"/>
      <c r="AG634" s="1418"/>
      <c r="AH634" s="1418"/>
      <c r="AI634" s="1418"/>
      <c r="AJ634" s="1419"/>
      <c r="AK634" s="1669"/>
      <c r="AL634" s="1670"/>
      <c r="AM634" s="1670"/>
      <c r="AN634" s="1671"/>
      <c r="AO634" s="1673"/>
      <c r="AP634" s="1673"/>
      <c r="AQ634" s="1673"/>
      <c r="AR634" s="1673"/>
      <c r="AS634" s="1673"/>
      <c r="AT634" s="3"/>
      <c r="AU634" s="3"/>
      <c r="AZ634" s="3"/>
      <c r="BA634" s="3"/>
      <c r="BB634" s="3"/>
      <c r="BC634" s="3"/>
      <c r="BD634" s="3"/>
    </row>
    <row r="635" spans="1:56" ht="12.9" customHeight="1">
      <c r="B635" s="51" t="s">
        <v>112</v>
      </c>
      <c r="C635" s="1672" t="s">
        <v>2725</v>
      </c>
      <c r="D635" s="1672"/>
      <c r="E635" s="1672"/>
      <c r="F635" s="1672"/>
      <c r="G635" s="1672"/>
      <c r="H635" s="1672"/>
      <c r="I635" s="1672"/>
      <c r="J635" s="1672"/>
      <c r="K635" s="1672"/>
      <c r="L635" s="1672"/>
      <c r="M635" s="1589" t="s">
        <v>2074</v>
      </c>
      <c r="N635" s="1589"/>
      <c r="O635" s="1589"/>
      <c r="P635" s="1589"/>
      <c r="Q635" s="1550">
        <v>360</v>
      </c>
      <c r="R635" s="1550"/>
      <c r="S635" s="1612"/>
      <c r="T635" s="1611">
        <v>480</v>
      </c>
      <c r="U635" s="1550"/>
      <c r="V635" s="1612"/>
      <c r="W635" s="1382">
        <v>0.06</v>
      </c>
      <c r="X635" s="1383"/>
      <c r="Y635" s="1384"/>
      <c r="Z635" s="1491" t="s">
        <v>2086</v>
      </c>
      <c r="AA635" s="1492"/>
      <c r="AB635" s="1493"/>
      <c r="AC635" s="1478">
        <v>1</v>
      </c>
      <c r="AD635" s="1479"/>
      <c r="AE635" s="1480"/>
      <c r="AF635" s="1586">
        <v>726288</v>
      </c>
      <c r="AG635" s="1587"/>
      <c r="AH635" s="1587"/>
      <c r="AI635" s="1587"/>
      <c r="AJ635" s="1588"/>
      <c r="AK635" s="1420"/>
      <c r="AL635" s="1421"/>
      <c r="AM635" s="1421"/>
      <c r="AN635" s="1422"/>
      <c r="AO635" s="1630">
        <v>11000000</v>
      </c>
      <c r="AP635" s="1630"/>
      <c r="AQ635" s="1630"/>
      <c r="AR635" s="1630"/>
      <c r="AS635" s="1630"/>
      <c r="AT635" s="3"/>
      <c r="AU635" s="3"/>
      <c r="AZ635" s="3"/>
      <c r="BA635" s="3"/>
      <c r="BB635" s="3"/>
      <c r="BC635" s="3"/>
      <c r="BD635" s="3"/>
    </row>
    <row r="636" spans="1:56" ht="12.9" customHeight="1">
      <c r="B636" s="52" t="s">
        <v>113</v>
      </c>
      <c r="C636" s="1672" t="s">
        <v>2793</v>
      </c>
      <c r="D636" s="1672"/>
      <c r="E636" s="1672"/>
      <c r="F636" s="1672"/>
      <c r="G636" s="1672"/>
      <c r="H636" s="1672"/>
      <c r="I636" s="1672"/>
      <c r="J636" s="1672"/>
      <c r="K636" s="1672"/>
      <c r="L636" s="1672"/>
      <c r="M636" s="1589" t="s">
        <v>2068</v>
      </c>
      <c r="N636" s="1589"/>
      <c r="O636" s="1589"/>
      <c r="P636" s="1589"/>
      <c r="Q636" s="1611">
        <v>240</v>
      </c>
      <c r="R636" s="1550"/>
      <c r="S636" s="1612"/>
      <c r="T636" s="1611">
        <v>480</v>
      </c>
      <c r="U636" s="1550"/>
      <c r="V636" s="1612"/>
      <c r="W636" s="1382">
        <v>0.02</v>
      </c>
      <c r="X636" s="1383"/>
      <c r="Y636" s="1384"/>
      <c r="Z636" s="1491" t="s">
        <v>2086</v>
      </c>
      <c r="AA636" s="1492"/>
      <c r="AB636" s="1493"/>
      <c r="AC636" s="1478">
        <v>2</v>
      </c>
      <c r="AD636" s="1479"/>
      <c r="AE636" s="1480"/>
      <c r="AF636" s="1586">
        <v>94476</v>
      </c>
      <c r="AG636" s="1587"/>
      <c r="AH636" s="1587"/>
      <c r="AI636" s="1587"/>
      <c r="AJ636" s="1588"/>
      <c r="AK636" s="1420"/>
      <c r="AL636" s="1421"/>
      <c r="AM636" s="1421"/>
      <c r="AN636" s="1422"/>
      <c r="AO636" s="1490">
        <v>2600000</v>
      </c>
      <c r="AP636" s="1345"/>
      <c r="AQ636" s="1345"/>
      <c r="AR636" s="1345"/>
      <c r="AS636" s="1346"/>
      <c r="AT636" s="1142" t="str">
        <f>IF(AND(NOT(C635=""),C636="",NOT(C637="")),"!","")</f>
        <v/>
      </c>
      <c r="AU636" s="3"/>
      <c r="AZ636" s="3"/>
      <c r="BA636" s="3"/>
      <c r="BB636" s="3"/>
      <c r="BC636" s="3"/>
      <c r="BD636" s="3"/>
    </row>
    <row r="637" spans="1:56" ht="12.9" customHeight="1">
      <c r="B637" s="52" t="s">
        <v>119</v>
      </c>
      <c r="C637" s="1672" t="s">
        <v>2768</v>
      </c>
      <c r="D637" s="1672"/>
      <c r="E637" s="1672"/>
      <c r="F637" s="1672"/>
      <c r="G637" s="1672"/>
      <c r="H637" s="1672"/>
      <c r="I637" s="1672"/>
      <c r="J637" s="1672"/>
      <c r="K637" s="1672"/>
      <c r="L637" s="1672"/>
      <c r="M637" s="1589" t="s">
        <v>2070</v>
      </c>
      <c r="N637" s="1589"/>
      <c r="O637" s="1589"/>
      <c r="P637" s="1589"/>
      <c r="Q637" s="1611">
        <v>660</v>
      </c>
      <c r="R637" s="1550"/>
      <c r="S637" s="1612"/>
      <c r="T637" s="1611"/>
      <c r="U637" s="1550"/>
      <c r="V637" s="1612"/>
      <c r="W637" s="1382">
        <v>0.03</v>
      </c>
      <c r="X637" s="1383"/>
      <c r="Y637" s="1384"/>
      <c r="Z637" s="1491" t="s">
        <v>2086</v>
      </c>
      <c r="AA637" s="1492"/>
      <c r="AB637" s="1493"/>
      <c r="AC637" s="1478">
        <v>3</v>
      </c>
      <c r="AD637" s="1479"/>
      <c r="AE637" s="1480"/>
      <c r="AF637" s="1586">
        <v>116815</v>
      </c>
      <c r="AG637" s="1587"/>
      <c r="AH637" s="1587"/>
      <c r="AI637" s="1587"/>
      <c r="AJ637" s="1588"/>
      <c r="AK637" s="1420"/>
      <c r="AL637" s="1421"/>
      <c r="AM637" s="1421"/>
      <c r="AN637" s="1422"/>
      <c r="AO637" s="1490">
        <v>27813000</v>
      </c>
      <c r="AP637" s="1345"/>
      <c r="AQ637" s="1345"/>
      <c r="AR637" s="1345"/>
      <c r="AS637" s="1346"/>
      <c r="AT637" s="1142" t="str">
        <f t="shared" ref="AT637:AT646" si="3">IF(AND(NOT(C636=""),C637="",NOT(C638="")),"!","")</f>
        <v/>
      </c>
      <c r="AU637" s="3"/>
      <c r="AZ637" s="3"/>
      <c r="BA637" s="3"/>
      <c r="BB637" s="3"/>
      <c r="BC637" s="3"/>
      <c r="BD637" s="3"/>
    </row>
    <row r="638" spans="1:56" ht="12.9" customHeight="1">
      <c r="B638" s="52" t="s">
        <v>580</v>
      </c>
      <c r="C638" s="1672" t="s">
        <v>2769</v>
      </c>
      <c r="D638" s="1593"/>
      <c r="E638" s="1593"/>
      <c r="F638" s="1593"/>
      <c r="G638" s="1593"/>
      <c r="H638" s="1593"/>
      <c r="I638" s="1593"/>
      <c r="J638" s="1593"/>
      <c r="K638" s="1593"/>
      <c r="L638" s="1593"/>
      <c r="M638" s="1589" t="s">
        <v>2070</v>
      </c>
      <c r="N638" s="1589"/>
      <c r="O638" s="1589"/>
      <c r="P638" s="1589"/>
      <c r="Q638" s="1611">
        <v>660</v>
      </c>
      <c r="R638" s="1550"/>
      <c r="S638" s="1612"/>
      <c r="T638" s="1611"/>
      <c r="U638" s="1550"/>
      <c r="V638" s="1612"/>
      <c r="W638" s="1382">
        <v>0.03</v>
      </c>
      <c r="X638" s="1383"/>
      <c r="Y638" s="1384"/>
      <c r="Z638" s="1491" t="s">
        <v>456</v>
      </c>
      <c r="AA638" s="1492"/>
      <c r="AB638" s="1493"/>
      <c r="AC638" s="1478">
        <v>4</v>
      </c>
      <c r="AD638" s="1479"/>
      <c r="AE638" s="1480"/>
      <c r="AF638" s="1586"/>
      <c r="AG638" s="1587"/>
      <c r="AH638" s="1587"/>
      <c r="AI638" s="1587"/>
      <c r="AJ638" s="1588"/>
      <c r="AK638" s="1420"/>
      <c r="AL638" s="1421"/>
      <c r="AM638" s="1421"/>
      <c r="AN638" s="1422"/>
      <c r="AO638" s="1490">
        <v>5000000</v>
      </c>
      <c r="AP638" s="1345"/>
      <c r="AQ638" s="1345"/>
      <c r="AR638" s="1345"/>
      <c r="AS638" s="1346"/>
      <c r="AT638" s="1142" t="str">
        <f t="shared" si="3"/>
        <v/>
      </c>
      <c r="AU638" s="3"/>
      <c r="AZ638" s="3"/>
      <c r="BA638" s="3"/>
      <c r="BB638" s="3"/>
      <c r="BC638" s="3"/>
      <c r="BD638" s="3"/>
    </row>
    <row r="639" spans="1:56" ht="12.9" customHeight="1">
      <c r="B639" s="52" t="s">
        <v>761</v>
      </c>
      <c r="C639" s="1672" t="s">
        <v>2749</v>
      </c>
      <c r="D639" s="1593"/>
      <c r="E639" s="1593"/>
      <c r="F639" s="1593"/>
      <c r="G639" s="1593"/>
      <c r="H639" s="1593"/>
      <c r="I639" s="1593"/>
      <c r="J639" s="1593"/>
      <c r="K639" s="1593"/>
      <c r="L639" s="1593"/>
      <c r="M639" s="1589" t="s">
        <v>2070</v>
      </c>
      <c r="N639" s="1589"/>
      <c r="O639" s="1589"/>
      <c r="P639" s="1589"/>
      <c r="Q639" s="1611">
        <v>660</v>
      </c>
      <c r="R639" s="1550"/>
      <c r="S639" s="1612"/>
      <c r="T639" s="1611"/>
      <c r="U639" s="1550"/>
      <c r="V639" s="1612"/>
      <c r="W639" s="1382">
        <v>0.03</v>
      </c>
      <c r="X639" s="1383"/>
      <c r="Y639" s="1384"/>
      <c r="Z639" s="1491" t="s">
        <v>456</v>
      </c>
      <c r="AA639" s="1492"/>
      <c r="AB639" s="1493"/>
      <c r="AC639" s="1478">
        <v>5</v>
      </c>
      <c r="AD639" s="1479"/>
      <c r="AE639" s="1480"/>
      <c r="AF639" s="1586"/>
      <c r="AG639" s="1587"/>
      <c r="AH639" s="1587"/>
      <c r="AI639" s="1587"/>
      <c r="AJ639" s="1588"/>
      <c r="AK639" s="1420"/>
      <c r="AL639" s="1421"/>
      <c r="AM639" s="1421"/>
      <c r="AN639" s="1422"/>
      <c r="AO639" s="1490">
        <v>2187000</v>
      </c>
      <c r="AP639" s="1345"/>
      <c r="AQ639" s="1345"/>
      <c r="AR639" s="1345"/>
      <c r="AS639" s="1346"/>
      <c r="AT639" s="1142" t="str">
        <f t="shared" si="3"/>
        <v/>
      </c>
      <c r="AU639" s="3"/>
      <c r="AZ639" s="3"/>
      <c r="BA639" s="3"/>
      <c r="BB639" s="3"/>
      <c r="BC639" s="3"/>
      <c r="BD639" s="3"/>
    </row>
    <row r="640" spans="1:56" ht="12.9" customHeight="1">
      <c r="B640" s="52" t="s">
        <v>583</v>
      </c>
      <c r="C640" s="1672" t="s">
        <v>2649</v>
      </c>
      <c r="D640" s="1593"/>
      <c r="E640" s="1593"/>
      <c r="F640" s="1593"/>
      <c r="G640" s="1593"/>
      <c r="H640" s="1593"/>
      <c r="I640" s="1593"/>
      <c r="J640" s="1593"/>
      <c r="K640" s="1593"/>
      <c r="L640" s="1593"/>
      <c r="M640" s="1589" t="s">
        <v>2061</v>
      </c>
      <c r="N640" s="1589"/>
      <c r="O640" s="1589"/>
      <c r="P640" s="1589"/>
      <c r="Q640" s="1611">
        <v>156</v>
      </c>
      <c r="R640" s="1550"/>
      <c r="S640" s="1612"/>
      <c r="T640" s="1611"/>
      <c r="U640" s="1550"/>
      <c r="V640" s="1612"/>
      <c r="W640" s="1382">
        <v>9.9999999999999995E-8</v>
      </c>
      <c r="X640" s="1383"/>
      <c r="Y640" s="1384"/>
      <c r="Z640" s="1491" t="s">
        <v>456</v>
      </c>
      <c r="AA640" s="1492"/>
      <c r="AB640" s="1493"/>
      <c r="AC640" s="1478"/>
      <c r="AD640" s="1479"/>
      <c r="AE640" s="1480"/>
      <c r="AF640" s="1586"/>
      <c r="AG640" s="1587"/>
      <c r="AH640" s="1587"/>
      <c r="AI640" s="1587"/>
      <c r="AJ640" s="1588"/>
      <c r="AK640" s="1420"/>
      <c r="AL640" s="1421"/>
      <c r="AM640" s="1421"/>
      <c r="AN640" s="1422"/>
      <c r="AO640" s="1490">
        <v>11344970</v>
      </c>
      <c r="AP640" s="1345"/>
      <c r="AQ640" s="1345"/>
      <c r="AR640" s="1345"/>
      <c r="AS640" s="1346"/>
      <c r="AT640" s="1142" t="str">
        <f t="shared" si="3"/>
        <v/>
      </c>
      <c r="AU640" s="3"/>
      <c r="AZ640" s="3"/>
      <c r="BA640" s="3"/>
      <c r="BB640" s="3"/>
      <c r="BC640" s="3"/>
      <c r="BD640" s="3"/>
    </row>
    <row r="641" spans="1:157" ht="12.9" customHeight="1">
      <c r="B641" s="52" t="s">
        <v>454</v>
      </c>
      <c r="C641" s="1593"/>
      <c r="D641" s="1593"/>
      <c r="E641" s="1593"/>
      <c r="F641" s="1593"/>
      <c r="G641" s="1593"/>
      <c r="H641" s="1593"/>
      <c r="I641" s="1593"/>
      <c r="J641" s="1593"/>
      <c r="K641" s="1593"/>
      <c r="L641" s="1593"/>
      <c r="M641" s="1589"/>
      <c r="N641" s="1589"/>
      <c r="O641" s="1589"/>
      <c r="P641" s="1589"/>
      <c r="Q641" s="1611"/>
      <c r="R641" s="1550"/>
      <c r="S641" s="1612"/>
      <c r="T641" s="1611"/>
      <c r="U641" s="1550"/>
      <c r="V641" s="1612"/>
      <c r="W641" s="1382"/>
      <c r="X641" s="1383"/>
      <c r="Y641" s="1384"/>
      <c r="Z641" s="1491"/>
      <c r="AA641" s="1492"/>
      <c r="AB641" s="1493"/>
      <c r="AC641" s="1478"/>
      <c r="AD641" s="1479"/>
      <c r="AE641" s="1480"/>
      <c r="AF641" s="1586"/>
      <c r="AG641" s="1587"/>
      <c r="AH641" s="1587"/>
      <c r="AI641" s="1587"/>
      <c r="AJ641" s="1588"/>
      <c r="AK641" s="1420"/>
      <c r="AL641" s="1421"/>
      <c r="AM641" s="1421"/>
      <c r="AN641" s="1422"/>
      <c r="AO641" s="1490"/>
      <c r="AP641" s="1345"/>
      <c r="AQ641" s="1345"/>
      <c r="AR641" s="1345"/>
      <c r="AS641" s="1346"/>
      <c r="AT641" s="1142" t="str">
        <f t="shared" si="3"/>
        <v/>
      </c>
      <c r="AU641" s="3"/>
      <c r="AV641" s="3"/>
      <c r="AW641" s="3"/>
      <c r="AX641" s="3"/>
      <c r="AY641" s="3"/>
      <c r="AZ641" s="3"/>
      <c r="BA641" s="3"/>
      <c r="BB641" s="3"/>
      <c r="BC641" s="3"/>
      <c r="BD641" s="3"/>
    </row>
    <row r="642" spans="1:157" ht="12.9" customHeight="1">
      <c r="B642" s="52" t="s">
        <v>455</v>
      </c>
      <c r="C642" s="1593"/>
      <c r="D642" s="1593"/>
      <c r="E642" s="1593"/>
      <c r="F642" s="1593"/>
      <c r="G642" s="1593"/>
      <c r="H642" s="1593"/>
      <c r="I642" s="1593"/>
      <c r="J642" s="1593"/>
      <c r="K642" s="1593"/>
      <c r="L642" s="1593"/>
      <c r="M642" s="1589"/>
      <c r="N642" s="1589"/>
      <c r="O642" s="1589"/>
      <c r="P642" s="1589"/>
      <c r="Q642" s="1611"/>
      <c r="R642" s="1550"/>
      <c r="S642" s="1612"/>
      <c r="T642" s="1611"/>
      <c r="U642" s="1550"/>
      <c r="V642" s="1612"/>
      <c r="W642" s="1382"/>
      <c r="X642" s="1383"/>
      <c r="Y642" s="1384"/>
      <c r="Z642" s="1491"/>
      <c r="AA642" s="1492"/>
      <c r="AB642" s="1493"/>
      <c r="AC642" s="1478"/>
      <c r="AD642" s="1479"/>
      <c r="AE642" s="1480"/>
      <c r="AF642" s="1586"/>
      <c r="AG642" s="1587"/>
      <c r="AH642" s="1587"/>
      <c r="AI642" s="1587"/>
      <c r="AJ642" s="1588"/>
      <c r="AK642" s="1420"/>
      <c r="AL642" s="1421"/>
      <c r="AM642" s="1421"/>
      <c r="AN642" s="1422"/>
      <c r="AO642" s="1490"/>
      <c r="AP642" s="1345"/>
      <c r="AQ642" s="1345"/>
      <c r="AR642" s="1345"/>
      <c r="AS642" s="1346"/>
      <c r="AT642" s="1142" t="str">
        <f t="shared" si="3"/>
        <v/>
      </c>
      <c r="AU642" s="3"/>
      <c r="AV642" s="3"/>
      <c r="AW642" s="3"/>
      <c r="AX642" s="3"/>
      <c r="AY642" s="3"/>
      <c r="AZ642" s="3"/>
      <c r="BA642" s="3" t="s">
        <v>1182</v>
      </c>
      <c r="BB642" s="3"/>
      <c r="BC642" s="3"/>
      <c r="BD642" s="3"/>
    </row>
    <row r="643" spans="1:157" ht="12.9" customHeight="1">
      <c r="B643" s="52" t="s">
        <v>460</v>
      </c>
      <c r="C643" s="1593"/>
      <c r="D643" s="1593"/>
      <c r="E643" s="1593"/>
      <c r="F643" s="1593"/>
      <c r="G643" s="1593"/>
      <c r="H643" s="1593"/>
      <c r="I643" s="1593"/>
      <c r="J643" s="1593"/>
      <c r="K643" s="1593"/>
      <c r="L643" s="1593"/>
      <c r="M643" s="1589"/>
      <c r="N643" s="1589"/>
      <c r="O643" s="1589"/>
      <c r="P643" s="1589"/>
      <c r="Q643" s="1611"/>
      <c r="R643" s="1550"/>
      <c r="S643" s="1612"/>
      <c r="T643" s="1611"/>
      <c r="U643" s="1550"/>
      <c r="V643" s="1612"/>
      <c r="W643" s="1382"/>
      <c r="X643" s="1383"/>
      <c r="Y643" s="1384"/>
      <c r="Z643" s="1491"/>
      <c r="AA643" s="1492"/>
      <c r="AB643" s="1493"/>
      <c r="AC643" s="1478"/>
      <c r="AD643" s="1479"/>
      <c r="AE643" s="1480"/>
      <c r="AF643" s="1586"/>
      <c r="AG643" s="1587"/>
      <c r="AH643" s="1587"/>
      <c r="AI643" s="1587"/>
      <c r="AJ643" s="1588"/>
      <c r="AK643" s="1420"/>
      <c r="AL643" s="1421"/>
      <c r="AM643" s="1421"/>
      <c r="AN643" s="1422"/>
      <c r="AO643" s="1490"/>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f t="shared" ref="DX643:DX677" si="4">EZ726*(CP726/$CP$761)</f>
        <v>701.81818181818176</v>
      </c>
      <c r="DY643" s="1367"/>
      <c r="DZ643" s="1367"/>
      <c r="EA643" s="1367"/>
      <c r="EB643" s="1367"/>
      <c r="EC643" s="1367" t="e">
        <f t="shared" ref="EC643:EC677" si="5">FE726*(CU726/$CU$761)</f>
        <v>#VALUE!</v>
      </c>
      <c r="ED643" s="1367"/>
      <c r="EE643" s="1367"/>
      <c r="EF643" s="1367"/>
      <c r="EG643" s="1367"/>
      <c r="EH643" s="1367" t="e">
        <f t="shared" ref="EH643:EH677" si="6">FJ726*(CZ726/$CZ$761)</f>
        <v>#VALUE!</v>
      </c>
      <c r="EI643" s="1367"/>
      <c r="EJ643" s="1367"/>
      <c r="EK643" s="1367"/>
      <c r="EL643" s="1367"/>
      <c r="EM643" s="1367" t="e">
        <f t="shared" ref="EM643:EM677" si="7">FO726*(DE726/$DE$761)</f>
        <v>#VALUE!</v>
      </c>
      <c r="EN643" s="1367"/>
      <c r="EO643" s="1367"/>
      <c r="EP643" s="1367"/>
      <c r="EQ643" s="1367"/>
      <c r="ER643" s="1367" t="e">
        <f t="shared" ref="ER643:ER677" si="8">FT726*(DJ726/$DJ$761)</f>
        <v>#VALUE!</v>
      </c>
      <c r="ES643" s="1367"/>
      <c r="ET643" s="1367"/>
      <c r="EU643" s="1367"/>
      <c r="EV643" s="1367"/>
      <c r="EW643" s="1367" t="e">
        <f t="shared" ref="EW643:EW677" si="9">FY726*(DO726/$DO$761)</f>
        <v>#VALUE!</v>
      </c>
      <c r="EX643" s="1367"/>
      <c r="EY643" s="1367"/>
      <c r="EZ643" s="1367"/>
      <c r="FA643" s="1367"/>
    </row>
    <row r="644" spans="1:157" ht="12.9" customHeight="1">
      <c r="B644" s="52" t="s">
        <v>644</v>
      </c>
      <c r="C644" s="1593"/>
      <c r="D644" s="1593"/>
      <c r="E644" s="1593"/>
      <c r="F644" s="1593"/>
      <c r="G644" s="1593"/>
      <c r="H644" s="1593"/>
      <c r="I644" s="1593"/>
      <c r="J644" s="1593"/>
      <c r="K644" s="1593"/>
      <c r="L644" s="1593"/>
      <c r="M644" s="1589"/>
      <c r="N644" s="1589"/>
      <c r="O644" s="1589"/>
      <c r="P644" s="1589"/>
      <c r="Q644" s="1611"/>
      <c r="R644" s="1550"/>
      <c r="S644" s="1612"/>
      <c r="T644" s="1611"/>
      <c r="U644" s="1550"/>
      <c r="V644" s="1612"/>
      <c r="W644" s="1382"/>
      <c r="X644" s="1383"/>
      <c r="Y644" s="1384"/>
      <c r="Z644" s="1491"/>
      <c r="AA644" s="1492"/>
      <c r="AB644" s="1493"/>
      <c r="AC644" s="1478"/>
      <c r="AD644" s="1479"/>
      <c r="AE644" s="1480"/>
      <c r="AF644" s="1586"/>
      <c r="AG644" s="1587"/>
      <c r="AH644" s="1587"/>
      <c r="AI644" s="1587"/>
      <c r="AJ644" s="1588"/>
      <c r="AK644" s="1420"/>
      <c r="AL644" s="1421"/>
      <c r="AM644" s="1421"/>
      <c r="AN644" s="1422"/>
      <c r="AO644" s="1490"/>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67">
        <f t="shared" si="4"/>
        <v>60.5</v>
      </c>
      <c r="DY644" s="1367"/>
      <c r="DZ644" s="1367"/>
      <c r="EA644" s="1367"/>
      <c r="EB644" s="1367"/>
      <c r="EC644" s="1367" t="e">
        <f t="shared" si="5"/>
        <v>#VALUE!</v>
      </c>
      <c r="ED644" s="1367"/>
      <c r="EE644" s="1367"/>
      <c r="EF644" s="1367"/>
      <c r="EG644" s="1367"/>
      <c r="EH644" s="1367" t="e">
        <f t="shared" si="6"/>
        <v>#VALUE!</v>
      </c>
      <c r="EI644" s="1367"/>
      <c r="EJ644" s="1367"/>
      <c r="EK644" s="1367"/>
      <c r="EL644" s="1367"/>
      <c r="EM644" s="1367" t="e">
        <f t="shared" si="7"/>
        <v>#VALUE!</v>
      </c>
      <c r="EN644" s="1367"/>
      <c r="EO644" s="1367"/>
      <c r="EP644" s="1367"/>
      <c r="EQ644" s="1367"/>
      <c r="ER644" s="1367" t="e">
        <f t="shared" si="8"/>
        <v>#VALUE!</v>
      </c>
      <c r="ES644" s="1367"/>
      <c r="ET644" s="1367"/>
      <c r="EU644" s="1367"/>
      <c r="EV644" s="1367"/>
      <c r="EW644" s="1367" t="e">
        <f t="shared" si="9"/>
        <v>#VALUE!</v>
      </c>
      <c r="EX644" s="1367"/>
      <c r="EY644" s="1367"/>
      <c r="EZ644" s="1367"/>
      <c r="FA644" s="1367"/>
    </row>
    <row r="645" spans="1:157" ht="12.9" customHeight="1">
      <c r="B645" s="52" t="s">
        <v>361</v>
      </c>
      <c r="C645" s="1593"/>
      <c r="D645" s="1593"/>
      <c r="E645" s="1593"/>
      <c r="F645" s="1593"/>
      <c r="G645" s="1593"/>
      <c r="H645" s="1593"/>
      <c r="I645" s="1593"/>
      <c r="J645" s="1593"/>
      <c r="K645" s="1593"/>
      <c r="L645" s="1593"/>
      <c r="M645" s="1589"/>
      <c r="N645" s="1589"/>
      <c r="O645" s="1589"/>
      <c r="P645" s="1589"/>
      <c r="Q645" s="1611"/>
      <c r="R645" s="1550"/>
      <c r="S645" s="1612"/>
      <c r="T645" s="1611"/>
      <c r="U645" s="1550"/>
      <c r="V645" s="1612"/>
      <c r="W645" s="1382"/>
      <c r="X645" s="1383"/>
      <c r="Y645" s="1384"/>
      <c r="Z645" s="1491"/>
      <c r="AA645" s="1492"/>
      <c r="AB645" s="1493"/>
      <c r="AC645" s="1478"/>
      <c r="AD645" s="1479"/>
      <c r="AE645" s="1480"/>
      <c r="AF645" s="1586"/>
      <c r="AG645" s="1587"/>
      <c r="AH645" s="1587"/>
      <c r="AI645" s="1587"/>
      <c r="AJ645" s="1588"/>
      <c r="AK645" s="1420"/>
      <c r="AL645" s="1421"/>
      <c r="AM645" s="1421"/>
      <c r="AN645" s="1422"/>
      <c r="AO645" s="1490"/>
      <c r="AP645" s="1345"/>
      <c r="AQ645" s="1345"/>
      <c r="AR645" s="1345"/>
      <c r="AS645" s="1346"/>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67">
        <f t="shared" si="4"/>
        <v>73.227272727272734</v>
      </c>
      <c r="DY645" s="1367"/>
      <c r="DZ645" s="1367"/>
      <c r="EA645" s="1367"/>
      <c r="EB645" s="1367"/>
      <c r="EC645" s="1367" t="e">
        <f t="shared" si="5"/>
        <v>#VALUE!</v>
      </c>
      <c r="ED645" s="1367"/>
      <c r="EE645" s="1367"/>
      <c r="EF645" s="1367"/>
      <c r="EG645" s="1367"/>
      <c r="EH645" s="1367" t="e">
        <f t="shared" si="6"/>
        <v>#VALUE!</v>
      </c>
      <c r="EI645" s="1367"/>
      <c r="EJ645" s="1367"/>
      <c r="EK645" s="1367"/>
      <c r="EL645" s="1367"/>
      <c r="EM645" s="1367" t="e">
        <f t="shared" si="7"/>
        <v>#VALUE!</v>
      </c>
      <c r="EN645" s="1367"/>
      <c r="EO645" s="1367"/>
      <c r="EP645" s="1367"/>
      <c r="EQ645" s="1367"/>
      <c r="ER645" s="1367" t="e">
        <f t="shared" si="8"/>
        <v>#VALUE!</v>
      </c>
      <c r="ES645" s="1367"/>
      <c r="ET645" s="1367"/>
      <c r="EU645" s="1367"/>
      <c r="EV645" s="1367"/>
      <c r="EW645" s="1367" t="e">
        <f t="shared" si="9"/>
        <v>#VALUE!</v>
      </c>
      <c r="EX645" s="1367"/>
      <c r="EY645" s="1367"/>
      <c r="EZ645" s="1367"/>
      <c r="FA645" s="1367"/>
    </row>
    <row r="646" spans="1:157" ht="12.9" customHeight="1">
      <c r="B646" s="52" t="s">
        <v>362</v>
      </c>
      <c r="C646" s="1593"/>
      <c r="D646" s="1593"/>
      <c r="E646" s="1593"/>
      <c r="F646" s="1593"/>
      <c r="G646" s="1593"/>
      <c r="H646" s="1593"/>
      <c r="I646" s="1593"/>
      <c r="J646" s="1593"/>
      <c r="K646" s="1593"/>
      <c r="L646" s="1593"/>
      <c r="M646" s="1589"/>
      <c r="N646" s="1589"/>
      <c r="O646" s="1589"/>
      <c r="P646" s="1589"/>
      <c r="Q646" s="1611"/>
      <c r="R646" s="1550"/>
      <c r="S646" s="1612"/>
      <c r="T646" s="1611"/>
      <c r="U646" s="1550"/>
      <c r="V646" s="1612"/>
      <c r="W646" s="1382"/>
      <c r="X646" s="1383"/>
      <c r="Y646" s="1384"/>
      <c r="Z646" s="1491"/>
      <c r="AA646" s="1492"/>
      <c r="AB646" s="1493"/>
      <c r="AC646" s="1478"/>
      <c r="AD646" s="1479"/>
      <c r="AE646" s="1480"/>
      <c r="AF646" s="1586"/>
      <c r="AG646" s="1587"/>
      <c r="AH646" s="1587"/>
      <c r="AI646" s="1587"/>
      <c r="AJ646" s="1588"/>
      <c r="AK646" s="1420"/>
      <c r="AL646" s="1421"/>
      <c r="AM646" s="1421"/>
      <c r="AN646" s="1422"/>
      <c r="AO646" s="1490"/>
      <c r="AP646" s="1345"/>
      <c r="AQ646" s="1345"/>
      <c r="AR646" s="1345"/>
      <c r="AS646" s="1346"/>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67" t="e">
        <f t="shared" si="4"/>
        <v>#VALUE!</v>
      </c>
      <c r="DY646" s="1367"/>
      <c r="DZ646" s="1367"/>
      <c r="EA646" s="1367"/>
      <c r="EB646" s="1367"/>
      <c r="EC646" s="1367">
        <f t="shared" si="5"/>
        <v>654.40000000000009</v>
      </c>
      <c r="ED646" s="1367"/>
      <c r="EE646" s="1367"/>
      <c r="EF646" s="1367"/>
      <c r="EG646" s="1367"/>
      <c r="EH646" s="1367" t="e">
        <f t="shared" si="6"/>
        <v>#VALUE!</v>
      </c>
      <c r="EI646" s="1367"/>
      <c r="EJ646" s="1367"/>
      <c r="EK646" s="1367"/>
      <c r="EL646" s="1367"/>
      <c r="EM646" s="1367" t="e">
        <f t="shared" si="7"/>
        <v>#VALUE!</v>
      </c>
      <c r="EN646" s="1367"/>
      <c r="EO646" s="1367"/>
      <c r="EP646" s="1367"/>
      <c r="EQ646" s="1367"/>
      <c r="ER646" s="1367" t="e">
        <f t="shared" si="8"/>
        <v>#VALUE!</v>
      </c>
      <c r="ES646" s="1367"/>
      <c r="ET646" s="1367"/>
      <c r="EU646" s="1367"/>
      <c r="EV646" s="1367"/>
      <c r="EW646" s="1367" t="e">
        <f t="shared" si="9"/>
        <v>#VALUE!</v>
      </c>
      <c r="EX646" s="1367"/>
      <c r="EY646" s="1367"/>
      <c r="EZ646" s="1367"/>
      <c r="FA646" s="1367"/>
    </row>
    <row r="647" spans="1:157" ht="12.9" customHeight="1">
      <c r="B647" s="1428" t="s">
        <v>128</v>
      </c>
      <c r="C647" s="1429"/>
      <c r="D647" s="1429"/>
      <c r="E647" s="1429"/>
      <c r="F647" s="1429"/>
      <c r="G647" s="1429"/>
      <c r="H647" s="1429"/>
      <c r="I647" s="1429"/>
      <c r="J647" s="1429"/>
      <c r="K647" s="1429"/>
      <c r="L647" s="1429"/>
      <c r="M647" s="1429"/>
      <c r="N647" s="1429"/>
      <c r="O647" s="1429"/>
      <c r="P647" s="1429"/>
      <c r="Q647" s="1429"/>
      <c r="R647" s="1429"/>
      <c r="S647" s="1429"/>
      <c r="T647" s="1429"/>
      <c r="U647" s="1429"/>
      <c r="V647" s="1429"/>
      <c r="W647" s="1429"/>
      <c r="X647" s="1429"/>
      <c r="Y647" s="1429"/>
      <c r="Z647" s="1429"/>
      <c r="AA647" s="1429"/>
      <c r="AB647" s="1429"/>
      <c r="AC647" s="1429"/>
      <c r="AD647" s="1429"/>
      <c r="AE647" s="1429"/>
      <c r="AF647" s="1429"/>
      <c r="AG647" s="1429"/>
      <c r="AH647" s="1429"/>
      <c r="AI647" s="1429"/>
      <c r="AJ647" s="1429"/>
      <c r="AK647" s="1429"/>
      <c r="AL647" s="1429"/>
      <c r="AM647" s="1429"/>
      <c r="AN647" s="1431"/>
      <c r="AO647" s="1487">
        <f>SUM(AO635:AR646)</f>
        <v>59944970</v>
      </c>
      <c r="AP647" s="1488"/>
      <c r="AQ647" s="1488"/>
      <c r="AR647" s="1488"/>
      <c r="AS647" s="148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t="e">
        <f t="shared" si="4"/>
        <v>#VALUE!</v>
      </c>
      <c r="DY647" s="1367"/>
      <c r="DZ647" s="1367"/>
      <c r="EA647" s="1367"/>
      <c r="EB647" s="1367"/>
      <c r="EC647" s="1367">
        <f t="shared" si="5"/>
        <v>141.70000000000002</v>
      </c>
      <c r="ED647" s="1367"/>
      <c r="EE647" s="1367"/>
      <c r="EF647" s="1367"/>
      <c r="EG647" s="1367"/>
      <c r="EH647" s="1367" t="e">
        <f t="shared" si="6"/>
        <v>#VALUE!</v>
      </c>
      <c r="EI647" s="1367"/>
      <c r="EJ647" s="1367"/>
      <c r="EK647" s="1367"/>
      <c r="EL647" s="1367"/>
      <c r="EM647" s="1367" t="e">
        <f t="shared" si="7"/>
        <v>#VALUE!</v>
      </c>
      <c r="EN647" s="1367"/>
      <c r="EO647" s="1367"/>
      <c r="EP647" s="1367"/>
      <c r="EQ647" s="1367"/>
      <c r="ER647" s="1367" t="e">
        <f t="shared" si="8"/>
        <v>#VALUE!</v>
      </c>
      <c r="ES647" s="1367"/>
      <c r="ET647" s="1367"/>
      <c r="EU647" s="1367"/>
      <c r="EV647" s="1367"/>
      <c r="EW647" s="1367" t="e">
        <f t="shared" si="9"/>
        <v>#VALUE!</v>
      </c>
      <c r="EX647" s="1367"/>
      <c r="EY647" s="1367"/>
      <c r="EZ647" s="1367"/>
      <c r="FA647" s="1367"/>
    </row>
    <row r="648" spans="1:157" ht="12.9" customHeight="1">
      <c r="B648" s="1428" t="s">
        <v>266</v>
      </c>
      <c r="C648" s="1429"/>
      <c r="D648" s="1429"/>
      <c r="E648" s="1429"/>
      <c r="F648" s="1429"/>
      <c r="G648" s="1429"/>
      <c r="H648" s="1429"/>
      <c r="I648" s="1429"/>
      <c r="J648" s="1429"/>
      <c r="K648" s="1429"/>
      <c r="L648" s="1429"/>
      <c r="M648" s="1429"/>
      <c r="N648" s="1429"/>
      <c r="O648" s="1429"/>
      <c r="P648" s="1429"/>
      <c r="Q648" s="1429"/>
      <c r="R648" s="1429"/>
      <c r="S648" s="1429"/>
      <c r="T648" s="1429"/>
      <c r="U648" s="1429"/>
      <c r="V648" s="1429"/>
      <c r="W648" s="1429"/>
      <c r="X648" s="1429"/>
      <c r="Y648" s="1429"/>
      <c r="Z648" s="1429"/>
      <c r="AA648" s="1429"/>
      <c r="AB648" s="1429"/>
      <c r="AC648" s="1429"/>
      <c r="AD648" s="1429"/>
      <c r="AE648" s="1429"/>
      <c r="AF648" s="1429"/>
      <c r="AG648" s="1429"/>
      <c r="AH648" s="1429"/>
      <c r="AI648" s="1429"/>
      <c r="AJ648" s="1429"/>
      <c r="AK648" s="1429"/>
      <c r="AL648" s="1429"/>
      <c r="AM648" s="1429"/>
      <c r="AN648" s="1431"/>
      <c r="AO648" s="1490">
        <v>45354859</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t="e">
        <f t="shared" si="4"/>
        <v>#VALUE!</v>
      </c>
      <c r="DY648" s="1367"/>
      <c r="DZ648" s="1367"/>
      <c r="EA648" s="1367"/>
      <c r="EB648" s="1367"/>
      <c r="EC648" s="1367">
        <f t="shared" si="5"/>
        <v>171.70000000000002</v>
      </c>
      <c r="ED648" s="1367"/>
      <c r="EE648" s="1367"/>
      <c r="EF648" s="1367"/>
      <c r="EG648" s="1367"/>
      <c r="EH648" s="1367" t="e">
        <f t="shared" si="6"/>
        <v>#VALUE!</v>
      </c>
      <c r="EI648" s="1367"/>
      <c r="EJ648" s="1367"/>
      <c r="EK648" s="1367"/>
      <c r="EL648" s="1367"/>
      <c r="EM648" s="1367" t="e">
        <f t="shared" si="7"/>
        <v>#VALUE!</v>
      </c>
      <c r="EN648" s="1367"/>
      <c r="EO648" s="1367"/>
      <c r="EP648" s="1367"/>
      <c r="EQ648" s="1367"/>
      <c r="ER648" s="1367" t="e">
        <f t="shared" si="8"/>
        <v>#VALUE!</v>
      </c>
      <c r="ES648" s="1367"/>
      <c r="ET648" s="1367"/>
      <c r="EU648" s="1367"/>
      <c r="EV648" s="1367"/>
      <c r="EW648" s="1367" t="e">
        <f t="shared" si="9"/>
        <v>#VALUE!</v>
      </c>
      <c r="EX648" s="1367"/>
      <c r="EY648" s="1367"/>
      <c r="EZ648" s="1367"/>
      <c r="FA648" s="1367"/>
    </row>
    <row r="649" spans="1:157" ht="12.9" customHeight="1">
      <c r="B649" s="1675" t="s">
        <v>267</v>
      </c>
      <c r="C649" s="1430"/>
      <c r="D649" s="1430"/>
      <c r="E649" s="1430"/>
      <c r="F649" s="1430"/>
      <c r="G649" s="1430"/>
      <c r="H649" s="1430"/>
      <c r="I649" s="1430"/>
      <c r="J649" s="1430"/>
      <c r="K649" s="1430"/>
      <c r="L649" s="1430"/>
      <c r="M649" s="1430"/>
      <c r="N649" s="1430"/>
      <c r="O649" s="1430"/>
      <c r="P649" s="1430"/>
      <c r="Q649" s="1430"/>
      <c r="R649" s="1430"/>
      <c r="S649" s="1430"/>
      <c r="T649" s="1430"/>
      <c r="U649" s="1430"/>
      <c r="V649" s="1430"/>
      <c r="W649" s="1430"/>
      <c r="X649" s="1430"/>
      <c r="Y649" s="1430"/>
      <c r="Z649" s="1430"/>
      <c r="AA649" s="1430"/>
      <c r="AB649" s="1430"/>
      <c r="AC649" s="1430"/>
      <c r="AD649" s="1430"/>
      <c r="AE649" s="1430"/>
      <c r="AF649" s="1430"/>
      <c r="AG649" s="1430"/>
      <c r="AH649" s="1430"/>
      <c r="AI649" s="1430"/>
      <c r="AJ649" s="1430"/>
      <c r="AK649" s="1430"/>
      <c r="AL649" s="1430"/>
      <c r="AM649" s="1430"/>
      <c r="AN649" s="1676"/>
      <c r="AO649" s="1487">
        <f>AO647+AO648</f>
        <v>105299829</v>
      </c>
      <c r="AP649" s="1488"/>
      <c r="AQ649" s="1488"/>
      <c r="AR649" s="1488"/>
      <c r="AS649" s="148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4"/>
        <v>#VALUE!</v>
      </c>
      <c r="DY649" s="1367"/>
      <c r="DZ649" s="1367"/>
      <c r="EA649" s="1367"/>
      <c r="EB649" s="1367"/>
      <c r="EC649" s="1367" t="e">
        <f t="shared" si="5"/>
        <v>#VALUE!</v>
      </c>
      <c r="ED649" s="1367"/>
      <c r="EE649" s="1367"/>
      <c r="EF649" s="1367"/>
      <c r="EG649" s="1367"/>
      <c r="EH649" s="1367">
        <f t="shared" si="6"/>
        <v>468.79411764705884</v>
      </c>
      <c r="EI649" s="1367"/>
      <c r="EJ649" s="1367"/>
      <c r="EK649" s="1367"/>
      <c r="EL649" s="1367"/>
      <c r="EM649" s="1367" t="e">
        <f t="shared" si="7"/>
        <v>#VALUE!</v>
      </c>
      <c r="EN649" s="1367"/>
      <c r="EO649" s="1367"/>
      <c r="EP649" s="1367"/>
      <c r="EQ649" s="1367"/>
      <c r="ER649" s="1367" t="e">
        <f t="shared" si="8"/>
        <v>#VALUE!</v>
      </c>
      <c r="ES649" s="1367"/>
      <c r="ET649" s="1367"/>
      <c r="EU649" s="1367"/>
      <c r="EV649" s="1367"/>
      <c r="EW649" s="1367" t="e">
        <f t="shared" si="9"/>
        <v>#VALUE!</v>
      </c>
      <c r="EX649" s="1367"/>
      <c r="EY649" s="1367"/>
      <c r="EZ649" s="1367"/>
      <c r="FA649" s="1367"/>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4"/>
        <v>#VALUE!</v>
      </c>
      <c r="DY650" s="1367"/>
      <c r="DZ650" s="1367"/>
      <c r="EA650" s="1367"/>
      <c r="EB650" s="1367"/>
      <c r="EC650" s="1367" t="e">
        <f t="shared" si="5"/>
        <v>#VALUE!</v>
      </c>
      <c r="ED650" s="1367"/>
      <c r="EE650" s="1367"/>
      <c r="EF650" s="1367"/>
      <c r="EG650" s="1367"/>
      <c r="EH650" s="1367">
        <f t="shared" si="6"/>
        <v>669.04411764705878</v>
      </c>
      <c r="EI650" s="1367"/>
      <c r="EJ650" s="1367"/>
      <c r="EK650" s="1367"/>
      <c r="EL650" s="1367"/>
      <c r="EM650" s="1367" t="e">
        <f t="shared" si="7"/>
        <v>#VALUE!</v>
      </c>
      <c r="EN650" s="1367"/>
      <c r="EO650" s="1367"/>
      <c r="EP650" s="1367"/>
      <c r="EQ650" s="1367"/>
      <c r="ER650" s="1367" t="e">
        <f t="shared" si="8"/>
        <v>#VALUE!</v>
      </c>
      <c r="ES650" s="1367"/>
      <c r="ET650" s="1367"/>
      <c r="EU650" s="1367"/>
      <c r="EV650" s="1367"/>
      <c r="EW650" s="1367" t="e">
        <f t="shared" si="9"/>
        <v>#VALUE!</v>
      </c>
      <c r="EX650" s="1367"/>
      <c r="EY650" s="1367"/>
      <c r="EZ650" s="1367"/>
      <c r="FA650" s="1367"/>
    </row>
    <row r="651" spans="1:157" ht="12.9" customHeight="1">
      <c r="A651" s="55" t="s">
        <v>112</v>
      </c>
      <c r="B651" t="s">
        <v>462</v>
      </c>
      <c r="G651" s="1371" t="str">
        <f>C635</f>
        <v>Citibank, N.A.</v>
      </c>
      <c r="H651" s="1371"/>
      <c r="I651" s="1371"/>
      <c r="J651" s="1371"/>
      <c r="K651" s="1371"/>
      <c r="L651" s="1371"/>
      <c r="M651" s="1371"/>
      <c r="N651" s="1371"/>
      <c r="O651" s="1371"/>
      <c r="P651" s="1371"/>
      <c r="Q651" s="1371"/>
      <c r="R651" s="1371"/>
      <c r="S651" s="8"/>
      <c r="T651" s="55" t="s">
        <v>113</v>
      </c>
      <c r="U651" t="s">
        <v>462</v>
      </c>
      <c r="Z651" s="1371" t="str">
        <f>C636</f>
        <v>Housing Trust Silicon Valley</v>
      </c>
      <c r="AA651" s="1371"/>
      <c r="AB651" s="1371"/>
      <c r="AC651" s="1371"/>
      <c r="AD651" s="1371"/>
      <c r="AE651" s="1371"/>
      <c r="AF651" s="1371"/>
      <c r="AG651" s="1371"/>
      <c r="AH651" s="1371"/>
      <c r="AI651" s="1371"/>
      <c r="AJ651" s="1371"/>
      <c r="AK651" s="137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4"/>
        <v>#VALUE!</v>
      </c>
      <c r="DY651" s="1367"/>
      <c r="DZ651" s="1367"/>
      <c r="EA651" s="1367"/>
      <c r="EB651" s="1367"/>
      <c r="EC651" s="1367" t="e">
        <f t="shared" si="5"/>
        <v>#VALUE!</v>
      </c>
      <c r="ED651" s="1367"/>
      <c r="EE651" s="1367"/>
      <c r="EF651" s="1367"/>
      <c r="EG651" s="1367"/>
      <c r="EH651" s="1367">
        <f t="shared" si="6"/>
        <v>240.58823529411765</v>
      </c>
      <c r="EI651" s="1367"/>
      <c r="EJ651" s="1367"/>
      <c r="EK651" s="1367"/>
      <c r="EL651" s="1367"/>
      <c r="EM651" s="1367" t="e">
        <f t="shared" si="7"/>
        <v>#VALUE!</v>
      </c>
      <c r="EN651" s="1367"/>
      <c r="EO651" s="1367"/>
      <c r="EP651" s="1367"/>
      <c r="EQ651" s="1367"/>
      <c r="ER651" s="1367" t="e">
        <f t="shared" si="8"/>
        <v>#VALUE!</v>
      </c>
      <c r="ES651" s="1367"/>
      <c r="ET651" s="1367"/>
      <c r="EU651" s="1367"/>
      <c r="EV651" s="1367"/>
      <c r="EW651" s="1367" t="e">
        <f t="shared" si="9"/>
        <v>#VALUE!</v>
      </c>
      <c r="EX651" s="1367"/>
      <c r="EY651" s="1367"/>
      <c r="EZ651" s="1367"/>
      <c r="FA651" s="1367"/>
    </row>
    <row r="652" spans="1:157" ht="12.9" customHeight="1">
      <c r="A652" s="22"/>
      <c r="B652" t="s">
        <v>85</v>
      </c>
      <c r="G652" s="1426" t="s">
        <v>2727</v>
      </c>
      <c r="H652" s="1427"/>
      <c r="I652" s="1427"/>
      <c r="J652" s="1427"/>
      <c r="K652" s="1427"/>
      <c r="L652" s="1427"/>
      <c r="M652" s="1427"/>
      <c r="N652" s="1427"/>
      <c r="O652" s="1427"/>
      <c r="P652" s="1427"/>
      <c r="Q652" s="1427"/>
      <c r="R652" s="1427"/>
      <c r="S652" s="8"/>
      <c r="T652" s="22"/>
      <c r="U652" t="s">
        <v>85</v>
      </c>
      <c r="Z652" s="1426" t="s">
        <v>2795</v>
      </c>
      <c r="AA652" s="1427"/>
      <c r="AB652" s="1427"/>
      <c r="AC652" s="1427"/>
      <c r="AD652" s="1427"/>
      <c r="AE652" s="1427"/>
      <c r="AF652" s="1427"/>
      <c r="AG652" s="1427"/>
      <c r="AH652" s="1427"/>
      <c r="AI652" s="1427"/>
      <c r="AJ652" s="1427"/>
      <c r="AK652" s="1427"/>
      <c r="AV652" s="3"/>
      <c r="AW652" s="3"/>
      <c r="AX652" s="3"/>
      <c r="AY652" s="3"/>
      <c r="AZ652" s="3"/>
      <c r="BA652" s="3"/>
      <c r="BB652" s="3"/>
      <c r="BC652" s="3"/>
      <c r="BD652" s="3"/>
      <c r="BE652" s="3"/>
      <c r="BF652" s="3"/>
      <c r="BG652" s="3"/>
      <c r="BH652" s="3"/>
      <c r="BI652" s="3"/>
      <c r="BJ652" s="3"/>
      <c r="BK652" s="3"/>
      <c r="BL652" s="3"/>
      <c r="BM652" s="3"/>
      <c r="DX652" s="1367" t="e">
        <f t="shared" si="4"/>
        <v>#VALUE!</v>
      </c>
      <c r="DY652" s="1367"/>
      <c r="DZ652" s="1367"/>
      <c r="EA652" s="1367"/>
      <c r="EB652" s="1367"/>
      <c r="EC652" s="1367" t="e">
        <f t="shared" si="5"/>
        <v>#VALUE!</v>
      </c>
      <c r="ED652" s="1367"/>
      <c r="EE652" s="1367"/>
      <c r="EF652" s="1367"/>
      <c r="EG652" s="1367"/>
      <c r="EH652" s="1367" t="e">
        <f t="shared" si="6"/>
        <v>#VALUE!</v>
      </c>
      <c r="EI652" s="1367"/>
      <c r="EJ652" s="1367"/>
      <c r="EK652" s="1367"/>
      <c r="EL652" s="1367"/>
      <c r="EM652" s="1367">
        <f t="shared" si="7"/>
        <v>292.89795918367349</v>
      </c>
      <c r="EN652" s="1367"/>
      <c r="EO652" s="1367"/>
      <c r="EP652" s="1367"/>
      <c r="EQ652" s="1367"/>
      <c r="ER652" s="1367" t="e">
        <f t="shared" si="8"/>
        <v>#VALUE!</v>
      </c>
      <c r="ES652" s="1367"/>
      <c r="ET652" s="1367"/>
      <c r="EU652" s="1367"/>
      <c r="EV652" s="1367"/>
      <c r="EW652" s="1367" t="e">
        <f t="shared" si="9"/>
        <v>#VALUE!</v>
      </c>
      <c r="EX652" s="1367"/>
      <c r="EY652" s="1367"/>
      <c r="EZ652" s="1367"/>
      <c r="FA652" s="1367"/>
    </row>
    <row r="653" spans="1:157" ht="12.9" customHeight="1">
      <c r="A653" s="22"/>
      <c r="B653" t="s">
        <v>579</v>
      </c>
      <c r="G653" s="1426" t="s">
        <v>2728</v>
      </c>
      <c r="H653" s="1427"/>
      <c r="I653" s="1427"/>
      <c r="J653" s="1427"/>
      <c r="K653" s="1427"/>
      <c r="L653" s="1427"/>
      <c r="M653" s="1427"/>
      <c r="N653" s="1427"/>
      <c r="O653" s="1427"/>
      <c r="P653" s="1427"/>
      <c r="Q653" s="1427"/>
      <c r="R653" s="1427"/>
      <c r="T653" s="22"/>
      <c r="U653" t="s">
        <v>579</v>
      </c>
      <c r="Z653" s="1368" t="s">
        <v>2796</v>
      </c>
      <c r="AA653" s="1369"/>
      <c r="AB653" s="1369"/>
      <c r="AC653" s="1369"/>
      <c r="AD653" s="1369"/>
      <c r="AE653" s="1369"/>
      <c r="AF653" s="1369"/>
      <c r="AG653" s="1369"/>
      <c r="AH653" s="1369"/>
      <c r="AI653" s="1369"/>
      <c r="AJ653" s="1369"/>
      <c r="AK653" s="1369"/>
      <c r="AV653" s="3"/>
      <c r="AW653" s="3"/>
      <c r="AX653" s="3"/>
      <c r="AY653" s="3"/>
      <c r="AZ653" s="3"/>
      <c r="BA653" s="3"/>
      <c r="BB653" s="3"/>
      <c r="BC653" s="3"/>
      <c r="BD653" s="3"/>
      <c r="BE653" s="3"/>
      <c r="BF653" s="3"/>
      <c r="BG653" s="3"/>
      <c r="BH653" s="3"/>
      <c r="BI653" s="3"/>
      <c r="BJ653" s="3"/>
      <c r="BK653" s="3"/>
      <c r="BL653" s="3"/>
      <c r="BM653" s="3"/>
      <c r="DX653" s="1367" t="e">
        <f t="shared" si="4"/>
        <v>#VALUE!</v>
      </c>
      <c r="DY653" s="1367"/>
      <c r="DZ653" s="1367"/>
      <c r="EA653" s="1367"/>
      <c r="EB653" s="1367"/>
      <c r="EC653" s="1367" t="e">
        <f t="shared" si="5"/>
        <v>#VALUE!</v>
      </c>
      <c r="ED653" s="1367"/>
      <c r="EE653" s="1367"/>
      <c r="EF653" s="1367"/>
      <c r="EG653" s="1367"/>
      <c r="EH653" s="1367" t="e">
        <f t="shared" si="6"/>
        <v>#VALUE!</v>
      </c>
      <c r="EI653" s="1367"/>
      <c r="EJ653" s="1367"/>
      <c r="EK653" s="1367"/>
      <c r="EL653" s="1367"/>
      <c r="EM653" s="1367">
        <f t="shared" si="7"/>
        <v>1145.204081632653</v>
      </c>
      <c r="EN653" s="1367"/>
      <c r="EO653" s="1367"/>
      <c r="EP653" s="1367"/>
      <c r="EQ653" s="1367"/>
      <c r="ER653" s="1367" t="e">
        <f t="shared" si="8"/>
        <v>#VALUE!</v>
      </c>
      <c r="ES653" s="1367"/>
      <c r="ET653" s="1367"/>
      <c r="EU653" s="1367"/>
      <c r="EV653" s="1367"/>
      <c r="EW653" s="1367" t="e">
        <f t="shared" si="9"/>
        <v>#VALUE!</v>
      </c>
      <c r="EX653" s="1367"/>
      <c r="EY653" s="1367"/>
      <c r="EZ653" s="1367"/>
      <c r="FA653" s="1367"/>
    </row>
    <row r="654" spans="1:157" ht="12.9" customHeight="1">
      <c r="A654" s="22"/>
      <c r="B654" t="s">
        <v>17</v>
      </c>
      <c r="G654" s="1426" t="s">
        <v>2729</v>
      </c>
      <c r="H654" s="1427"/>
      <c r="I654" s="1427"/>
      <c r="J654" s="1427"/>
      <c r="K654" s="1427"/>
      <c r="L654" s="1427"/>
      <c r="M654" s="1427"/>
      <c r="N654" s="1427"/>
      <c r="O654" s="1427"/>
      <c r="P654" s="1427"/>
      <c r="Q654" s="1427"/>
      <c r="R654" s="1427"/>
      <c r="S654" s="8"/>
      <c r="T654" s="22"/>
      <c r="U654" t="s">
        <v>17</v>
      </c>
      <c r="Z654" s="1368" t="s">
        <v>2794</v>
      </c>
      <c r="AA654" s="1369"/>
      <c r="AB654" s="1369"/>
      <c r="AC654" s="1369"/>
      <c r="AD654" s="1369"/>
      <c r="AE654" s="1369"/>
      <c r="AF654" s="1369"/>
      <c r="AG654" s="1369"/>
      <c r="AH654" s="1369"/>
      <c r="AI654" s="1369"/>
      <c r="AJ654" s="1369"/>
      <c r="AK654" s="1369"/>
      <c r="AZ654" s="3"/>
      <c r="BA654" s="3"/>
      <c r="BB654" s="3"/>
      <c r="BC654" s="3"/>
      <c r="BD654" s="3"/>
      <c r="BE654" s="3"/>
      <c r="BF654" s="3"/>
      <c r="BG654" s="3"/>
      <c r="BH654" s="3"/>
      <c r="BI654" s="3"/>
      <c r="BJ654" s="3"/>
      <c r="BK654" s="3"/>
      <c r="BL654" s="3"/>
      <c r="BM654" s="3"/>
      <c r="DX654" s="1367" t="e">
        <f t="shared" si="4"/>
        <v>#VALUE!</v>
      </c>
      <c r="DY654" s="1367"/>
      <c r="DZ654" s="1367"/>
      <c r="EA654" s="1367"/>
      <c r="EB654" s="1367"/>
      <c r="EC654" s="1367" t="e">
        <f t="shared" si="5"/>
        <v>#VALUE!</v>
      </c>
      <c r="ED654" s="1367"/>
      <c r="EE654" s="1367"/>
      <c r="EF654" s="1367"/>
      <c r="EG654" s="1367"/>
      <c r="EH654" s="1367" t="e">
        <f t="shared" si="6"/>
        <v>#VALUE!</v>
      </c>
      <c r="EI654" s="1367"/>
      <c r="EJ654" s="1367"/>
      <c r="EK654" s="1367"/>
      <c r="EL654" s="1367"/>
      <c r="EM654" s="1367">
        <f t="shared" si="7"/>
        <v>335.85714285714283</v>
      </c>
      <c r="EN654" s="1367"/>
      <c r="EO654" s="1367"/>
      <c r="EP654" s="1367"/>
      <c r="EQ654" s="1367"/>
      <c r="ER654" s="1367" t="e">
        <f t="shared" si="8"/>
        <v>#VALUE!</v>
      </c>
      <c r="ES654" s="1367"/>
      <c r="ET654" s="1367"/>
      <c r="EU654" s="1367"/>
      <c r="EV654" s="1367"/>
      <c r="EW654" s="1367" t="e">
        <f t="shared" si="9"/>
        <v>#VALUE!</v>
      </c>
      <c r="EX654" s="1367"/>
      <c r="EY654" s="1367"/>
      <c r="EZ654" s="1367"/>
      <c r="FA654" s="1367"/>
    </row>
    <row r="655" spans="1:157" ht="12.9" customHeight="1">
      <c r="A655" s="22"/>
      <c r="B655" t="s">
        <v>315</v>
      </c>
      <c r="G655" s="1385" t="s">
        <v>2730</v>
      </c>
      <c r="H655" s="1386"/>
      <c r="I655" s="1386"/>
      <c r="J655" s="1386"/>
      <c r="K655" s="1386"/>
      <c r="L655" s="1386"/>
      <c r="O655" s="33" t="s">
        <v>205</v>
      </c>
      <c r="P655" s="1370"/>
      <c r="Q655" s="1370"/>
      <c r="R655" s="1370"/>
      <c r="S655" s="10"/>
      <c r="T655" s="22"/>
      <c r="U655" t="s">
        <v>315</v>
      </c>
      <c r="Z655" s="1385" t="s">
        <v>2797</v>
      </c>
      <c r="AA655" s="1386"/>
      <c r="AB655" s="1386"/>
      <c r="AC655" s="1386"/>
      <c r="AD655" s="1386"/>
      <c r="AE655" s="1386"/>
      <c r="AH655" s="33" t="s">
        <v>205</v>
      </c>
      <c r="AI655" s="1370"/>
      <c r="AJ655" s="1370"/>
      <c r="AK655" s="1370"/>
      <c r="AZ655" s="34"/>
      <c r="BA655" s="34"/>
      <c r="BB655" s="34"/>
      <c r="BC655" s="34"/>
      <c r="BD655" s="34"/>
      <c r="BE655" s="34"/>
      <c r="BF655" s="34"/>
      <c r="BG655" s="34"/>
      <c r="BH655" s="34"/>
      <c r="BI655" s="34"/>
      <c r="BJ655" s="34"/>
      <c r="BK655" s="34"/>
      <c r="BL655" s="34"/>
      <c r="BM655" s="34"/>
      <c r="DX655" s="1367" t="e">
        <f t="shared" si="4"/>
        <v>#VALUE!</v>
      </c>
      <c r="DY655" s="1367"/>
      <c r="DZ655" s="1367"/>
      <c r="EA655" s="1367"/>
      <c r="EB655" s="1367"/>
      <c r="EC655" s="1367" t="e">
        <f t="shared" si="5"/>
        <v>#VALUE!</v>
      </c>
      <c r="ED655" s="1367"/>
      <c r="EE655" s="1367"/>
      <c r="EF655" s="1367"/>
      <c r="EG655" s="1367"/>
      <c r="EH655" s="1367" t="e">
        <f t="shared" si="6"/>
        <v>#VALUE!</v>
      </c>
      <c r="EI655" s="1367"/>
      <c r="EJ655" s="1367"/>
      <c r="EK655" s="1367"/>
      <c r="EL655" s="1367"/>
      <c r="EM655" s="1367" t="e">
        <f t="shared" si="7"/>
        <v>#VALUE!</v>
      </c>
      <c r="EN655" s="1367"/>
      <c r="EO655" s="1367"/>
      <c r="EP655" s="1367"/>
      <c r="EQ655" s="1367"/>
      <c r="ER655" s="1367" t="e">
        <f t="shared" si="8"/>
        <v>#VALUE!</v>
      </c>
      <c r="ES655" s="1367"/>
      <c r="ET655" s="1367"/>
      <c r="EU655" s="1367"/>
      <c r="EV655" s="1367"/>
      <c r="EW655" s="1367" t="e">
        <f t="shared" si="9"/>
        <v>#VALUE!</v>
      </c>
      <c r="EX655" s="1367"/>
      <c r="EY655" s="1367"/>
      <c r="EZ655" s="1367"/>
      <c r="FA655" s="1367"/>
    </row>
    <row r="656" spans="1:157" ht="12.9" customHeight="1">
      <c r="A656" s="22"/>
      <c r="B656" t="s">
        <v>18</v>
      </c>
      <c r="H656" s="1426" t="s">
        <v>2735</v>
      </c>
      <c r="I656" s="1427"/>
      <c r="J656" s="1427"/>
      <c r="K656" s="1427"/>
      <c r="L656" s="1427"/>
      <c r="M656" s="1427"/>
      <c r="N656" s="1427"/>
      <c r="O656" s="1427"/>
      <c r="P656" s="1427"/>
      <c r="Q656" s="1427"/>
      <c r="R656" s="1427"/>
      <c r="S656" s="8"/>
      <c r="T656" s="22"/>
      <c r="U656" t="s">
        <v>18</v>
      </c>
      <c r="AA656" s="1426" t="s">
        <v>2800</v>
      </c>
      <c r="AB656" s="1427"/>
      <c r="AC656" s="1427"/>
      <c r="AD656" s="1427"/>
      <c r="AE656" s="1427"/>
      <c r="AF656" s="1427"/>
      <c r="AG656" s="1427"/>
      <c r="AH656" s="1427"/>
      <c r="AI656" s="1427"/>
      <c r="AJ656" s="1427"/>
      <c r="AK656" s="1427"/>
      <c r="AZ656" s="34"/>
      <c r="BA656" s="34"/>
      <c r="BB656" s="34"/>
      <c r="BC656" s="34"/>
      <c r="BD656" s="34"/>
      <c r="BE656" s="34"/>
      <c r="BF656" s="34"/>
      <c r="BG656" s="34"/>
      <c r="BH656" s="34"/>
      <c r="BI656" s="34"/>
      <c r="BJ656" s="34"/>
      <c r="BK656" s="34"/>
      <c r="BL656" s="34"/>
      <c r="BM656" s="34"/>
      <c r="DX656" s="1367" t="e">
        <f t="shared" si="4"/>
        <v>#VALUE!</v>
      </c>
      <c r="DY656" s="1367"/>
      <c r="DZ656" s="1367"/>
      <c r="EA656" s="1367"/>
      <c r="EB656" s="1367"/>
      <c r="EC656" s="1367" t="e">
        <f t="shared" si="5"/>
        <v>#VALUE!</v>
      </c>
      <c r="ED656" s="1367"/>
      <c r="EE656" s="1367"/>
      <c r="EF656" s="1367"/>
      <c r="EG656" s="1367"/>
      <c r="EH656" s="1367" t="e">
        <f t="shared" si="6"/>
        <v>#VALUE!</v>
      </c>
      <c r="EI656" s="1367"/>
      <c r="EJ656" s="1367"/>
      <c r="EK656" s="1367"/>
      <c r="EL656" s="1367"/>
      <c r="EM656" s="1367" t="e">
        <f t="shared" si="7"/>
        <v>#VALUE!</v>
      </c>
      <c r="EN656" s="1367"/>
      <c r="EO656" s="1367"/>
      <c r="EP656" s="1367"/>
      <c r="EQ656" s="1367"/>
      <c r="ER656" s="1367" t="e">
        <f t="shared" si="8"/>
        <v>#VALUE!</v>
      </c>
      <c r="ES656" s="1367"/>
      <c r="ET656" s="1367"/>
      <c r="EU656" s="1367"/>
      <c r="EV656" s="1367"/>
      <c r="EW656" s="1367" t="e">
        <f t="shared" si="9"/>
        <v>#VALUE!</v>
      </c>
      <c r="EX656" s="1367"/>
      <c r="EY656" s="1367"/>
      <c r="EZ656" s="1367"/>
      <c r="FA656" s="1367"/>
    </row>
    <row r="657" spans="1:157" ht="12.9" customHeight="1">
      <c r="A657" s="22"/>
      <c r="B657" t="s">
        <v>20</v>
      </c>
      <c r="N657" s="1381" t="s">
        <v>544</v>
      </c>
      <c r="O657" s="1381"/>
      <c r="T657" s="22"/>
      <c r="U657" t="s">
        <v>20</v>
      </c>
      <c r="AG657" s="1381" t="s">
        <v>544</v>
      </c>
      <c r="AH657" s="1381"/>
      <c r="AZ657" s="34"/>
      <c r="BA657" s="34"/>
      <c r="BB657" s="34"/>
      <c r="BC657" s="34"/>
      <c r="BD657" s="34"/>
      <c r="BE657" s="34"/>
      <c r="BF657" s="34"/>
      <c r="BG657" s="34"/>
      <c r="BH657" s="34"/>
      <c r="BI657" s="34"/>
      <c r="BJ657" s="34"/>
      <c r="BK657" s="34"/>
      <c r="BL657" s="34"/>
      <c r="BM657" s="34"/>
      <c r="DX657" s="1367" t="e">
        <f t="shared" si="4"/>
        <v>#VALUE!</v>
      </c>
      <c r="DY657" s="1367"/>
      <c r="DZ657" s="1367"/>
      <c r="EA657" s="1367"/>
      <c r="EB657" s="1367"/>
      <c r="EC657" s="1367" t="e">
        <f t="shared" si="5"/>
        <v>#VALUE!</v>
      </c>
      <c r="ED657" s="1367"/>
      <c r="EE657" s="1367"/>
      <c r="EF657" s="1367"/>
      <c r="EG657" s="1367"/>
      <c r="EH657" s="1367" t="e">
        <f t="shared" si="6"/>
        <v>#VALUE!</v>
      </c>
      <c r="EI657" s="1367"/>
      <c r="EJ657" s="1367"/>
      <c r="EK657" s="1367"/>
      <c r="EL657" s="1367"/>
      <c r="EM657" s="1367" t="e">
        <f t="shared" si="7"/>
        <v>#VALUE!</v>
      </c>
      <c r="EN657" s="1367"/>
      <c r="EO657" s="1367"/>
      <c r="EP657" s="1367"/>
      <c r="EQ657" s="1367"/>
      <c r="ER657" s="1367" t="e">
        <f t="shared" si="8"/>
        <v>#VALUE!</v>
      </c>
      <c r="ES657" s="1367"/>
      <c r="ET657" s="1367"/>
      <c r="EU657" s="1367"/>
      <c r="EV657" s="1367"/>
      <c r="EW657" s="1367" t="e">
        <f t="shared" si="9"/>
        <v>#VALUE!</v>
      </c>
      <c r="EX657" s="1367"/>
      <c r="EY657" s="1367"/>
      <c r="EZ657" s="1367"/>
      <c r="FA657" s="1367"/>
    </row>
    <row r="658" spans="1:157" ht="12.9" customHeight="1">
      <c r="A658" s="22"/>
      <c r="T658" s="22"/>
      <c r="AZ658" s="34"/>
      <c r="BA658" s="34"/>
      <c r="BB658" s="34"/>
      <c r="BC658" s="34"/>
      <c r="BD658" s="34"/>
      <c r="BE658" s="34"/>
      <c r="BF658" s="34"/>
      <c r="BG658" s="34"/>
      <c r="BH658" s="34"/>
      <c r="BI658" s="34"/>
      <c r="BJ658" s="34"/>
      <c r="BK658" s="34"/>
      <c r="BL658" s="34"/>
      <c r="BM658" s="34"/>
      <c r="DX658" s="1367" t="e">
        <f t="shared" si="4"/>
        <v>#VALUE!</v>
      </c>
      <c r="DY658" s="1367"/>
      <c r="DZ658" s="1367"/>
      <c r="EA658" s="1367"/>
      <c r="EB658" s="1367"/>
      <c r="EC658" s="1367" t="e">
        <f t="shared" si="5"/>
        <v>#VALUE!</v>
      </c>
      <c r="ED658" s="1367"/>
      <c r="EE658" s="1367"/>
      <c r="EF658" s="1367"/>
      <c r="EG658" s="1367"/>
      <c r="EH658" s="1367" t="e">
        <f t="shared" si="6"/>
        <v>#VALUE!</v>
      </c>
      <c r="EI658" s="1367"/>
      <c r="EJ658" s="1367"/>
      <c r="EK658" s="1367"/>
      <c r="EL658" s="1367"/>
      <c r="EM658" s="1367" t="e">
        <f t="shared" si="7"/>
        <v>#VALUE!</v>
      </c>
      <c r="EN658" s="1367"/>
      <c r="EO658" s="1367"/>
      <c r="EP658" s="1367"/>
      <c r="EQ658" s="1367"/>
      <c r="ER658" s="1367" t="e">
        <f t="shared" si="8"/>
        <v>#VALUE!</v>
      </c>
      <c r="ES658" s="1367"/>
      <c r="ET658" s="1367"/>
      <c r="EU658" s="1367"/>
      <c r="EV658" s="1367"/>
      <c r="EW658" s="1367" t="e">
        <f t="shared" si="9"/>
        <v>#VALUE!</v>
      </c>
      <c r="EX658" s="1367"/>
      <c r="EY658" s="1367"/>
      <c r="EZ658" s="1367"/>
      <c r="FA658" s="1367"/>
    </row>
    <row r="659" spans="1:157" ht="12.9" customHeight="1">
      <c r="A659" s="55" t="s">
        <v>119</v>
      </c>
      <c r="B659" t="s">
        <v>462</v>
      </c>
      <c r="G659" s="1371" t="str">
        <f>C637</f>
        <v>HCD - AHSC Loan</v>
      </c>
      <c r="H659" s="1371"/>
      <c r="I659" s="1371"/>
      <c r="J659" s="1371"/>
      <c r="K659" s="1371"/>
      <c r="L659" s="1371"/>
      <c r="M659" s="1371"/>
      <c r="N659" s="1371"/>
      <c r="O659" s="1371"/>
      <c r="P659" s="1371"/>
      <c r="Q659" s="1371"/>
      <c r="R659" s="1371"/>
      <c r="T659" s="55" t="s">
        <v>580</v>
      </c>
      <c r="U659" t="s">
        <v>462</v>
      </c>
      <c r="Z659" s="1371" t="str">
        <f>C638</f>
        <v>HCD - IIG Loan</v>
      </c>
      <c r="AA659" s="1371"/>
      <c r="AB659" s="1371"/>
      <c r="AC659" s="1371"/>
      <c r="AD659" s="1371"/>
      <c r="AE659" s="1371"/>
      <c r="AF659" s="1371"/>
      <c r="AG659" s="1371"/>
      <c r="AH659" s="1371"/>
      <c r="AI659" s="1371"/>
      <c r="AJ659" s="1371"/>
      <c r="AK659" s="1371"/>
      <c r="AZ659" s="34"/>
      <c r="BA659" s="34"/>
      <c r="BB659" s="34"/>
      <c r="BC659" s="34"/>
      <c r="BD659" s="34"/>
      <c r="BE659" s="34"/>
      <c r="BF659" s="34"/>
      <c r="BG659" s="34"/>
      <c r="BH659" s="34"/>
      <c r="BI659" s="34"/>
      <c r="BJ659" s="34"/>
      <c r="BK659" s="34"/>
      <c r="BL659" s="34"/>
      <c r="BM659" s="34"/>
      <c r="DX659" s="1367" t="e">
        <f t="shared" si="4"/>
        <v>#VALUE!</v>
      </c>
      <c r="DY659" s="1367"/>
      <c r="DZ659" s="1367"/>
      <c r="EA659" s="1367"/>
      <c r="EB659" s="1367"/>
      <c r="EC659" s="1367" t="e">
        <f t="shared" si="5"/>
        <v>#VALUE!</v>
      </c>
      <c r="ED659" s="1367"/>
      <c r="EE659" s="1367"/>
      <c r="EF659" s="1367"/>
      <c r="EG659" s="1367"/>
      <c r="EH659" s="1367" t="e">
        <f t="shared" si="6"/>
        <v>#VALUE!</v>
      </c>
      <c r="EI659" s="1367"/>
      <c r="EJ659" s="1367"/>
      <c r="EK659" s="1367"/>
      <c r="EL659" s="1367"/>
      <c r="EM659" s="1367" t="e">
        <f t="shared" si="7"/>
        <v>#VALUE!</v>
      </c>
      <c r="EN659" s="1367"/>
      <c r="EO659" s="1367"/>
      <c r="EP659" s="1367"/>
      <c r="EQ659" s="1367"/>
      <c r="ER659" s="1367" t="e">
        <f t="shared" si="8"/>
        <v>#VALUE!</v>
      </c>
      <c r="ES659" s="1367"/>
      <c r="ET659" s="1367"/>
      <c r="EU659" s="1367"/>
      <c r="EV659" s="1367"/>
      <c r="EW659" s="1367" t="e">
        <f t="shared" si="9"/>
        <v>#VALUE!</v>
      </c>
      <c r="EX659" s="1367"/>
      <c r="EY659" s="1367"/>
      <c r="EZ659" s="1367"/>
      <c r="FA659" s="1367"/>
    </row>
    <row r="660" spans="1:157" ht="12.9" customHeight="1">
      <c r="A660" s="22"/>
      <c r="B660" t="s">
        <v>85</v>
      </c>
      <c r="G660" s="1426" t="s">
        <v>2772</v>
      </c>
      <c r="H660" s="1427"/>
      <c r="I660" s="1427"/>
      <c r="J660" s="1427"/>
      <c r="K660" s="1427"/>
      <c r="L660" s="1427"/>
      <c r="M660" s="1427"/>
      <c r="N660" s="1427"/>
      <c r="O660" s="1427"/>
      <c r="P660" s="1427"/>
      <c r="Q660" s="1427"/>
      <c r="R660" s="1427"/>
      <c r="T660" s="22"/>
      <c r="U660" t="s">
        <v>85</v>
      </c>
      <c r="Z660" s="1427" t="s">
        <v>2772</v>
      </c>
      <c r="AA660" s="1427"/>
      <c r="AB660" s="1427"/>
      <c r="AC660" s="1427"/>
      <c r="AD660" s="1427"/>
      <c r="AE660" s="1427"/>
      <c r="AF660" s="1427"/>
      <c r="AG660" s="1427"/>
      <c r="AH660" s="1427"/>
      <c r="AI660" s="1427"/>
      <c r="AJ660" s="1427"/>
      <c r="AK660" s="1427"/>
      <c r="AZ660" s="34"/>
      <c r="BA660" s="34"/>
      <c r="BB660" s="34"/>
      <c r="BC660" s="34"/>
      <c r="BD660" s="34"/>
      <c r="BE660" s="34"/>
      <c r="BF660" s="34"/>
      <c r="BG660" s="34"/>
      <c r="BH660" s="34"/>
      <c r="BI660" s="34"/>
      <c r="BJ660" s="34"/>
      <c r="BK660" s="34"/>
      <c r="BL660" s="34"/>
      <c r="BM660" s="34"/>
      <c r="DX660" s="1367" t="e">
        <f t="shared" si="4"/>
        <v>#VALUE!</v>
      </c>
      <c r="DY660" s="1367"/>
      <c r="DZ660" s="1367"/>
      <c r="EA660" s="1367"/>
      <c r="EB660" s="1367"/>
      <c r="EC660" s="1367" t="e">
        <f t="shared" si="5"/>
        <v>#VALUE!</v>
      </c>
      <c r="ED660" s="1367"/>
      <c r="EE660" s="1367"/>
      <c r="EF660" s="1367"/>
      <c r="EG660" s="1367"/>
      <c r="EH660" s="1367" t="e">
        <f t="shared" si="6"/>
        <v>#VALUE!</v>
      </c>
      <c r="EI660" s="1367"/>
      <c r="EJ660" s="1367"/>
      <c r="EK660" s="1367"/>
      <c r="EL660" s="1367"/>
      <c r="EM660" s="1367" t="e">
        <f t="shared" si="7"/>
        <v>#VALUE!</v>
      </c>
      <c r="EN660" s="1367"/>
      <c r="EO660" s="1367"/>
      <c r="EP660" s="1367"/>
      <c r="EQ660" s="1367"/>
      <c r="ER660" s="1367" t="e">
        <f t="shared" si="8"/>
        <v>#VALUE!</v>
      </c>
      <c r="ES660" s="1367"/>
      <c r="ET660" s="1367"/>
      <c r="EU660" s="1367"/>
      <c r="EV660" s="1367"/>
      <c r="EW660" s="1367" t="e">
        <f t="shared" si="9"/>
        <v>#VALUE!</v>
      </c>
      <c r="EX660" s="1367"/>
      <c r="EY660" s="1367"/>
      <c r="EZ660" s="1367"/>
      <c r="FA660" s="1367"/>
    </row>
    <row r="661" spans="1:157" ht="12.9" customHeight="1">
      <c r="A661" s="22"/>
      <c r="B661" t="s">
        <v>579</v>
      </c>
      <c r="G661" s="1368" t="s">
        <v>2773</v>
      </c>
      <c r="H661" s="1369"/>
      <c r="I661" s="1369"/>
      <c r="J661" s="1369"/>
      <c r="K661" s="1369"/>
      <c r="L661" s="1369"/>
      <c r="M661" s="1369"/>
      <c r="N661" s="1369"/>
      <c r="O661" s="1369"/>
      <c r="P661" s="1369"/>
      <c r="Q661" s="1369"/>
      <c r="R661" s="1369"/>
      <c r="T661" s="22"/>
      <c r="U661" t="s">
        <v>579</v>
      </c>
      <c r="Z661" s="1369" t="s">
        <v>2773</v>
      </c>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7" t="e">
        <f t="shared" si="4"/>
        <v>#VALUE!</v>
      </c>
      <c r="DY661" s="1367"/>
      <c r="DZ661" s="1367"/>
      <c r="EA661" s="1367"/>
      <c r="EB661" s="1367"/>
      <c r="EC661" s="1367" t="e">
        <f t="shared" si="5"/>
        <v>#VALUE!</v>
      </c>
      <c r="ED661" s="1367"/>
      <c r="EE661" s="1367"/>
      <c r="EF661" s="1367"/>
      <c r="EG661" s="1367"/>
      <c r="EH661" s="1367" t="e">
        <f t="shared" si="6"/>
        <v>#VALUE!</v>
      </c>
      <c r="EI661" s="1367"/>
      <c r="EJ661" s="1367"/>
      <c r="EK661" s="1367"/>
      <c r="EL661" s="1367"/>
      <c r="EM661" s="1367" t="e">
        <f t="shared" si="7"/>
        <v>#VALUE!</v>
      </c>
      <c r="EN661" s="1367"/>
      <c r="EO661" s="1367"/>
      <c r="EP661" s="1367"/>
      <c r="EQ661" s="1367"/>
      <c r="ER661" s="1367" t="e">
        <f t="shared" si="8"/>
        <v>#VALUE!</v>
      </c>
      <c r="ES661" s="1367"/>
      <c r="ET661" s="1367"/>
      <c r="EU661" s="1367"/>
      <c r="EV661" s="1367"/>
      <c r="EW661" s="1367" t="e">
        <f t="shared" si="9"/>
        <v>#VALUE!</v>
      </c>
      <c r="EX661" s="1367"/>
      <c r="EY661" s="1367"/>
      <c r="EZ661" s="1367"/>
      <c r="FA661" s="1367"/>
    </row>
    <row r="662" spans="1:157" ht="12.9" customHeight="1">
      <c r="A662" s="22"/>
      <c r="B662" t="s">
        <v>17</v>
      </c>
      <c r="G662" s="1368" t="s">
        <v>2774</v>
      </c>
      <c r="H662" s="1369"/>
      <c r="I662" s="1369"/>
      <c r="J662" s="1369"/>
      <c r="K662" s="1369"/>
      <c r="L662" s="1369"/>
      <c r="M662" s="1369"/>
      <c r="N662" s="1369"/>
      <c r="O662" s="1369"/>
      <c r="P662" s="1369"/>
      <c r="Q662" s="1369"/>
      <c r="R662" s="1369"/>
      <c r="T662" s="22"/>
      <c r="U662" t="s">
        <v>17</v>
      </c>
      <c r="Z662" s="1369" t="s">
        <v>2774</v>
      </c>
      <c r="AA662" s="1369"/>
      <c r="AB662" s="1369"/>
      <c r="AC662" s="1369"/>
      <c r="AD662" s="1369"/>
      <c r="AE662" s="1369"/>
      <c r="AF662" s="1369"/>
      <c r="AG662" s="1369"/>
      <c r="AH662" s="1369"/>
      <c r="AI662" s="1369"/>
      <c r="AJ662" s="1369"/>
      <c r="AK662" s="1369"/>
      <c r="AZ662" s="34"/>
      <c r="BA662" s="34"/>
      <c r="BB662" s="34"/>
      <c r="BC662" s="34"/>
      <c r="BD662" s="34"/>
      <c r="BE662" s="34"/>
      <c r="BF662" s="34"/>
      <c r="BG662" s="34"/>
      <c r="BH662" s="34"/>
      <c r="BI662" s="34"/>
      <c r="BJ662" s="34"/>
      <c r="BK662" s="34"/>
      <c r="BL662" s="34"/>
      <c r="BM662" s="34"/>
      <c r="DX662" s="1367" t="e">
        <f t="shared" si="4"/>
        <v>#VALUE!</v>
      </c>
      <c r="DY662" s="1367"/>
      <c r="DZ662" s="1367"/>
      <c r="EA662" s="1367"/>
      <c r="EB662" s="1367"/>
      <c r="EC662" s="1367" t="e">
        <f t="shared" si="5"/>
        <v>#VALUE!</v>
      </c>
      <c r="ED662" s="1367"/>
      <c r="EE662" s="1367"/>
      <c r="EF662" s="1367"/>
      <c r="EG662" s="1367"/>
      <c r="EH662" s="1367" t="e">
        <f t="shared" si="6"/>
        <v>#VALUE!</v>
      </c>
      <c r="EI662" s="1367"/>
      <c r="EJ662" s="1367"/>
      <c r="EK662" s="1367"/>
      <c r="EL662" s="1367"/>
      <c r="EM662" s="1367" t="e">
        <f t="shared" si="7"/>
        <v>#VALUE!</v>
      </c>
      <c r="EN662" s="1367"/>
      <c r="EO662" s="1367"/>
      <c r="EP662" s="1367"/>
      <c r="EQ662" s="1367"/>
      <c r="ER662" s="1367" t="e">
        <f t="shared" si="8"/>
        <v>#VALUE!</v>
      </c>
      <c r="ES662" s="1367"/>
      <c r="ET662" s="1367"/>
      <c r="EU662" s="1367"/>
      <c r="EV662" s="1367"/>
      <c r="EW662" s="1367" t="e">
        <f t="shared" si="9"/>
        <v>#VALUE!</v>
      </c>
      <c r="EX662" s="1367"/>
      <c r="EY662" s="1367"/>
      <c r="EZ662" s="1367"/>
      <c r="FA662" s="1367"/>
    </row>
    <row r="663" spans="1:157" ht="12.9" customHeight="1">
      <c r="A663" s="22"/>
      <c r="B663" t="s">
        <v>315</v>
      </c>
      <c r="G663" s="1385" t="s">
        <v>2775</v>
      </c>
      <c r="H663" s="1386"/>
      <c r="I663" s="1386"/>
      <c r="J663" s="1386"/>
      <c r="K663" s="1386"/>
      <c r="L663" s="1386"/>
      <c r="O663" s="33" t="s">
        <v>205</v>
      </c>
      <c r="P663" s="1370"/>
      <c r="Q663" s="1370"/>
      <c r="R663" s="1370"/>
      <c r="T663" s="22"/>
      <c r="U663" t="s">
        <v>315</v>
      </c>
      <c r="Z663" s="1385" t="s">
        <v>2775</v>
      </c>
      <c r="AA663" s="1386"/>
      <c r="AB663" s="1386"/>
      <c r="AC663" s="1386"/>
      <c r="AD663" s="1386"/>
      <c r="AE663" s="1386"/>
      <c r="AH663" s="33" t="s">
        <v>205</v>
      </c>
      <c r="AI663" s="1370"/>
      <c r="AJ663" s="1370"/>
      <c r="AK663" s="1370"/>
      <c r="AZ663" s="34"/>
      <c r="BA663" s="34"/>
      <c r="BB663" s="34"/>
      <c r="BC663" s="34"/>
      <c r="BD663" s="34"/>
      <c r="BE663" s="34"/>
      <c r="BF663" s="34"/>
      <c r="BG663" s="34"/>
      <c r="BH663" s="34"/>
      <c r="BI663" s="34"/>
      <c r="BJ663" s="34"/>
      <c r="BK663" s="34"/>
      <c r="BL663" s="34"/>
      <c r="BM663" s="34"/>
      <c r="DX663" s="1367" t="e">
        <f t="shared" si="4"/>
        <v>#VALUE!</v>
      </c>
      <c r="DY663" s="1367"/>
      <c r="DZ663" s="1367"/>
      <c r="EA663" s="1367"/>
      <c r="EB663" s="1367"/>
      <c r="EC663" s="1367" t="e">
        <f t="shared" si="5"/>
        <v>#VALUE!</v>
      </c>
      <c r="ED663" s="1367"/>
      <c r="EE663" s="1367"/>
      <c r="EF663" s="1367"/>
      <c r="EG663" s="1367"/>
      <c r="EH663" s="1367" t="e">
        <f t="shared" si="6"/>
        <v>#VALUE!</v>
      </c>
      <c r="EI663" s="1367"/>
      <c r="EJ663" s="1367"/>
      <c r="EK663" s="1367"/>
      <c r="EL663" s="1367"/>
      <c r="EM663" s="1367" t="e">
        <f t="shared" si="7"/>
        <v>#VALUE!</v>
      </c>
      <c r="EN663" s="1367"/>
      <c r="EO663" s="1367"/>
      <c r="EP663" s="1367"/>
      <c r="EQ663" s="1367"/>
      <c r="ER663" s="1367" t="e">
        <f t="shared" si="8"/>
        <v>#VALUE!</v>
      </c>
      <c r="ES663" s="1367"/>
      <c r="ET663" s="1367"/>
      <c r="EU663" s="1367"/>
      <c r="EV663" s="1367"/>
      <c r="EW663" s="1367" t="e">
        <f t="shared" si="9"/>
        <v>#VALUE!</v>
      </c>
      <c r="EX663" s="1367"/>
      <c r="EY663" s="1367"/>
      <c r="EZ663" s="1367"/>
      <c r="FA663" s="1367"/>
    </row>
    <row r="664" spans="1:157" ht="12.9" customHeight="1">
      <c r="A664" s="22"/>
      <c r="B664" t="s">
        <v>18</v>
      </c>
      <c r="H664" s="1426" t="s">
        <v>2777</v>
      </c>
      <c r="I664" s="1427"/>
      <c r="J664" s="1427"/>
      <c r="K664" s="1427"/>
      <c r="L664" s="1427"/>
      <c r="M664" s="1427"/>
      <c r="N664" s="1427"/>
      <c r="O664" s="1427"/>
      <c r="P664" s="1427"/>
      <c r="Q664" s="1427"/>
      <c r="R664" s="1427"/>
      <c r="T664" s="22"/>
      <c r="U664" t="s">
        <v>18</v>
      </c>
      <c r="AA664" s="1427" t="s">
        <v>2776</v>
      </c>
      <c r="AB664" s="1427"/>
      <c r="AC664" s="1427"/>
      <c r="AD664" s="1427"/>
      <c r="AE664" s="1427"/>
      <c r="AF664" s="1427"/>
      <c r="AG664" s="1427"/>
      <c r="AH664" s="1427"/>
      <c r="AI664" s="1427"/>
      <c r="AJ664" s="1427"/>
      <c r="AK664" s="1427"/>
      <c r="AZ664" s="34"/>
      <c r="BA664" s="34"/>
      <c r="BB664" s="34"/>
      <c r="BC664" s="34"/>
      <c r="BD664" s="34"/>
      <c r="BE664" s="34"/>
      <c r="BF664" s="34"/>
      <c r="BG664" s="34"/>
      <c r="BH664" s="34"/>
      <c r="BI664" s="34"/>
      <c r="BJ664" s="34"/>
      <c r="BK664" s="34"/>
      <c r="BL664" s="34"/>
      <c r="BM664" s="34"/>
      <c r="DX664" s="1367" t="e">
        <f t="shared" si="4"/>
        <v>#VALUE!</v>
      </c>
      <c r="DY664" s="1367"/>
      <c r="DZ664" s="1367"/>
      <c r="EA664" s="1367"/>
      <c r="EB664" s="1367"/>
      <c r="EC664" s="1367" t="e">
        <f t="shared" si="5"/>
        <v>#VALUE!</v>
      </c>
      <c r="ED664" s="1367"/>
      <c r="EE664" s="1367"/>
      <c r="EF664" s="1367"/>
      <c r="EG664" s="1367"/>
      <c r="EH664" s="1367" t="e">
        <f t="shared" si="6"/>
        <v>#VALUE!</v>
      </c>
      <c r="EI664" s="1367"/>
      <c r="EJ664" s="1367"/>
      <c r="EK664" s="1367"/>
      <c r="EL664" s="1367"/>
      <c r="EM664" s="1367" t="e">
        <f t="shared" si="7"/>
        <v>#VALUE!</v>
      </c>
      <c r="EN664" s="1367"/>
      <c r="EO664" s="1367"/>
      <c r="EP664" s="1367"/>
      <c r="EQ664" s="1367"/>
      <c r="ER664" s="1367" t="e">
        <f t="shared" si="8"/>
        <v>#VALUE!</v>
      </c>
      <c r="ES664" s="1367"/>
      <c r="ET664" s="1367"/>
      <c r="EU664" s="1367"/>
      <c r="EV664" s="1367"/>
      <c r="EW664" s="1367" t="e">
        <f t="shared" si="9"/>
        <v>#VALUE!</v>
      </c>
      <c r="EX664" s="1367"/>
      <c r="EY664" s="1367"/>
      <c r="EZ664" s="1367"/>
      <c r="FA664" s="1367"/>
    </row>
    <row r="665" spans="1:157" ht="12.9" customHeight="1">
      <c r="A665" s="22"/>
      <c r="B665" t="s">
        <v>20</v>
      </c>
      <c r="N665" s="1381" t="s">
        <v>544</v>
      </c>
      <c r="O665" s="1381"/>
      <c r="T665" s="22"/>
      <c r="U665" t="s">
        <v>20</v>
      </c>
      <c r="AG665" s="1381" t="s">
        <v>544</v>
      </c>
      <c r="AH665" s="1381"/>
      <c r="AZ665" s="34"/>
      <c r="BA665" s="34"/>
      <c r="BB665" s="34"/>
      <c r="BC665" s="34"/>
      <c r="BD665" s="34"/>
      <c r="BE665" s="34"/>
      <c r="BF665" s="34"/>
      <c r="BG665" s="34"/>
      <c r="BH665" s="34"/>
      <c r="BI665" s="34"/>
      <c r="BJ665" s="34"/>
      <c r="BK665" s="34"/>
      <c r="BL665" s="34"/>
      <c r="BM665" s="34"/>
      <c r="DX665" s="1367" t="e">
        <f t="shared" si="4"/>
        <v>#VALUE!</v>
      </c>
      <c r="DY665" s="1367"/>
      <c r="DZ665" s="1367"/>
      <c r="EA665" s="1367"/>
      <c r="EB665" s="1367"/>
      <c r="EC665" s="1367" t="e">
        <f t="shared" si="5"/>
        <v>#VALUE!</v>
      </c>
      <c r="ED665" s="1367"/>
      <c r="EE665" s="1367"/>
      <c r="EF665" s="1367"/>
      <c r="EG665" s="1367"/>
      <c r="EH665" s="1367" t="e">
        <f t="shared" si="6"/>
        <v>#VALUE!</v>
      </c>
      <c r="EI665" s="1367"/>
      <c r="EJ665" s="1367"/>
      <c r="EK665" s="1367"/>
      <c r="EL665" s="1367"/>
      <c r="EM665" s="1367" t="e">
        <f t="shared" si="7"/>
        <v>#VALUE!</v>
      </c>
      <c r="EN665" s="1367"/>
      <c r="EO665" s="1367"/>
      <c r="EP665" s="1367"/>
      <c r="EQ665" s="1367"/>
      <c r="ER665" s="1367" t="e">
        <f t="shared" si="8"/>
        <v>#VALUE!</v>
      </c>
      <c r="ES665" s="1367"/>
      <c r="ET665" s="1367"/>
      <c r="EU665" s="1367"/>
      <c r="EV665" s="1367"/>
      <c r="EW665" s="1367" t="e">
        <f t="shared" si="9"/>
        <v>#VALUE!</v>
      </c>
      <c r="EX665" s="1367"/>
      <c r="EY665" s="1367"/>
      <c r="EZ665" s="1367"/>
      <c r="FA665" s="1367"/>
    </row>
    <row r="666" spans="1:157" ht="12.9" customHeight="1">
      <c r="A666" s="22"/>
      <c r="T666" s="22"/>
      <c r="AZ666" s="34"/>
      <c r="BA666" s="34"/>
      <c r="BB666" s="34"/>
      <c r="BC666" s="34"/>
      <c r="BD666" s="34"/>
      <c r="BE666" s="34"/>
      <c r="BF666" s="34"/>
      <c r="BG666" s="34"/>
      <c r="BH666" s="34"/>
      <c r="BI666" s="34"/>
      <c r="BJ666" s="34"/>
      <c r="BK666" s="34"/>
      <c r="BL666" s="34"/>
      <c r="BM666" s="34"/>
      <c r="DX666" s="1367" t="e">
        <f t="shared" si="4"/>
        <v>#VALUE!</v>
      </c>
      <c r="DY666" s="1367"/>
      <c r="DZ666" s="1367"/>
      <c r="EA666" s="1367"/>
      <c r="EB666" s="1367"/>
      <c r="EC666" s="1367" t="e">
        <f t="shared" si="5"/>
        <v>#VALUE!</v>
      </c>
      <c r="ED666" s="1367"/>
      <c r="EE666" s="1367"/>
      <c r="EF666" s="1367"/>
      <c r="EG666" s="1367"/>
      <c r="EH666" s="1367" t="e">
        <f t="shared" si="6"/>
        <v>#VALUE!</v>
      </c>
      <c r="EI666" s="1367"/>
      <c r="EJ666" s="1367"/>
      <c r="EK666" s="1367"/>
      <c r="EL666" s="1367"/>
      <c r="EM666" s="1367" t="e">
        <f t="shared" si="7"/>
        <v>#VALUE!</v>
      </c>
      <c r="EN666" s="1367"/>
      <c r="EO666" s="1367"/>
      <c r="EP666" s="1367"/>
      <c r="EQ666" s="1367"/>
      <c r="ER666" s="1367" t="e">
        <f t="shared" si="8"/>
        <v>#VALUE!</v>
      </c>
      <c r="ES666" s="1367"/>
      <c r="ET666" s="1367"/>
      <c r="EU666" s="1367"/>
      <c r="EV666" s="1367"/>
      <c r="EW666" s="1367" t="e">
        <f t="shared" si="9"/>
        <v>#VALUE!</v>
      </c>
      <c r="EX666" s="1367"/>
      <c r="EY666" s="1367"/>
      <c r="EZ666" s="1367"/>
      <c r="FA666" s="1367"/>
    </row>
    <row r="667" spans="1:157" ht="12.9" customHeight="1">
      <c r="A667" s="55" t="s">
        <v>761</v>
      </c>
      <c r="B667" t="s">
        <v>462</v>
      </c>
      <c r="G667" s="1371" t="str">
        <f>C639</f>
        <v>City of Richmond</v>
      </c>
      <c r="H667" s="1371"/>
      <c r="I667" s="1371"/>
      <c r="J667" s="1371"/>
      <c r="K667" s="1371"/>
      <c r="L667" s="1371"/>
      <c r="M667" s="1371"/>
      <c r="N667" s="1371"/>
      <c r="O667" s="1371"/>
      <c r="P667" s="1371"/>
      <c r="Q667" s="1371"/>
      <c r="R667" s="1371"/>
      <c r="T667" s="55" t="s">
        <v>583</v>
      </c>
      <c r="U667" t="s">
        <v>462</v>
      </c>
      <c r="Z667" s="1371" t="str">
        <f>C640</f>
        <v>Pacific West Communities, Inc.</v>
      </c>
      <c r="AA667" s="1371"/>
      <c r="AB667" s="1371"/>
      <c r="AC667" s="1371"/>
      <c r="AD667" s="1371"/>
      <c r="AE667" s="1371"/>
      <c r="AF667" s="1371"/>
      <c r="AG667" s="1371"/>
      <c r="AH667" s="1371"/>
      <c r="AI667" s="1371"/>
      <c r="AJ667" s="1371"/>
      <c r="AK667" s="1371"/>
      <c r="AZ667" s="34"/>
      <c r="BA667" s="34"/>
      <c r="BB667" s="34"/>
      <c r="BC667" s="34"/>
      <c r="BD667" s="34"/>
      <c r="BE667" s="34"/>
      <c r="BF667" s="34"/>
      <c r="BG667" s="34"/>
      <c r="BH667" s="34"/>
      <c r="BI667" s="34"/>
      <c r="BJ667" s="34"/>
      <c r="BK667" s="34"/>
      <c r="BL667" s="34"/>
      <c r="BM667" s="34"/>
      <c r="DX667" s="1367" t="e">
        <f t="shared" si="4"/>
        <v>#VALUE!</v>
      </c>
      <c r="DY667" s="1367"/>
      <c r="DZ667" s="1367"/>
      <c r="EA667" s="1367"/>
      <c r="EB667" s="1367"/>
      <c r="EC667" s="1367" t="e">
        <f t="shared" si="5"/>
        <v>#VALUE!</v>
      </c>
      <c r="ED667" s="1367"/>
      <c r="EE667" s="1367"/>
      <c r="EF667" s="1367"/>
      <c r="EG667" s="1367"/>
      <c r="EH667" s="1367" t="e">
        <f t="shared" si="6"/>
        <v>#VALUE!</v>
      </c>
      <c r="EI667" s="1367"/>
      <c r="EJ667" s="1367"/>
      <c r="EK667" s="1367"/>
      <c r="EL667" s="1367"/>
      <c r="EM667" s="1367" t="e">
        <f t="shared" si="7"/>
        <v>#VALUE!</v>
      </c>
      <c r="EN667" s="1367"/>
      <c r="EO667" s="1367"/>
      <c r="EP667" s="1367"/>
      <c r="EQ667" s="1367"/>
      <c r="ER667" s="1367" t="e">
        <f t="shared" si="8"/>
        <v>#VALUE!</v>
      </c>
      <c r="ES667" s="1367"/>
      <c r="ET667" s="1367"/>
      <c r="EU667" s="1367"/>
      <c r="EV667" s="1367"/>
      <c r="EW667" s="1367" t="e">
        <f t="shared" si="9"/>
        <v>#VALUE!</v>
      </c>
      <c r="EX667" s="1367"/>
      <c r="EY667" s="1367"/>
      <c r="EZ667" s="1367"/>
      <c r="FA667" s="1367"/>
    </row>
    <row r="668" spans="1:157" ht="12.9" customHeight="1">
      <c r="A668" s="22"/>
      <c r="B668" t="s">
        <v>85</v>
      </c>
      <c r="G668" s="1427" t="s">
        <v>2778</v>
      </c>
      <c r="H668" s="1427"/>
      <c r="I668" s="1427"/>
      <c r="J668" s="1427"/>
      <c r="K668" s="1427"/>
      <c r="L668" s="1427"/>
      <c r="M668" s="1427"/>
      <c r="N668" s="1427"/>
      <c r="O668" s="1427"/>
      <c r="P668" s="1427"/>
      <c r="Q668" s="1427"/>
      <c r="R668" s="1427"/>
      <c r="T668" s="22"/>
      <c r="U668" t="s">
        <v>85</v>
      </c>
      <c r="Z668" s="1427" t="s">
        <v>2654</v>
      </c>
      <c r="AA668" s="1427"/>
      <c r="AB668" s="1427"/>
      <c r="AC668" s="1427"/>
      <c r="AD668" s="1427"/>
      <c r="AE668" s="1427"/>
      <c r="AF668" s="1427"/>
      <c r="AG668" s="1427"/>
      <c r="AH668" s="1427"/>
      <c r="AI668" s="1427"/>
      <c r="AJ668" s="1427"/>
      <c r="AK668" s="1427"/>
      <c r="AZ668" s="34"/>
      <c r="BA668" s="34"/>
      <c r="BB668" s="34"/>
      <c r="BC668" s="34"/>
      <c r="BD668" s="34"/>
      <c r="BE668" s="34"/>
      <c r="BF668" s="34"/>
      <c r="BG668" s="34"/>
      <c r="BH668" s="34"/>
      <c r="BI668" s="34"/>
      <c r="BJ668" s="34"/>
      <c r="BK668" s="34"/>
      <c r="BL668" s="34"/>
      <c r="BM668" s="34"/>
      <c r="DX668" s="1367" t="e">
        <f t="shared" si="4"/>
        <v>#VALUE!</v>
      </c>
      <c r="DY668" s="1367"/>
      <c r="DZ668" s="1367"/>
      <c r="EA668" s="1367"/>
      <c r="EB668" s="1367"/>
      <c r="EC668" s="1367" t="e">
        <f t="shared" si="5"/>
        <v>#VALUE!</v>
      </c>
      <c r="ED668" s="1367"/>
      <c r="EE668" s="1367"/>
      <c r="EF668" s="1367"/>
      <c r="EG668" s="1367"/>
      <c r="EH668" s="1367" t="e">
        <f t="shared" si="6"/>
        <v>#VALUE!</v>
      </c>
      <c r="EI668" s="1367"/>
      <c r="EJ668" s="1367"/>
      <c r="EK668" s="1367"/>
      <c r="EL668" s="1367"/>
      <c r="EM668" s="1367" t="e">
        <f t="shared" si="7"/>
        <v>#VALUE!</v>
      </c>
      <c r="EN668" s="1367"/>
      <c r="EO668" s="1367"/>
      <c r="EP668" s="1367"/>
      <c r="EQ668" s="1367"/>
      <c r="ER668" s="1367" t="e">
        <f t="shared" si="8"/>
        <v>#VALUE!</v>
      </c>
      <c r="ES668" s="1367"/>
      <c r="ET668" s="1367"/>
      <c r="EU668" s="1367"/>
      <c r="EV668" s="1367"/>
      <c r="EW668" s="1367" t="e">
        <f t="shared" si="9"/>
        <v>#VALUE!</v>
      </c>
      <c r="EX668" s="1367"/>
      <c r="EY668" s="1367"/>
      <c r="EZ668" s="1367"/>
      <c r="FA668" s="1367"/>
    </row>
    <row r="669" spans="1:157" ht="12.9" customHeight="1">
      <c r="A669" s="22"/>
      <c r="B669" t="s">
        <v>579</v>
      </c>
      <c r="G669" s="1427" t="s">
        <v>2762</v>
      </c>
      <c r="H669" s="1427"/>
      <c r="I669" s="1427"/>
      <c r="J669" s="1427"/>
      <c r="K669" s="1427"/>
      <c r="L669" s="1427"/>
      <c r="M669" s="1427"/>
      <c r="N669" s="1427"/>
      <c r="O669" s="1427"/>
      <c r="P669" s="1427"/>
      <c r="Q669" s="1427"/>
      <c r="R669" s="1427"/>
      <c r="T669" s="22"/>
      <c r="U669" t="s">
        <v>579</v>
      </c>
      <c r="Z669" s="1369" t="s">
        <v>2671</v>
      </c>
      <c r="AA669" s="1369"/>
      <c r="AB669" s="1369"/>
      <c r="AC669" s="1369"/>
      <c r="AD669" s="1369"/>
      <c r="AE669" s="1369"/>
      <c r="AF669" s="1369"/>
      <c r="AG669" s="1369"/>
      <c r="AH669" s="1369"/>
      <c r="AI669" s="1369"/>
      <c r="AJ669" s="1369"/>
      <c r="AK669" s="1369"/>
      <c r="AZ669" s="34"/>
      <c r="BA669" s="34"/>
      <c r="BB669" s="34"/>
      <c r="BC669" s="34"/>
      <c r="BD669" s="34"/>
      <c r="BE669" s="34"/>
      <c r="BF669" s="34"/>
      <c r="BG669" s="34"/>
      <c r="BH669" s="34"/>
      <c r="BI669" s="34"/>
      <c r="BJ669" s="34"/>
      <c r="BK669" s="34"/>
      <c r="BL669" s="34"/>
      <c r="BM669" s="34"/>
      <c r="DX669" s="1367" t="e">
        <f t="shared" si="4"/>
        <v>#VALUE!</v>
      </c>
      <c r="DY669" s="1367"/>
      <c r="DZ669" s="1367"/>
      <c r="EA669" s="1367"/>
      <c r="EB669" s="1367"/>
      <c r="EC669" s="1367" t="e">
        <f t="shared" si="5"/>
        <v>#VALUE!</v>
      </c>
      <c r="ED669" s="1367"/>
      <c r="EE669" s="1367"/>
      <c r="EF669" s="1367"/>
      <c r="EG669" s="1367"/>
      <c r="EH669" s="1367" t="e">
        <f t="shared" si="6"/>
        <v>#VALUE!</v>
      </c>
      <c r="EI669" s="1367"/>
      <c r="EJ669" s="1367"/>
      <c r="EK669" s="1367"/>
      <c r="EL669" s="1367"/>
      <c r="EM669" s="1367" t="e">
        <f t="shared" si="7"/>
        <v>#VALUE!</v>
      </c>
      <c r="EN669" s="1367"/>
      <c r="EO669" s="1367"/>
      <c r="EP669" s="1367"/>
      <c r="EQ669" s="1367"/>
      <c r="ER669" s="1367" t="e">
        <f t="shared" si="8"/>
        <v>#VALUE!</v>
      </c>
      <c r="ES669" s="1367"/>
      <c r="ET669" s="1367"/>
      <c r="EU669" s="1367"/>
      <c r="EV669" s="1367"/>
      <c r="EW669" s="1367" t="e">
        <f t="shared" si="9"/>
        <v>#VALUE!</v>
      </c>
      <c r="EX669" s="1367"/>
      <c r="EY669" s="1367"/>
      <c r="EZ669" s="1367"/>
      <c r="FA669" s="1367"/>
    </row>
    <row r="670" spans="1:157" ht="12.9" customHeight="1">
      <c r="A670" s="22"/>
      <c r="B670" t="s">
        <v>17</v>
      </c>
      <c r="G670" s="1427" t="s">
        <v>2779</v>
      </c>
      <c r="H670" s="1427"/>
      <c r="I670" s="1427"/>
      <c r="J670" s="1427"/>
      <c r="K670" s="1427"/>
      <c r="L670" s="1427"/>
      <c r="M670" s="1427"/>
      <c r="N670" s="1427"/>
      <c r="O670" s="1427"/>
      <c r="P670" s="1427"/>
      <c r="Q670" s="1427"/>
      <c r="R670" s="1427"/>
      <c r="T670" s="22"/>
      <c r="U670" t="s">
        <v>17</v>
      </c>
      <c r="Z670" s="1369" t="s">
        <v>2644</v>
      </c>
      <c r="AA670" s="1369"/>
      <c r="AB670" s="1369"/>
      <c r="AC670" s="1369"/>
      <c r="AD670" s="1369"/>
      <c r="AE670" s="1369"/>
      <c r="AF670" s="1369"/>
      <c r="AG670" s="1369"/>
      <c r="AH670" s="1369"/>
      <c r="AI670" s="1369"/>
      <c r="AJ670" s="1369"/>
      <c r="AK670" s="136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4"/>
        <v>#VALUE!</v>
      </c>
      <c r="DY670" s="1367"/>
      <c r="DZ670" s="1367"/>
      <c r="EA670" s="1367"/>
      <c r="EB670" s="1367"/>
      <c r="EC670" s="1367" t="e">
        <f t="shared" si="5"/>
        <v>#VALUE!</v>
      </c>
      <c r="ED670" s="1367"/>
      <c r="EE670" s="1367"/>
      <c r="EF670" s="1367"/>
      <c r="EG670" s="1367"/>
      <c r="EH670" s="1367" t="e">
        <f t="shared" si="6"/>
        <v>#VALUE!</v>
      </c>
      <c r="EI670" s="1367"/>
      <c r="EJ670" s="1367"/>
      <c r="EK670" s="1367"/>
      <c r="EL670" s="1367"/>
      <c r="EM670" s="1367" t="e">
        <f t="shared" si="7"/>
        <v>#VALUE!</v>
      </c>
      <c r="EN670" s="1367"/>
      <c r="EO670" s="1367"/>
      <c r="EP670" s="1367"/>
      <c r="EQ670" s="1367"/>
      <c r="ER670" s="1367" t="e">
        <f t="shared" si="8"/>
        <v>#VALUE!</v>
      </c>
      <c r="ES670" s="1367"/>
      <c r="ET670" s="1367"/>
      <c r="EU670" s="1367"/>
      <c r="EV670" s="1367"/>
      <c r="EW670" s="1367" t="e">
        <f t="shared" si="9"/>
        <v>#VALUE!</v>
      </c>
      <c r="EX670" s="1367"/>
      <c r="EY670" s="1367"/>
      <c r="EZ670" s="1367"/>
      <c r="FA670" s="1367"/>
    </row>
    <row r="671" spans="1:157" ht="12.9" customHeight="1">
      <c r="A671" s="22"/>
      <c r="B671" t="s">
        <v>315</v>
      </c>
      <c r="G671" s="1385" t="s">
        <v>2780</v>
      </c>
      <c r="H671" s="1386"/>
      <c r="I671" s="1386"/>
      <c r="J671" s="1386"/>
      <c r="K671" s="1386"/>
      <c r="L671" s="1386"/>
      <c r="O671" s="33" t="s">
        <v>205</v>
      </c>
      <c r="P671" s="1370"/>
      <c r="Q671" s="1370"/>
      <c r="R671" s="1370"/>
      <c r="T671" s="22"/>
      <c r="U671" t="s">
        <v>315</v>
      </c>
      <c r="Z671" s="1385" t="s">
        <v>2656</v>
      </c>
      <c r="AA671" s="1386"/>
      <c r="AB671" s="1386"/>
      <c r="AC671" s="1386"/>
      <c r="AD671" s="1386"/>
      <c r="AE671" s="1386"/>
      <c r="AH671" s="33" t="s">
        <v>205</v>
      </c>
      <c r="AI671" s="1370">
        <v>3015</v>
      </c>
      <c r="AJ671" s="1370"/>
      <c r="AK671" s="137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4"/>
        <v>#VALUE!</v>
      </c>
      <c r="DY671" s="1367"/>
      <c r="DZ671" s="1367"/>
      <c r="EA671" s="1367"/>
      <c r="EB671" s="1367"/>
      <c r="EC671" s="1367" t="e">
        <f t="shared" si="5"/>
        <v>#VALUE!</v>
      </c>
      <c r="ED671" s="1367"/>
      <c r="EE671" s="1367"/>
      <c r="EF671" s="1367"/>
      <c r="EG671" s="1367"/>
      <c r="EH671" s="1367" t="e">
        <f t="shared" si="6"/>
        <v>#VALUE!</v>
      </c>
      <c r="EI671" s="1367"/>
      <c r="EJ671" s="1367"/>
      <c r="EK671" s="1367"/>
      <c r="EL671" s="1367"/>
      <c r="EM671" s="1367" t="e">
        <f t="shared" si="7"/>
        <v>#VALUE!</v>
      </c>
      <c r="EN671" s="1367"/>
      <c r="EO671" s="1367"/>
      <c r="EP671" s="1367"/>
      <c r="EQ671" s="1367"/>
      <c r="ER671" s="1367" t="e">
        <f t="shared" si="8"/>
        <v>#VALUE!</v>
      </c>
      <c r="ES671" s="1367"/>
      <c r="ET671" s="1367"/>
      <c r="EU671" s="1367"/>
      <c r="EV671" s="1367"/>
      <c r="EW671" s="1367" t="e">
        <f t="shared" si="9"/>
        <v>#VALUE!</v>
      </c>
      <c r="EX671" s="1367"/>
      <c r="EY671" s="1367"/>
      <c r="EZ671" s="1367"/>
      <c r="FA671" s="1367"/>
    </row>
    <row r="672" spans="1:157" ht="12.9" customHeight="1">
      <c r="A672" s="22"/>
      <c r="B672" t="s">
        <v>18</v>
      </c>
      <c r="H672" s="1427" t="s">
        <v>2781</v>
      </c>
      <c r="I672" s="1427"/>
      <c r="J672" s="1427"/>
      <c r="K672" s="1427"/>
      <c r="L672" s="1427"/>
      <c r="M672" s="1427"/>
      <c r="N672" s="1427"/>
      <c r="O672" s="1427"/>
      <c r="P672" s="1427"/>
      <c r="Q672" s="1427"/>
      <c r="R672" s="1427"/>
      <c r="T672" s="22"/>
      <c r="U672" t="s">
        <v>18</v>
      </c>
      <c r="AA672" s="1427" t="s">
        <v>2262</v>
      </c>
      <c r="AB672" s="1427"/>
      <c r="AC672" s="1427"/>
      <c r="AD672" s="1427"/>
      <c r="AE672" s="1427"/>
      <c r="AF672" s="1427"/>
      <c r="AG672" s="1427"/>
      <c r="AH672" s="1427"/>
      <c r="AI672" s="1427"/>
      <c r="AJ672" s="1427"/>
      <c r="AK672" s="142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4"/>
        <v>#VALUE!</v>
      </c>
      <c r="DY672" s="1367"/>
      <c r="DZ672" s="1367"/>
      <c r="EA672" s="1367"/>
      <c r="EB672" s="1367"/>
      <c r="EC672" s="1367" t="e">
        <f t="shared" si="5"/>
        <v>#VALUE!</v>
      </c>
      <c r="ED672" s="1367"/>
      <c r="EE672" s="1367"/>
      <c r="EF672" s="1367"/>
      <c r="EG672" s="1367"/>
      <c r="EH672" s="1367" t="e">
        <f t="shared" si="6"/>
        <v>#VALUE!</v>
      </c>
      <c r="EI672" s="1367"/>
      <c r="EJ672" s="1367"/>
      <c r="EK672" s="1367"/>
      <c r="EL672" s="1367"/>
      <c r="EM672" s="1367" t="e">
        <f t="shared" si="7"/>
        <v>#VALUE!</v>
      </c>
      <c r="EN672" s="1367"/>
      <c r="EO672" s="1367"/>
      <c r="EP672" s="1367"/>
      <c r="EQ672" s="1367"/>
      <c r="ER672" s="1367" t="e">
        <f t="shared" si="8"/>
        <v>#VALUE!</v>
      </c>
      <c r="ES672" s="1367"/>
      <c r="ET672" s="1367"/>
      <c r="EU672" s="1367"/>
      <c r="EV672" s="1367"/>
      <c r="EW672" s="1367" t="e">
        <f t="shared" si="9"/>
        <v>#VALUE!</v>
      </c>
      <c r="EX672" s="1367"/>
      <c r="EY672" s="1367"/>
      <c r="EZ672" s="1367"/>
      <c r="FA672" s="1367"/>
    </row>
    <row r="673" spans="1:157" ht="12.9" customHeight="1">
      <c r="A673" s="22"/>
      <c r="B673" t="s">
        <v>20</v>
      </c>
      <c r="N673" s="1381" t="s">
        <v>544</v>
      </c>
      <c r="O673" s="1381"/>
      <c r="T673" s="22"/>
      <c r="U673" t="s">
        <v>20</v>
      </c>
      <c r="AG673" s="1381" t="s">
        <v>544</v>
      </c>
      <c r="AH673" s="138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4"/>
        <v>#VALUE!</v>
      </c>
      <c r="DY673" s="1367"/>
      <c r="DZ673" s="1367"/>
      <c r="EA673" s="1367"/>
      <c r="EB673" s="1367"/>
      <c r="EC673" s="1367" t="e">
        <f t="shared" si="5"/>
        <v>#VALUE!</v>
      </c>
      <c r="ED673" s="1367"/>
      <c r="EE673" s="1367"/>
      <c r="EF673" s="1367"/>
      <c r="EG673" s="1367"/>
      <c r="EH673" s="1367" t="e">
        <f t="shared" si="6"/>
        <v>#VALUE!</v>
      </c>
      <c r="EI673" s="1367"/>
      <c r="EJ673" s="1367"/>
      <c r="EK673" s="1367"/>
      <c r="EL673" s="1367"/>
      <c r="EM673" s="1367" t="e">
        <f t="shared" si="7"/>
        <v>#VALUE!</v>
      </c>
      <c r="EN673" s="1367"/>
      <c r="EO673" s="1367"/>
      <c r="EP673" s="1367"/>
      <c r="EQ673" s="1367"/>
      <c r="ER673" s="1367" t="e">
        <f t="shared" si="8"/>
        <v>#VALUE!</v>
      </c>
      <c r="ES673" s="1367"/>
      <c r="ET673" s="1367"/>
      <c r="EU673" s="1367"/>
      <c r="EV673" s="1367"/>
      <c r="EW673" s="1367" t="e">
        <f t="shared" si="9"/>
        <v>#VALUE!</v>
      </c>
      <c r="EX673" s="1367"/>
      <c r="EY673" s="1367"/>
      <c r="EZ673" s="1367"/>
      <c r="FA673" s="1367"/>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4"/>
        <v>#VALUE!</v>
      </c>
      <c r="DY674" s="1367"/>
      <c r="DZ674" s="1367"/>
      <c r="EA674" s="1367"/>
      <c r="EB674" s="1367"/>
      <c r="EC674" s="1367" t="e">
        <f t="shared" si="5"/>
        <v>#VALUE!</v>
      </c>
      <c r="ED674" s="1367"/>
      <c r="EE674" s="1367"/>
      <c r="EF674" s="1367"/>
      <c r="EG674" s="1367"/>
      <c r="EH674" s="1367" t="e">
        <f t="shared" si="6"/>
        <v>#VALUE!</v>
      </c>
      <c r="EI674" s="1367"/>
      <c r="EJ674" s="1367"/>
      <c r="EK674" s="1367"/>
      <c r="EL674" s="1367"/>
      <c r="EM674" s="1367" t="e">
        <f t="shared" si="7"/>
        <v>#VALUE!</v>
      </c>
      <c r="EN674" s="1367"/>
      <c r="EO674" s="1367"/>
      <c r="EP674" s="1367"/>
      <c r="EQ674" s="1367"/>
      <c r="ER674" s="1367" t="e">
        <f t="shared" si="8"/>
        <v>#VALUE!</v>
      </c>
      <c r="ES674" s="1367"/>
      <c r="ET674" s="1367"/>
      <c r="EU674" s="1367"/>
      <c r="EV674" s="1367"/>
      <c r="EW674" s="1367" t="e">
        <f t="shared" si="9"/>
        <v>#VALUE!</v>
      </c>
      <c r="EX674" s="1367"/>
      <c r="EY674" s="1367"/>
      <c r="EZ674" s="1367"/>
      <c r="FA674" s="1367"/>
    </row>
    <row r="675" spans="1:157" ht="12.9" customHeight="1">
      <c r="A675" s="55" t="s">
        <v>454</v>
      </c>
      <c r="B675" t="s">
        <v>462</v>
      </c>
      <c r="G675" s="1371">
        <f>C641</f>
        <v>0</v>
      </c>
      <c r="H675" s="1371"/>
      <c r="I675" s="1371"/>
      <c r="J675" s="1371"/>
      <c r="K675" s="1371"/>
      <c r="L675" s="1371"/>
      <c r="M675" s="1371"/>
      <c r="N675" s="1371"/>
      <c r="O675" s="1371"/>
      <c r="P675" s="1371"/>
      <c r="Q675" s="1371"/>
      <c r="R675" s="1371"/>
      <c r="T675" s="55" t="s">
        <v>455</v>
      </c>
      <c r="U675" t="s">
        <v>462</v>
      </c>
      <c r="Z675" s="1371">
        <f>C642</f>
        <v>0</v>
      </c>
      <c r="AA675" s="1371"/>
      <c r="AB675" s="1371"/>
      <c r="AC675" s="1371"/>
      <c r="AD675" s="1371"/>
      <c r="AE675" s="1371"/>
      <c r="AF675" s="1371"/>
      <c r="AG675" s="1371"/>
      <c r="AH675" s="1371"/>
      <c r="AI675" s="1371"/>
      <c r="AJ675" s="1371"/>
      <c r="AK675" s="137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4"/>
        <v>#VALUE!</v>
      </c>
      <c r="DY675" s="1367"/>
      <c r="DZ675" s="1367"/>
      <c r="EA675" s="1367"/>
      <c r="EB675" s="1367"/>
      <c r="EC675" s="1367" t="e">
        <f t="shared" si="5"/>
        <v>#VALUE!</v>
      </c>
      <c r="ED675" s="1367"/>
      <c r="EE675" s="1367"/>
      <c r="EF675" s="1367"/>
      <c r="EG675" s="1367"/>
      <c r="EH675" s="1367" t="e">
        <f t="shared" si="6"/>
        <v>#VALUE!</v>
      </c>
      <c r="EI675" s="1367"/>
      <c r="EJ675" s="1367"/>
      <c r="EK675" s="1367"/>
      <c r="EL675" s="1367"/>
      <c r="EM675" s="1367" t="e">
        <f t="shared" si="7"/>
        <v>#VALUE!</v>
      </c>
      <c r="EN675" s="1367"/>
      <c r="EO675" s="1367"/>
      <c r="EP675" s="1367"/>
      <c r="EQ675" s="1367"/>
      <c r="ER675" s="1367" t="e">
        <f t="shared" si="8"/>
        <v>#VALUE!</v>
      </c>
      <c r="ES675" s="1367"/>
      <c r="ET675" s="1367"/>
      <c r="EU675" s="1367"/>
      <c r="EV675" s="1367"/>
      <c r="EW675" s="1367" t="e">
        <f t="shared" si="9"/>
        <v>#VALUE!</v>
      </c>
      <c r="EX675" s="1367"/>
      <c r="EY675" s="1367"/>
      <c r="EZ675" s="1367"/>
      <c r="FA675" s="1367"/>
    </row>
    <row r="676" spans="1:157" ht="12.9" customHeight="1">
      <c r="A676" s="22"/>
      <c r="B676" t="s">
        <v>85</v>
      </c>
      <c r="G676" s="1427"/>
      <c r="H676" s="1427"/>
      <c r="I676" s="1427"/>
      <c r="J676" s="1427"/>
      <c r="K676" s="1427"/>
      <c r="L676" s="1427"/>
      <c r="M676" s="1427"/>
      <c r="N676" s="1427"/>
      <c r="O676" s="1427"/>
      <c r="P676" s="1427"/>
      <c r="Q676" s="1427"/>
      <c r="R676" s="1427"/>
      <c r="T676" s="22"/>
      <c r="U676" t="s">
        <v>85</v>
      </c>
      <c r="Z676" s="1427"/>
      <c r="AA676" s="1427"/>
      <c r="AB676" s="1427"/>
      <c r="AC676" s="1427"/>
      <c r="AD676" s="1427"/>
      <c r="AE676" s="1427"/>
      <c r="AF676" s="1427"/>
      <c r="AG676" s="1427"/>
      <c r="AH676" s="1427"/>
      <c r="AI676" s="1427"/>
      <c r="AJ676" s="1427"/>
      <c r="AK676" s="142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4"/>
        <v>#VALUE!</v>
      </c>
      <c r="DY676" s="1367"/>
      <c r="DZ676" s="1367"/>
      <c r="EA676" s="1367"/>
      <c r="EB676" s="1367"/>
      <c r="EC676" s="1367" t="e">
        <f t="shared" si="5"/>
        <v>#VALUE!</v>
      </c>
      <c r="ED676" s="1367"/>
      <c r="EE676" s="1367"/>
      <c r="EF676" s="1367"/>
      <c r="EG676" s="1367"/>
      <c r="EH676" s="1367" t="e">
        <f t="shared" si="6"/>
        <v>#VALUE!</v>
      </c>
      <c r="EI676" s="1367"/>
      <c r="EJ676" s="1367"/>
      <c r="EK676" s="1367"/>
      <c r="EL676" s="1367"/>
      <c r="EM676" s="1367" t="e">
        <f t="shared" si="7"/>
        <v>#VALUE!</v>
      </c>
      <c r="EN676" s="1367"/>
      <c r="EO676" s="1367"/>
      <c r="EP676" s="1367"/>
      <c r="EQ676" s="1367"/>
      <c r="ER676" s="1367" t="e">
        <f t="shared" si="8"/>
        <v>#VALUE!</v>
      </c>
      <c r="ES676" s="1367"/>
      <c r="ET676" s="1367"/>
      <c r="EU676" s="1367"/>
      <c r="EV676" s="1367"/>
      <c r="EW676" s="1367" t="e">
        <f t="shared" si="9"/>
        <v>#VALUE!</v>
      </c>
      <c r="EX676" s="1367"/>
      <c r="EY676" s="1367"/>
      <c r="EZ676" s="1367"/>
      <c r="FA676" s="1367"/>
    </row>
    <row r="677" spans="1:157" ht="12.9" customHeight="1">
      <c r="A677" s="22"/>
      <c r="B677" t="s">
        <v>579</v>
      </c>
      <c r="G677" s="1427"/>
      <c r="H677" s="1427"/>
      <c r="I677" s="1427"/>
      <c r="J677" s="1427"/>
      <c r="K677" s="1427"/>
      <c r="L677" s="1427"/>
      <c r="M677" s="1427"/>
      <c r="N677" s="1427"/>
      <c r="O677" s="1427"/>
      <c r="P677" s="1427"/>
      <c r="Q677" s="1427"/>
      <c r="R677" s="1427"/>
      <c r="T677" s="22"/>
      <c r="U677" t="s">
        <v>579</v>
      </c>
      <c r="Z677" s="1369"/>
      <c r="AA677" s="1369"/>
      <c r="AB677" s="1369"/>
      <c r="AC677" s="1369"/>
      <c r="AD677" s="1369"/>
      <c r="AE677" s="1369"/>
      <c r="AF677" s="1369"/>
      <c r="AG677" s="1369"/>
      <c r="AH677" s="1369"/>
      <c r="AI677" s="1369"/>
      <c r="AJ677" s="1369"/>
      <c r="AK677" s="136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4"/>
        <v>#VALUE!</v>
      </c>
      <c r="DY677" s="1367"/>
      <c r="DZ677" s="1367"/>
      <c r="EA677" s="1367"/>
      <c r="EB677" s="1367"/>
      <c r="EC677" s="1367" t="e">
        <f t="shared" si="5"/>
        <v>#VALUE!</v>
      </c>
      <c r="ED677" s="1367"/>
      <c r="EE677" s="1367"/>
      <c r="EF677" s="1367"/>
      <c r="EG677" s="1367"/>
      <c r="EH677" s="1367" t="e">
        <f t="shared" si="6"/>
        <v>#VALUE!</v>
      </c>
      <c r="EI677" s="1367"/>
      <c r="EJ677" s="1367"/>
      <c r="EK677" s="1367"/>
      <c r="EL677" s="1367"/>
      <c r="EM677" s="1367" t="e">
        <f t="shared" si="7"/>
        <v>#VALUE!</v>
      </c>
      <c r="EN677" s="1367"/>
      <c r="EO677" s="1367"/>
      <c r="EP677" s="1367"/>
      <c r="EQ677" s="1367"/>
      <c r="ER677" s="1367" t="e">
        <f t="shared" si="8"/>
        <v>#VALUE!</v>
      </c>
      <c r="ES677" s="1367"/>
      <c r="ET677" s="1367"/>
      <c r="EU677" s="1367"/>
      <c r="EV677" s="1367"/>
      <c r="EW677" s="1367" t="e">
        <f t="shared" si="9"/>
        <v>#VALUE!</v>
      </c>
      <c r="EX677" s="1367"/>
      <c r="EY677" s="1367"/>
      <c r="EZ677" s="1367"/>
      <c r="FA677" s="1367"/>
    </row>
    <row r="678" spans="1:157" ht="12.9" customHeight="1">
      <c r="A678" s="22"/>
      <c r="B678" t="s">
        <v>17</v>
      </c>
      <c r="G678" s="1427"/>
      <c r="H678" s="1427"/>
      <c r="I678" s="1427"/>
      <c r="J678" s="1427"/>
      <c r="K678" s="1427"/>
      <c r="L678" s="1427"/>
      <c r="M678" s="1427"/>
      <c r="N678" s="1427"/>
      <c r="O678" s="1427"/>
      <c r="P678" s="1427"/>
      <c r="Q678" s="1427"/>
      <c r="R678" s="1427"/>
      <c r="T678" s="22"/>
      <c r="U678" t="s">
        <v>17</v>
      </c>
      <c r="Z678" s="1369"/>
      <c r="AA678" s="1369"/>
      <c r="AB678" s="1369"/>
      <c r="AC678" s="1369"/>
      <c r="AD678" s="1369"/>
      <c r="AE678" s="1369"/>
      <c r="AF678" s="1369"/>
      <c r="AG678" s="1369"/>
      <c r="AH678" s="1369"/>
      <c r="AI678" s="1369"/>
      <c r="AJ678" s="1369"/>
      <c r="AK678" s="136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835.5454545454545</v>
      </c>
      <c r="DY678" s="1367"/>
      <c r="DZ678" s="1367"/>
      <c r="EA678" s="1367"/>
      <c r="EB678" s="1367"/>
      <c r="EC678" s="1367">
        <f>SUMIF(EC643:EG677,"&gt;0")</f>
        <v>967.80000000000018</v>
      </c>
      <c r="ED678" s="1367"/>
      <c r="EE678" s="1367"/>
      <c r="EF678" s="1367"/>
      <c r="EG678" s="1367"/>
      <c r="EH678" s="1367">
        <f>SUMIF(EH643:EL677,"&gt;0")</f>
        <v>1378.4264705882351</v>
      </c>
      <c r="EI678" s="1367"/>
      <c r="EJ678" s="1367"/>
      <c r="EK678" s="1367"/>
      <c r="EL678" s="1367"/>
      <c r="EM678" s="1367">
        <f>SUMIF(EM643:EQ677,"&gt;0")</f>
        <v>1773.9591836734694</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2.9" customHeight="1">
      <c r="A679" s="22"/>
      <c r="B679" t="s">
        <v>315</v>
      </c>
      <c r="G679" s="1386"/>
      <c r="H679" s="1386"/>
      <c r="I679" s="1386"/>
      <c r="J679" s="1386"/>
      <c r="K679" s="1386"/>
      <c r="L679" s="1386"/>
      <c r="O679" s="33" t="s">
        <v>205</v>
      </c>
      <c r="P679" s="1370"/>
      <c r="Q679" s="1370"/>
      <c r="R679" s="1370"/>
      <c r="T679" s="22"/>
      <c r="U679" t="s">
        <v>315</v>
      </c>
      <c r="Z679" s="1386"/>
      <c r="AA679" s="1386"/>
      <c r="AB679" s="1386"/>
      <c r="AC679" s="1386"/>
      <c r="AD679" s="1386"/>
      <c r="AE679" s="1386"/>
      <c r="AH679" s="33" t="s">
        <v>205</v>
      </c>
      <c r="AI679" s="1370"/>
      <c r="AJ679" s="1370"/>
      <c r="AK679" s="137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27"/>
      <c r="I680" s="1427"/>
      <c r="J680" s="1427"/>
      <c r="K680" s="1427"/>
      <c r="L680" s="1427"/>
      <c r="M680" s="1427"/>
      <c r="N680" s="1427"/>
      <c r="O680" s="1427"/>
      <c r="P680" s="1427"/>
      <c r="Q680" s="1427"/>
      <c r="R680" s="1427"/>
      <c r="T680" s="22"/>
      <c r="U680" t="s">
        <v>18</v>
      </c>
      <c r="AA680" s="1427"/>
      <c r="AB680" s="1427"/>
      <c r="AC680" s="1427"/>
      <c r="AD680" s="1427"/>
      <c r="AE680" s="1427"/>
      <c r="AF680" s="1427"/>
      <c r="AG680" s="1427"/>
      <c r="AH680" s="1427"/>
      <c r="AI680" s="1427"/>
      <c r="AJ680" s="1427"/>
      <c r="AK680" s="142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81" t="s">
        <v>667</v>
      </c>
      <c r="O681" s="1381"/>
      <c r="T681" s="22"/>
      <c r="U681" t="s">
        <v>20</v>
      </c>
      <c r="AG681" s="1381" t="s">
        <v>667</v>
      </c>
      <c r="AH681" s="1381"/>
      <c r="AZ681" s="3"/>
    </row>
    <row r="682" spans="1:157" ht="12.9" customHeight="1">
      <c r="A682" s="22"/>
      <c r="T682" s="22"/>
      <c r="AZ682" s="3"/>
    </row>
    <row r="683" spans="1:157" ht="12.9" customHeight="1">
      <c r="A683" s="55" t="s">
        <v>460</v>
      </c>
      <c r="B683" t="s">
        <v>462</v>
      </c>
      <c r="G683" s="1371">
        <f>C643</f>
        <v>0</v>
      </c>
      <c r="H683" s="1371"/>
      <c r="I683" s="1371"/>
      <c r="J683" s="1371"/>
      <c r="K683" s="1371"/>
      <c r="L683" s="1371"/>
      <c r="M683" s="1371"/>
      <c r="N683" s="1371"/>
      <c r="O683" s="1371"/>
      <c r="P683" s="1371"/>
      <c r="Q683" s="1371"/>
      <c r="R683" s="1371"/>
      <c r="T683" s="55" t="s">
        <v>644</v>
      </c>
      <c r="U683" t="s">
        <v>462</v>
      </c>
      <c r="Z683" s="1371">
        <f>C644</f>
        <v>0</v>
      </c>
      <c r="AA683" s="1371"/>
      <c r="AB683" s="1371"/>
      <c r="AC683" s="1371"/>
      <c r="AD683" s="1371"/>
      <c r="AE683" s="1371"/>
      <c r="AF683" s="1371"/>
      <c r="AG683" s="1371"/>
      <c r="AH683" s="1371"/>
      <c r="AI683" s="1371"/>
      <c r="AJ683" s="1371"/>
      <c r="AK683" s="1371"/>
      <c r="AZ683" s="3"/>
    </row>
    <row r="684" spans="1:157" ht="12.9" customHeight="1">
      <c r="A684" s="22"/>
      <c r="B684" t="s">
        <v>85</v>
      </c>
      <c r="G684" s="1427"/>
      <c r="H684" s="1427"/>
      <c r="I684" s="1427"/>
      <c r="J684" s="1427"/>
      <c r="K684" s="1427"/>
      <c r="L684" s="1427"/>
      <c r="M684" s="1427"/>
      <c r="N684" s="1427"/>
      <c r="O684" s="1427"/>
      <c r="P684" s="1427"/>
      <c r="Q684" s="1427"/>
      <c r="R684" s="1427"/>
      <c r="T684" s="22"/>
      <c r="U684" t="s">
        <v>85</v>
      </c>
      <c r="Z684" s="1427"/>
      <c r="AA684" s="1427"/>
      <c r="AB684" s="1427"/>
      <c r="AC684" s="1427"/>
      <c r="AD684" s="1427"/>
      <c r="AE684" s="1427"/>
      <c r="AF684" s="1427"/>
      <c r="AG684" s="1427"/>
      <c r="AH684" s="1427"/>
      <c r="AI684" s="1427"/>
      <c r="AJ684" s="1427"/>
      <c r="AK684" s="1427"/>
      <c r="AZ684" s="3"/>
    </row>
    <row r="685" spans="1:157" ht="12.9" customHeight="1">
      <c r="A685" s="22"/>
      <c r="B685" t="s">
        <v>579</v>
      </c>
      <c r="G685" s="1427"/>
      <c r="H685" s="1427"/>
      <c r="I685" s="1427"/>
      <c r="J685" s="1427"/>
      <c r="K685" s="1427"/>
      <c r="L685" s="1427"/>
      <c r="M685" s="1427"/>
      <c r="N685" s="1427"/>
      <c r="O685" s="1427"/>
      <c r="P685" s="1427"/>
      <c r="Q685" s="1427"/>
      <c r="R685" s="1427"/>
      <c r="T685" s="22"/>
      <c r="U685" t="s">
        <v>579</v>
      </c>
      <c r="Z685" s="1369"/>
      <c r="AA685" s="1369"/>
      <c r="AB685" s="1369"/>
      <c r="AC685" s="1369"/>
      <c r="AD685" s="1369"/>
      <c r="AE685" s="1369"/>
      <c r="AF685" s="1369"/>
      <c r="AG685" s="1369"/>
      <c r="AH685" s="1369"/>
      <c r="AI685" s="1369"/>
      <c r="AJ685" s="1369"/>
      <c r="AK685" s="1369"/>
      <c r="AZ685" s="3"/>
    </row>
    <row r="686" spans="1:157" ht="12.9" customHeight="1">
      <c r="A686" s="22"/>
      <c r="B686" t="s">
        <v>17</v>
      </c>
      <c r="G686" s="1427"/>
      <c r="H686" s="1427"/>
      <c r="I686" s="1427"/>
      <c r="J686" s="1427"/>
      <c r="K686" s="1427"/>
      <c r="L686" s="1427"/>
      <c r="M686" s="1427"/>
      <c r="N686" s="1427"/>
      <c r="O686" s="1427"/>
      <c r="P686" s="1427"/>
      <c r="Q686" s="1427"/>
      <c r="R686" s="1427"/>
      <c r="T686" s="22"/>
      <c r="U686" t="s">
        <v>17</v>
      </c>
      <c r="Z686" s="1369"/>
      <c r="AA686" s="1369"/>
      <c r="AB686" s="1369"/>
      <c r="AC686" s="1369"/>
      <c r="AD686" s="1369"/>
      <c r="AE686" s="1369"/>
      <c r="AF686" s="1369"/>
      <c r="AG686" s="1369"/>
      <c r="AH686" s="1369"/>
      <c r="AI686" s="1369"/>
      <c r="AJ686" s="1369"/>
      <c r="AK686" s="1369"/>
      <c r="AZ686" s="3"/>
    </row>
    <row r="687" spans="1:157" ht="12.9" customHeight="1">
      <c r="A687" s="22"/>
      <c r="B687" t="s">
        <v>315</v>
      </c>
      <c r="G687" s="1386"/>
      <c r="H687" s="1386"/>
      <c r="I687" s="1386"/>
      <c r="J687" s="1386"/>
      <c r="K687" s="1386"/>
      <c r="L687" s="1386"/>
      <c r="O687" s="33" t="s">
        <v>205</v>
      </c>
      <c r="P687" s="1370"/>
      <c r="Q687" s="1370"/>
      <c r="R687" s="1370"/>
      <c r="T687" s="22"/>
      <c r="U687" t="s">
        <v>315</v>
      </c>
      <c r="Z687" s="1386"/>
      <c r="AA687" s="1386"/>
      <c r="AB687" s="1386"/>
      <c r="AC687" s="1386"/>
      <c r="AD687" s="1386"/>
      <c r="AE687" s="1386"/>
      <c r="AH687" s="33" t="s">
        <v>205</v>
      </c>
      <c r="AI687" s="1370"/>
      <c r="AJ687" s="1370"/>
      <c r="AK687" s="1370"/>
      <c r="AZ687" s="3"/>
    </row>
    <row r="688" spans="1:157" ht="12.9" customHeight="1">
      <c r="A688" s="22"/>
      <c r="B688" t="s">
        <v>18</v>
      </c>
      <c r="H688" s="1427"/>
      <c r="I688" s="1427"/>
      <c r="J688" s="1427"/>
      <c r="K688" s="1427"/>
      <c r="L688" s="1427"/>
      <c r="M688" s="1427"/>
      <c r="N688" s="1427"/>
      <c r="O688" s="1427"/>
      <c r="P688" s="1427"/>
      <c r="Q688" s="1427"/>
      <c r="R688" s="1427"/>
      <c r="T688" s="22"/>
      <c r="U688" t="s">
        <v>18</v>
      </c>
      <c r="AA688" s="1427"/>
      <c r="AB688" s="1427"/>
      <c r="AC688" s="1427"/>
      <c r="AD688" s="1427"/>
      <c r="AE688" s="1427"/>
      <c r="AF688" s="1427"/>
      <c r="AG688" s="1427"/>
      <c r="AH688" s="1427"/>
      <c r="AI688" s="1427"/>
      <c r="AJ688" s="1427"/>
      <c r="AK688" s="1427"/>
      <c r="AZ688" s="3"/>
    </row>
    <row r="689" spans="1:52" ht="12.9" customHeight="1">
      <c r="A689" s="22"/>
      <c r="B689" t="s">
        <v>20</v>
      </c>
      <c r="N689" s="1381" t="s">
        <v>667</v>
      </c>
      <c r="O689" s="1381"/>
      <c r="T689" s="22"/>
      <c r="U689" t="s">
        <v>20</v>
      </c>
      <c r="AG689" s="1381" t="s">
        <v>667</v>
      </c>
      <c r="AH689" s="1381"/>
      <c r="AZ689" s="3"/>
    </row>
    <row r="690" spans="1:52" ht="12.9" customHeight="1">
      <c r="A690" s="22"/>
      <c r="T690" s="22"/>
      <c r="AZ690" s="3"/>
    </row>
    <row r="691" spans="1:52" ht="12.9" customHeight="1">
      <c r="A691" s="55" t="s">
        <v>361</v>
      </c>
      <c r="B691" t="s">
        <v>462</v>
      </c>
      <c r="G691" s="1371">
        <f>C645</f>
        <v>0</v>
      </c>
      <c r="H691" s="1371"/>
      <c r="I691" s="1371"/>
      <c r="J691" s="1371"/>
      <c r="K691" s="1371"/>
      <c r="L691" s="1371"/>
      <c r="M691" s="1371"/>
      <c r="N691" s="1371"/>
      <c r="O691" s="1371"/>
      <c r="P691" s="1371"/>
      <c r="Q691" s="1371"/>
      <c r="R691" s="1371"/>
      <c r="T691" s="55" t="s">
        <v>362</v>
      </c>
      <c r="U691" t="s">
        <v>462</v>
      </c>
      <c r="Z691" s="1371">
        <f>C646</f>
        <v>0</v>
      </c>
      <c r="AA691" s="1371"/>
      <c r="AB691" s="1371"/>
      <c r="AC691" s="1371"/>
      <c r="AD691" s="1371"/>
      <c r="AE691" s="1371"/>
      <c r="AF691" s="1371"/>
      <c r="AG691" s="1371"/>
      <c r="AH691" s="1371"/>
      <c r="AI691" s="1371"/>
      <c r="AJ691" s="1371"/>
      <c r="AK691" s="1371"/>
      <c r="AZ691" s="3"/>
    </row>
    <row r="692" spans="1:52" ht="12.9" customHeight="1">
      <c r="B692" t="s">
        <v>85</v>
      </c>
      <c r="G692" s="1427"/>
      <c r="H692" s="1427"/>
      <c r="I692" s="1427"/>
      <c r="J692" s="1427"/>
      <c r="K692" s="1427"/>
      <c r="L692" s="1427"/>
      <c r="M692" s="1427"/>
      <c r="N692" s="1427"/>
      <c r="O692" s="1427"/>
      <c r="P692" s="1427"/>
      <c r="Q692" s="1427"/>
      <c r="R692" s="1427"/>
      <c r="T692" s="22"/>
      <c r="U692" t="s">
        <v>85</v>
      </c>
      <c r="Z692" s="1427"/>
      <c r="AA692" s="1427"/>
      <c r="AB692" s="1427"/>
      <c r="AC692" s="1427"/>
      <c r="AD692" s="1427"/>
      <c r="AE692" s="1427"/>
      <c r="AF692" s="1427"/>
      <c r="AG692" s="1427"/>
      <c r="AH692" s="1427"/>
      <c r="AI692" s="1427"/>
      <c r="AJ692" s="1427"/>
      <c r="AK692" s="1427"/>
      <c r="AZ692" s="3"/>
    </row>
    <row r="693" spans="1:52" ht="12.9" customHeight="1">
      <c r="B693" t="s">
        <v>579</v>
      </c>
      <c r="G693" s="1427"/>
      <c r="H693" s="1427"/>
      <c r="I693" s="1427"/>
      <c r="J693" s="1427"/>
      <c r="K693" s="1427"/>
      <c r="L693" s="1427"/>
      <c r="M693" s="1427"/>
      <c r="N693" s="1427"/>
      <c r="O693" s="1427"/>
      <c r="P693" s="1427"/>
      <c r="Q693" s="1427"/>
      <c r="R693" s="1427"/>
      <c r="U693" t="s">
        <v>579</v>
      </c>
      <c r="Z693" s="1369"/>
      <c r="AA693" s="1369"/>
      <c r="AB693" s="1369"/>
      <c r="AC693" s="1369"/>
      <c r="AD693" s="1369"/>
      <c r="AE693" s="1369"/>
      <c r="AF693" s="1369"/>
      <c r="AG693" s="1369"/>
      <c r="AH693" s="1369"/>
      <c r="AI693" s="1369"/>
      <c r="AJ693" s="1369"/>
      <c r="AK693" s="1369"/>
      <c r="AZ693" s="3"/>
    </row>
    <row r="694" spans="1:52" ht="12.9" customHeight="1">
      <c r="B694" t="s">
        <v>17</v>
      </c>
      <c r="G694" s="1427"/>
      <c r="H694" s="1427"/>
      <c r="I694" s="1427"/>
      <c r="J694" s="1427"/>
      <c r="K694" s="1427"/>
      <c r="L694" s="1427"/>
      <c r="M694" s="1427"/>
      <c r="N694" s="1427"/>
      <c r="O694" s="1427"/>
      <c r="P694" s="1427"/>
      <c r="Q694" s="1427"/>
      <c r="R694" s="1427"/>
      <c r="U694" t="s">
        <v>17</v>
      </c>
      <c r="Z694" s="1369"/>
      <c r="AA694" s="1369"/>
      <c r="AB694" s="1369"/>
      <c r="AC694" s="1369"/>
      <c r="AD694" s="1369"/>
      <c r="AE694" s="1369"/>
      <c r="AF694" s="1369"/>
      <c r="AG694" s="1369"/>
      <c r="AH694" s="1369"/>
      <c r="AI694" s="1369"/>
      <c r="AJ694" s="1369"/>
      <c r="AK694" s="1369"/>
      <c r="AZ694" s="3"/>
    </row>
    <row r="695" spans="1:52" ht="12.9" customHeight="1">
      <c r="B695" t="s">
        <v>315</v>
      </c>
      <c r="G695" s="1386"/>
      <c r="H695" s="1386"/>
      <c r="I695" s="1386"/>
      <c r="J695" s="1386"/>
      <c r="K695" s="1386"/>
      <c r="L695" s="1386"/>
      <c r="O695" s="33" t="s">
        <v>205</v>
      </c>
      <c r="P695" s="1370"/>
      <c r="Q695" s="1370"/>
      <c r="R695" s="1370"/>
      <c r="U695" t="s">
        <v>315</v>
      </c>
      <c r="Z695" s="1386"/>
      <c r="AA695" s="1386"/>
      <c r="AB695" s="1386"/>
      <c r="AC695" s="1386"/>
      <c r="AD695" s="1386"/>
      <c r="AE695" s="1386"/>
      <c r="AH695" s="33" t="s">
        <v>205</v>
      </c>
      <c r="AI695" s="1370"/>
      <c r="AJ695" s="1370"/>
      <c r="AK695" s="1370"/>
      <c r="AZ695" s="3"/>
    </row>
    <row r="696" spans="1:52" ht="12.9" customHeight="1">
      <c r="B696" t="s">
        <v>18</v>
      </c>
      <c r="H696" s="1427"/>
      <c r="I696" s="1427"/>
      <c r="J696" s="1427"/>
      <c r="K696" s="1427"/>
      <c r="L696" s="1427"/>
      <c r="M696" s="1427"/>
      <c r="N696" s="1427"/>
      <c r="O696" s="1427"/>
      <c r="P696" s="1427"/>
      <c r="Q696" s="1427"/>
      <c r="R696" s="1427"/>
      <c r="U696" t="s">
        <v>18</v>
      </c>
      <c r="AA696" s="1427"/>
      <c r="AB696" s="1427"/>
      <c r="AC696" s="1427"/>
      <c r="AD696" s="1427"/>
      <c r="AE696" s="1427"/>
      <c r="AF696" s="1427"/>
      <c r="AG696" s="1427"/>
      <c r="AH696" s="1427"/>
      <c r="AI696" s="1427"/>
      <c r="AJ696" s="1427"/>
      <c r="AK696" s="1427"/>
      <c r="AZ696" s="3"/>
    </row>
    <row r="697" spans="1:52" ht="12.9" customHeight="1">
      <c r="B697" t="s">
        <v>20</v>
      </c>
      <c r="N697" s="1381" t="s">
        <v>667</v>
      </c>
      <c r="O697" s="1381"/>
      <c r="U697" t="s">
        <v>20</v>
      </c>
      <c r="AG697" s="1381" t="s">
        <v>667</v>
      </c>
      <c r="AH697" s="1381"/>
      <c r="AZ697" s="3"/>
    </row>
    <row r="698" spans="1:52" ht="12.9" customHeight="1">
      <c r="AZ698" s="3"/>
    </row>
    <row r="699" spans="1:52" ht="12.9" customHeight="1">
      <c r="A699" s="2" t="s">
        <v>575</v>
      </c>
      <c r="C699" s="2" t="s">
        <v>326</v>
      </c>
      <c r="E699" s="130"/>
      <c r="F699" s="130"/>
      <c r="G699" s="130"/>
      <c r="H699" s="130"/>
      <c r="AZ699" s="3"/>
    </row>
    <row r="700" spans="1:52" ht="12.9" customHeight="1">
      <c r="B700" s="135"/>
      <c r="C700" s="135"/>
      <c r="D700" s="1030" t="s">
        <v>2611</v>
      </c>
      <c r="E700" s="135"/>
      <c r="F700" s="135"/>
      <c r="G700" s="135"/>
      <c r="H700" s="135"/>
      <c r="AZ700" s="3"/>
    </row>
    <row r="701" spans="1:52" ht="12.9" customHeight="1">
      <c r="B701" s="135"/>
      <c r="C701" s="135"/>
      <c r="E701" s="136" t="s">
        <v>433</v>
      </c>
      <c r="F701" s="135"/>
      <c r="G701" s="135"/>
      <c r="H701" s="135"/>
      <c r="AE701" s="1381" t="s">
        <v>544</v>
      </c>
      <c r="AF701" s="1381"/>
      <c r="AZ701" s="3"/>
    </row>
    <row r="702" spans="1:52" ht="12.9" customHeight="1">
      <c r="B702" s="135"/>
      <c r="C702" s="135"/>
      <c r="D702" s="136" t="s">
        <v>436</v>
      </c>
      <c r="E702" s="135"/>
      <c r="F702" s="135"/>
      <c r="G702" s="135"/>
      <c r="H702" s="135"/>
      <c r="AE702" s="1381" t="s">
        <v>667</v>
      </c>
      <c r="AF702" s="1381"/>
      <c r="AZ702" s="3"/>
    </row>
    <row r="703" spans="1:52" ht="12.9" customHeight="1">
      <c r="B703" s="135"/>
      <c r="C703" s="135"/>
      <c r="D703" s="136" t="s">
        <v>918</v>
      </c>
      <c r="E703" s="135"/>
      <c r="F703" s="135"/>
      <c r="G703" s="135"/>
      <c r="H703" s="135"/>
      <c r="AE703" s="1539">
        <v>46056</v>
      </c>
      <c r="AF703" s="1539"/>
      <c r="AG703" s="1539"/>
      <c r="AH703" s="1539"/>
      <c r="AI703" s="1539"/>
    </row>
    <row r="704" spans="1:52" ht="12.9" customHeight="1">
      <c r="B704" s="135"/>
      <c r="C704" s="135"/>
      <c r="D704" s="317" t="s">
        <v>981</v>
      </c>
      <c r="E704" s="135"/>
      <c r="F704" s="135"/>
      <c r="G704" s="135"/>
      <c r="H704" s="135"/>
      <c r="AE704" s="1662">
        <v>46154</v>
      </c>
      <c r="AF704" s="1662"/>
      <c r="AG704" s="1662"/>
      <c r="AH704" s="1662"/>
      <c r="AI704" s="1662"/>
    </row>
    <row r="705" spans="1:110" ht="12.9" customHeight="1">
      <c r="B705" s="135"/>
      <c r="C705" s="135"/>
    </row>
    <row r="706" spans="1:110" ht="12.9" customHeight="1">
      <c r="B706" s="135"/>
      <c r="C706" s="135"/>
      <c r="D706" s="136" t="s">
        <v>814</v>
      </c>
      <c r="E706" s="135"/>
      <c r="F706" s="135"/>
      <c r="G706" s="135"/>
      <c r="H706" s="135"/>
      <c r="AE706" s="1539">
        <v>46316</v>
      </c>
      <c r="AF706" s="1539"/>
      <c r="AG706" s="1539"/>
      <c r="AH706" s="1539"/>
      <c r="AI706" s="1539"/>
    </row>
    <row r="707" spans="1:110" ht="12.9" customHeight="1">
      <c r="B707" s="135"/>
      <c r="C707" s="135"/>
      <c r="D707" s="136" t="s">
        <v>434</v>
      </c>
      <c r="E707" s="135"/>
      <c r="F707" s="135"/>
      <c r="G707" s="135"/>
      <c r="H707" s="135"/>
      <c r="AE707" s="1846">
        <f xml:space="preserve"> (28600000) / (103844772)</f>
        <v>0.27541107221074163</v>
      </c>
      <c r="AF707" s="1846"/>
      <c r="AG707" s="1846"/>
      <c r="AH707" s="1846"/>
      <c r="AI707" s="1846"/>
    </row>
    <row r="708" spans="1:110" ht="12.9" customHeight="1">
      <c r="B708" s="135"/>
      <c r="C708" s="135"/>
      <c r="D708" s="136" t="s">
        <v>435</v>
      </c>
      <c r="E708" s="135"/>
      <c r="F708" s="135"/>
      <c r="G708" s="135"/>
      <c r="H708" s="135"/>
      <c r="W708" s="1371" t="str">
        <f>H344</f>
        <v>California Municipal Finance Authority (CMFA)</v>
      </c>
      <c r="X708" s="1371"/>
      <c r="Y708" s="1371"/>
      <c r="Z708" s="1371"/>
      <c r="AA708" s="1371"/>
      <c r="AB708" s="1371"/>
      <c r="AC708" s="1371"/>
      <c r="AD708" s="1371"/>
      <c r="AE708" s="1371"/>
      <c r="AF708" s="1371"/>
      <c r="AG708" s="1371"/>
      <c r="AH708" s="1371"/>
      <c r="AI708" s="1371"/>
      <c r="AJ708" s="1371"/>
      <c r="AK708" s="1371"/>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381" t="s">
        <v>667</v>
      </c>
      <c r="AF710" s="1381"/>
    </row>
    <row r="711" spans="1:110" ht="12.9" customHeight="1">
      <c r="B711" s="135"/>
      <c r="C711" s="135"/>
      <c r="D711" s="136" t="s">
        <v>441</v>
      </c>
      <c r="E711" s="135"/>
      <c r="F711" s="135"/>
      <c r="G711" s="135"/>
      <c r="H711" s="135"/>
      <c r="W711" s="1427" t="s">
        <v>590</v>
      </c>
      <c r="X711" s="1427"/>
      <c r="Y711" s="1427"/>
      <c r="Z711" s="1427"/>
      <c r="AA711" s="1427"/>
      <c r="AB711" s="1427"/>
      <c r="AC711" s="1427"/>
      <c r="AD711" s="1427"/>
      <c r="AE711" s="1427"/>
      <c r="AF711" s="1427"/>
      <c r="AG711" s="1427"/>
      <c r="AH711" s="1427"/>
      <c r="AI711" s="1427"/>
      <c r="AJ711" s="1427"/>
      <c r="AK711" s="1427"/>
    </row>
    <row r="712" spans="1:110" ht="12.9" customHeight="1">
      <c r="B712" s="135"/>
      <c r="C712" s="135"/>
      <c r="D712" s="136" t="s">
        <v>87</v>
      </c>
      <c r="E712" s="135"/>
      <c r="F712" s="135"/>
      <c r="G712" s="135"/>
      <c r="H712" s="135"/>
      <c r="J712" s="1427"/>
      <c r="K712" s="1427"/>
      <c r="L712" s="1427"/>
      <c r="M712" s="1427"/>
      <c r="N712" s="1427"/>
      <c r="O712" s="1427"/>
      <c r="P712" s="1427"/>
      <c r="Q712" s="1427"/>
      <c r="R712" s="1427"/>
      <c r="S712" s="1427"/>
      <c r="T712" s="1427"/>
      <c r="U712" s="1427"/>
      <c r="V712" s="1427"/>
      <c r="W712" s="1427"/>
      <c r="X712" s="1427"/>
      <c r="BB712" s="34"/>
      <c r="BC712" s="34"/>
      <c r="BD712" s="34"/>
      <c r="BE712" s="3"/>
      <c r="BF712" s="3"/>
      <c r="BJ712" s="3"/>
      <c r="BK712" s="3"/>
      <c r="BL712" s="3"/>
      <c r="BM712" s="3"/>
      <c r="BN712" s="34"/>
      <c r="BO712" s="34"/>
    </row>
    <row r="713" spans="1:110" ht="12.9" customHeight="1">
      <c r="B713" s="135"/>
      <c r="C713" s="135"/>
      <c r="D713" s="136" t="s">
        <v>88</v>
      </c>
      <c r="J713" s="1386"/>
      <c r="K713" s="1386"/>
      <c r="L713" s="1386"/>
      <c r="M713" s="1386"/>
      <c r="N713" s="1386"/>
      <c r="O713" s="1386"/>
      <c r="P713" s="4" t="s">
        <v>205</v>
      </c>
      <c r="Q713" s="4"/>
      <c r="R713" s="1370"/>
      <c r="S713" s="1370"/>
      <c r="T713" s="137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427" t="s">
        <v>306</v>
      </c>
      <c r="X714" s="1427"/>
      <c r="Y714" s="1427"/>
      <c r="Z714" s="1427"/>
      <c r="AA714" s="1427"/>
      <c r="AB714" s="1427"/>
      <c r="AC714" s="1427"/>
      <c r="AD714" s="1427"/>
      <c r="AE714" s="1427"/>
      <c r="AF714" s="1427"/>
      <c r="AG714" s="1427"/>
      <c r="AH714" s="1427"/>
      <c r="AI714" s="1427"/>
      <c r="AJ714" s="1427"/>
      <c r="AK714" s="142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27" t="s">
        <v>333</v>
      </c>
      <c r="F715" s="1427"/>
      <c r="G715" s="1427"/>
      <c r="H715" s="1427"/>
      <c r="I715" s="1427"/>
      <c r="J715" s="1427"/>
      <c r="K715" s="1427"/>
      <c r="L715" s="1427"/>
      <c r="M715" s="1427"/>
      <c r="N715" s="1427"/>
      <c r="O715" s="1427"/>
      <c r="P715" s="1427"/>
      <c r="Q715" s="1427"/>
      <c r="R715" s="1427"/>
      <c r="S715" s="1427"/>
      <c r="T715" s="1427"/>
      <c r="U715" s="1427"/>
      <c r="V715" s="1427"/>
      <c r="W715" s="1427"/>
      <c r="X715" s="1427"/>
      <c r="Y715" s="1427"/>
      <c r="Z715" s="1427"/>
      <c r="AA715" s="1427"/>
      <c r="AB715" s="1427"/>
      <c r="AC715" s="1427"/>
      <c r="AD715" s="1427"/>
      <c r="AE715" s="1427"/>
      <c r="AF715" s="1427"/>
      <c r="AG715" s="1427"/>
      <c r="AH715" s="1427"/>
      <c r="AI715" s="1427"/>
      <c r="AJ715" s="1427"/>
      <c r="AK715" s="142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601" t="s">
        <v>388</v>
      </c>
      <c r="C722" s="1373"/>
      <c r="D722" s="1373"/>
      <c r="E722" s="1373"/>
      <c r="F722" s="1374"/>
      <c r="G722" s="1601" t="s">
        <v>284</v>
      </c>
      <c r="H722" s="1373"/>
      <c r="I722" s="1373"/>
      <c r="J722" s="1374"/>
      <c r="K722" s="1602" t="s">
        <v>1666</v>
      </c>
      <c r="L722" s="1603"/>
      <c r="M722" s="1603"/>
      <c r="N722" s="1604"/>
      <c r="O722" s="1601" t="s">
        <v>446</v>
      </c>
      <c r="P722" s="1373"/>
      <c r="Q722" s="1373"/>
      <c r="R722" s="1373"/>
      <c r="S722" s="1374"/>
      <c r="T722" s="1372" t="s">
        <v>1921</v>
      </c>
      <c r="U722" s="1373"/>
      <c r="V722" s="1373"/>
      <c r="W722" s="1374"/>
      <c r="X722" s="1372" t="s">
        <v>1923</v>
      </c>
      <c r="Y722" s="1373"/>
      <c r="Z722" s="1373"/>
      <c r="AA722" s="1373"/>
      <c r="AB722" s="1374"/>
      <c r="AC722" s="1372" t="s">
        <v>1922</v>
      </c>
      <c r="AD722" s="1373"/>
      <c r="AE722" s="1373"/>
      <c r="AF722" s="1373"/>
      <c r="AG722" s="1374"/>
      <c r="AH722" s="1372" t="s">
        <v>1924</v>
      </c>
      <c r="AI722" s="1373"/>
      <c r="AJ722" s="1374"/>
      <c r="AK722" s="1372" t="s">
        <v>1951</v>
      </c>
      <c r="AL722" s="1373"/>
      <c r="AM722" s="1373"/>
      <c r="AN722" s="1373"/>
      <c r="AO722" s="137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375"/>
      <c r="C723" s="1376"/>
      <c r="D723" s="1376"/>
      <c r="E723" s="1376"/>
      <c r="F723" s="1377"/>
      <c r="G723" s="1375"/>
      <c r="H723" s="1376"/>
      <c r="I723" s="1376"/>
      <c r="J723" s="1377"/>
      <c r="K723" s="1605"/>
      <c r="L723" s="1606"/>
      <c r="M723" s="1606"/>
      <c r="N723" s="1607"/>
      <c r="O723" s="1375"/>
      <c r="P723" s="1376"/>
      <c r="Q723" s="1376"/>
      <c r="R723" s="1376"/>
      <c r="S723" s="1377"/>
      <c r="T723" s="1375"/>
      <c r="U723" s="1376"/>
      <c r="V723" s="1376"/>
      <c r="W723" s="1377"/>
      <c r="X723" s="1375"/>
      <c r="Y723" s="1376"/>
      <c r="Z723" s="1376"/>
      <c r="AA723" s="1376"/>
      <c r="AB723" s="1377"/>
      <c r="AC723" s="1375"/>
      <c r="AD723" s="1376"/>
      <c r="AE723" s="1376"/>
      <c r="AF723" s="1376"/>
      <c r="AG723" s="1377"/>
      <c r="AH723" s="1375"/>
      <c r="AI723" s="1376"/>
      <c r="AJ723" s="1377"/>
      <c r="AK723" s="1375"/>
      <c r="AL723" s="1376"/>
      <c r="AM723" s="1376"/>
      <c r="AN723" s="1376"/>
      <c r="AO723" s="137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375"/>
      <c r="C724" s="1376"/>
      <c r="D724" s="1376"/>
      <c r="E724" s="1376"/>
      <c r="F724" s="1377"/>
      <c r="G724" s="1375"/>
      <c r="H724" s="1376"/>
      <c r="I724" s="1376"/>
      <c r="J724" s="1377"/>
      <c r="K724" s="1605"/>
      <c r="L724" s="1606"/>
      <c r="M724" s="1606"/>
      <c r="N724" s="1607"/>
      <c r="O724" s="1375"/>
      <c r="P724" s="1376"/>
      <c r="Q724" s="1376"/>
      <c r="R724" s="1376"/>
      <c r="S724" s="1377"/>
      <c r="T724" s="1375"/>
      <c r="U724" s="1376"/>
      <c r="V724" s="1376"/>
      <c r="W724" s="1377"/>
      <c r="X724" s="1375"/>
      <c r="Y724" s="1376"/>
      <c r="Z724" s="1376"/>
      <c r="AA724" s="1376"/>
      <c r="AB724" s="1377"/>
      <c r="AC724" s="1375"/>
      <c r="AD724" s="1376"/>
      <c r="AE724" s="1376"/>
      <c r="AF724" s="1376"/>
      <c r="AG724" s="1377"/>
      <c r="AH724" s="1375"/>
      <c r="AI724" s="1376"/>
      <c r="AJ724" s="1377"/>
      <c r="AK724" s="1375"/>
      <c r="AL724" s="1376"/>
      <c r="AM724" s="1376"/>
      <c r="AN724" s="1376"/>
      <c r="AO724" s="1377"/>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378"/>
      <c r="C725" s="1379"/>
      <c r="D725" s="1379"/>
      <c r="E725" s="1379"/>
      <c r="F725" s="1380"/>
      <c r="G725" s="1378"/>
      <c r="H725" s="1379"/>
      <c r="I725" s="1379"/>
      <c r="J725" s="1380"/>
      <c r="K725" s="1605"/>
      <c r="L725" s="1606"/>
      <c r="M725" s="1606"/>
      <c r="N725" s="1607"/>
      <c r="O725" s="1378"/>
      <c r="P725" s="1379"/>
      <c r="Q725" s="1379"/>
      <c r="R725" s="1379"/>
      <c r="S725" s="1380"/>
      <c r="T725" s="1378"/>
      <c r="U725" s="1379"/>
      <c r="V725" s="1379"/>
      <c r="W725" s="1380"/>
      <c r="X725" s="1378"/>
      <c r="Y725" s="1379"/>
      <c r="Z725" s="1379"/>
      <c r="AA725" s="1379"/>
      <c r="AB725" s="1380"/>
      <c r="AC725" s="1378"/>
      <c r="AD725" s="1379"/>
      <c r="AE725" s="1379"/>
      <c r="AF725" s="1379"/>
      <c r="AG725" s="1380"/>
      <c r="AH725" s="1378"/>
      <c r="AI725" s="1379"/>
      <c r="AJ725" s="1380"/>
      <c r="AK725" s="1378"/>
      <c r="AL725" s="1379"/>
      <c r="AM725" s="1379"/>
      <c r="AN725" s="1379"/>
      <c r="AO725" s="1380"/>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342"/>
      <c r="CJ725" s="1344"/>
      <c r="CK725" s="121" t="s">
        <v>474</v>
      </c>
      <c r="CL725" s="122"/>
      <c r="CM725" s="1342"/>
      <c r="CN725" s="1344"/>
      <c r="CO725" s="3"/>
      <c r="CP725" s="1677" t="s">
        <v>631</v>
      </c>
      <c r="CQ725" s="1678"/>
      <c r="CR725" s="1678"/>
      <c r="CS725" s="1678"/>
      <c r="CT725" s="1679"/>
      <c r="CU725" s="1494" t="s">
        <v>324</v>
      </c>
      <c r="CV725" s="1494"/>
      <c r="CW725" s="1494"/>
      <c r="CX725" s="1494"/>
      <c r="CY725" s="1494"/>
      <c r="CZ725" s="1494" t="s">
        <v>163</v>
      </c>
      <c r="DA725" s="1494"/>
      <c r="DB725" s="1494"/>
      <c r="DC725" s="1494"/>
      <c r="DD725" s="1494"/>
      <c r="DE725" s="1494" t="s">
        <v>164</v>
      </c>
      <c r="DF725" s="1494"/>
      <c r="DG725" s="1494"/>
      <c r="DH725" s="1494"/>
      <c r="DI725" s="1494"/>
      <c r="DJ725" s="1494" t="s">
        <v>459</v>
      </c>
      <c r="DK725" s="1494"/>
      <c r="DL725" s="1494"/>
      <c r="DM725" s="1494"/>
      <c r="DN725" s="1494"/>
      <c r="DO725" s="1494" t="s">
        <v>30</v>
      </c>
      <c r="DP725" s="1494"/>
      <c r="DQ725" s="1494"/>
      <c r="DR725" s="1494"/>
      <c r="DS725" s="1494"/>
      <c r="DT725" s="89"/>
      <c r="DU725" s="1494" t="s">
        <v>631</v>
      </c>
      <c r="DV725" s="1494"/>
      <c r="DW725" s="1494"/>
      <c r="DX725" s="1494"/>
      <c r="DY725" s="1494"/>
      <c r="DZ725" s="1494" t="s">
        <v>324</v>
      </c>
      <c r="EA725" s="1494"/>
      <c r="EB725" s="1494"/>
      <c r="EC725" s="1494"/>
      <c r="ED725" s="1494"/>
      <c r="EE725" s="1494" t="s">
        <v>163</v>
      </c>
      <c r="EF725" s="1494"/>
      <c r="EG725" s="1494"/>
      <c r="EH725" s="1494"/>
      <c r="EI725" s="1494"/>
      <c r="EJ725" s="1494" t="s">
        <v>164</v>
      </c>
      <c r="EK725" s="1494"/>
      <c r="EL725" s="1494"/>
      <c r="EM725" s="1494"/>
      <c r="EN725" s="1494"/>
      <c r="EO725" s="1494" t="s">
        <v>459</v>
      </c>
      <c r="EP725" s="1494"/>
      <c r="EQ725" s="1494"/>
      <c r="ER725" s="1494"/>
      <c r="ES725" s="1494"/>
      <c r="ET725" s="1494" t="s">
        <v>30</v>
      </c>
      <c r="EU725" s="1494"/>
      <c r="EV725" s="1494"/>
      <c r="EW725" s="1494"/>
      <c r="EX725" s="1494"/>
      <c r="EY725" s="4"/>
      <c r="EZ725" s="1494" t="s">
        <v>631</v>
      </c>
      <c r="FA725" s="1494"/>
      <c r="FB725" s="1494"/>
      <c r="FC725" s="1494"/>
      <c r="FD725" s="1494"/>
      <c r="FE725" s="1494" t="s">
        <v>324</v>
      </c>
      <c r="FF725" s="1494"/>
      <c r="FG725" s="1494"/>
      <c r="FH725" s="1494"/>
      <c r="FI725" s="1494"/>
      <c r="FJ725" s="1494" t="s">
        <v>163</v>
      </c>
      <c r="FK725" s="1494"/>
      <c r="FL725" s="1494"/>
      <c r="FM725" s="1494"/>
      <c r="FN725" s="1494"/>
      <c r="FO725" s="1494" t="s">
        <v>164</v>
      </c>
      <c r="FP725" s="1494"/>
      <c r="FQ725" s="1494"/>
      <c r="FR725" s="1494"/>
      <c r="FS725" s="1494"/>
      <c r="FT725" s="1494" t="s">
        <v>459</v>
      </c>
      <c r="FU725" s="1494"/>
      <c r="FV725" s="1494"/>
      <c r="FW725" s="1494"/>
      <c r="FX725" s="1494"/>
      <c r="FY725" s="1494" t="s">
        <v>30</v>
      </c>
      <c r="FZ725" s="1494"/>
      <c r="GA725" s="1494"/>
      <c r="GB725" s="1494"/>
      <c r="GC725" s="1494"/>
    </row>
    <row r="726" spans="1:185" ht="12.9" customHeight="1">
      <c r="A726" s="4"/>
      <c r="B726" s="1362" t="s">
        <v>323</v>
      </c>
      <c r="C726" s="1363"/>
      <c r="D726" s="1363"/>
      <c r="E726" s="1363"/>
      <c r="F726" s="1364"/>
      <c r="G726" s="1590">
        <v>20</v>
      </c>
      <c r="H726" s="1591"/>
      <c r="I726" s="1591"/>
      <c r="J726" s="1592"/>
      <c r="K726" s="1594">
        <v>411</v>
      </c>
      <c r="L726" s="1595"/>
      <c r="M726" s="1595"/>
      <c r="N726" s="1596"/>
      <c r="O726" s="1484">
        <v>772</v>
      </c>
      <c r="P726" s="1485"/>
      <c r="Q726" s="1485"/>
      <c r="R726" s="1485"/>
      <c r="S726" s="1486"/>
      <c r="T726" s="1484">
        <v>67</v>
      </c>
      <c r="U726" s="1485"/>
      <c r="V726" s="1485"/>
      <c r="W726" s="1486"/>
      <c r="X726" s="1405">
        <f t="shared" ref="X726:X749" si="10">O726+T726</f>
        <v>839</v>
      </c>
      <c r="Y726" s="1406"/>
      <c r="Z726" s="1406"/>
      <c r="AA726" s="1406"/>
      <c r="AB726" s="1407"/>
      <c r="AC726" s="1597">
        <v>0.3</v>
      </c>
      <c r="AD726" s="1598"/>
      <c r="AE726" s="1598"/>
      <c r="AF726" s="1598"/>
      <c r="AG726" s="1599"/>
      <c r="AH726" s="1387">
        <f>IF($AC726&gt;0,($X726/$AZ726), "")</f>
        <v>0.30007153075822601</v>
      </c>
      <c r="AI726" s="1388"/>
      <c r="AJ726" s="1389"/>
      <c r="AK726" s="1362" t="s">
        <v>590</v>
      </c>
      <c r="AL726" s="1363"/>
      <c r="AM726" s="1363"/>
      <c r="AN726" s="1363"/>
      <c r="AO726" s="1364"/>
      <c r="AP726" s="3"/>
      <c r="AQ726" s="3"/>
      <c r="AR726" s="3"/>
      <c r="AS726" s="3"/>
      <c r="AZ726" s="118">
        <f t="shared" ref="AZ726:AZ760" si="11">IF($G726=0,"N/A",VLOOKUP($T$189,TC_Rent,(MATCH($B726,bedrooms,FALSE)),FALSE))</f>
        <v>2796</v>
      </c>
      <c r="BA726" s="3"/>
      <c r="BB726" s="3"/>
      <c r="BC726" s="3"/>
      <c r="BD726" s="3"/>
      <c r="BE726" s="204"/>
      <c r="BF726" s="293">
        <f t="shared" ref="BF726:BF760" si="12">G726</f>
        <v>20</v>
      </c>
      <c r="BG726" s="297">
        <f t="shared" ref="BG726:BG760" si="13">IF($BF$761=0,0,BF726/$BF$761)</f>
        <v>0.13422818791946309</v>
      </c>
      <c r="BH726" s="298">
        <f t="shared" ref="BH726:BH760" si="14">IF(BG726=0,"",BG726*AC726)</f>
        <v>4.0268456375838924E-2</v>
      </c>
      <c r="BI726" s="3"/>
      <c r="BJ726" s="3"/>
      <c r="BK726" s="3"/>
      <c r="BL726" s="3"/>
      <c r="BM726" s="3"/>
      <c r="BN726" s="3"/>
      <c r="BS726" s="293">
        <f t="shared" ref="BS726:BS760" si="15">G726</f>
        <v>20</v>
      </c>
      <c r="BT726" s="297">
        <f t="shared" ref="BT726:BT760" si="16">IF($BS$761=0,0,BS726/$BS$761)</f>
        <v>0.13422818791946309</v>
      </c>
      <c r="BU726" s="298">
        <f t="shared" ref="BU726:BU760" si="17">IF(BT726=0,"",BT726*AH726)</f>
        <v>4.0278057819896108E-2</v>
      </c>
      <c r="CC726" s="3"/>
      <c r="CD726" s="3"/>
      <c r="CE726" s="3"/>
      <c r="CF726" s="3"/>
      <c r="CG726" s="1359">
        <f>IF(AND(AC726&lt;=0.5,AC726&gt;=0.36),1,0)</f>
        <v>0</v>
      </c>
      <c r="CH726" s="1361"/>
      <c r="CI726" s="1342">
        <f>IF(CG726=1,G726,0)</f>
        <v>0</v>
      </c>
      <c r="CJ726" s="1344"/>
      <c r="CK726" s="1359">
        <f t="shared" ref="CK726:CK760" si="18">IF(AND(AC726&lt;=0.35,AC726&gt;0),1,0)</f>
        <v>1</v>
      </c>
      <c r="CL726" s="1361"/>
      <c r="CM726" s="1342">
        <f t="shared" ref="CM726:CM760" si="19">IF(CK726=1,G726,0)</f>
        <v>20</v>
      </c>
      <c r="CN726" s="1344"/>
      <c r="CO726" s="3"/>
      <c r="CP726" s="1339">
        <f t="shared" ref="CP726:CP760" si="20">IF(B726="SRO/Studio",G726,0)</f>
        <v>20</v>
      </c>
      <c r="CQ726" s="1340"/>
      <c r="CR726" s="1340"/>
      <c r="CS726" s="1340"/>
      <c r="CT726" s="1341"/>
      <c r="CU726" s="1347">
        <f t="shared" ref="CU726:CU760" si="21">IF(B726="1 Bedroom",G726,0)</f>
        <v>0</v>
      </c>
      <c r="CV726" s="1347"/>
      <c r="CW726" s="1347"/>
      <c r="CX726" s="1347"/>
      <c r="CY726" s="1347"/>
      <c r="CZ726" s="1347">
        <f t="shared" ref="CZ726:CZ760" si="22">IF(B726="2 Bedrooms",G726,0)</f>
        <v>0</v>
      </c>
      <c r="DA726" s="1347"/>
      <c r="DB726" s="1347"/>
      <c r="DC726" s="1347"/>
      <c r="DD726" s="1347"/>
      <c r="DE726" s="1347">
        <f t="shared" ref="DE726:DE760" si="23">IF(B726="3 Bedrooms",G726,0)</f>
        <v>0</v>
      </c>
      <c r="DF726" s="1347"/>
      <c r="DG726" s="1347"/>
      <c r="DH726" s="1347"/>
      <c r="DI726" s="1347"/>
      <c r="DJ726" s="1347">
        <f t="shared" ref="DJ726:DJ760" si="24">IF(B726="4 Bedrooms",G726,0)</f>
        <v>0</v>
      </c>
      <c r="DK726" s="1347"/>
      <c r="DL726" s="1347"/>
      <c r="DM726" s="1347"/>
      <c r="DN726" s="1347"/>
      <c r="DO726" s="1347">
        <f t="shared" ref="DO726:DO760" si="25">IF(B726="5 Bedrooms",G726,0)</f>
        <v>0</v>
      </c>
      <c r="DP726" s="1347"/>
      <c r="DQ726" s="1347"/>
      <c r="DR726" s="1347"/>
      <c r="DS726" s="1347"/>
      <c r="DT726" s="6"/>
      <c r="DU726" s="1366">
        <f t="shared" ref="DU726:DU760" si="26">IF(AND(B726="SRO/Studio",AC726&lt;=0.3),G726,0)</f>
        <v>20</v>
      </c>
      <c r="DV726" s="1366"/>
      <c r="DW726" s="1366"/>
      <c r="DX726" s="1366"/>
      <c r="DY726" s="1366"/>
      <c r="DZ726" s="1366">
        <f t="shared" ref="DZ726:DZ760" si="27">IF(AND(B726="1 Bedroom",AC726&lt;=0.3),G726,0)</f>
        <v>0</v>
      </c>
      <c r="EA726" s="1366"/>
      <c r="EB726" s="1366"/>
      <c r="EC726" s="1366"/>
      <c r="ED726" s="1366"/>
      <c r="EE726" s="1366">
        <f t="shared" ref="EE726:EE760" si="28">IF(AND(B726="2 Bedrooms",AC726&lt;=0.3),G726,0)</f>
        <v>0</v>
      </c>
      <c r="EF726" s="1366"/>
      <c r="EG726" s="1366"/>
      <c r="EH726" s="1366"/>
      <c r="EI726" s="1366"/>
      <c r="EJ726" s="1366">
        <f t="shared" ref="EJ726:EJ760" si="29">IF(AND(B726="3 Bedrooms",AC726&lt;=0.3),G726,0)</f>
        <v>0</v>
      </c>
      <c r="EK726" s="1366"/>
      <c r="EL726" s="1366"/>
      <c r="EM726" s="1366"/>
      <c r="EN726" s="1366"/>
      <c r="EO726" s="1366">
        <f t="shared" ref="EO726:EO760" si="30">IF(AND(B726="4 Bedrooms",AC726&lt;=0.3),G726,0)</f>
        <v>0</v>
      </c>
      <c r="EP726" s="1366"/>
      <c r="EQ726" s="1366"/>
      <c r="ER726" s="1366"/>
      <c r="ES726" s="1366"/>
      <c r="ET726" s="1366">
        <f t="shared" ref="ET726:ET760" si="31">IF(AND(B726="5 Bedrooms",AC726&lt;=0.3),G726,0)</f>
        <v>0</v>
      </c>
      <c r="EU726" s="1366"/>
      <c r="EV726" s="1366"/>
      <c r="EW726" s="1366"/>
      <c r="EX726" s="1366"/>
      <c r="EY726" s="4"/>
      <c r="EZ726" s="1359">
        <f t="shared" ref="EZ726:EZ760" si="32">IF(CP726&gt;0,O726,"")</f>
        <v>772</v>
      </c>
      <c r="FA726" s="1360"/>
      <c r="FB726" s="1360"/>
      <c r="FC726" s="1360"/>
      <c r="FD726" s="1361"/>
      <c r="FE726" s="1359" t="str">
        <f t="shared" ref="FE726:FE760" si="33">IF(CU726&gt;0,O726,"")</f>
        <v/>
      </c>
      <c r="FF726" s="1360"/>
      <c r="FG726" s="1360"/>
      <c r="FH726" s="1360"/>
      <c r="FI726" s="1361"/>
      <c r="FJ726" s="1359" t="str">
        <f t="shared" ref="FJ726:FJ760" si="34">IF(CZ726&gt;0,O726,"")</f>
        <v/>
      </c>
      <c r="FK726" s="1360"/>
      <c r="FL726" s="1360"/>
      <c r="FM726" s="1360"/>
      <c r="FN726" s="1361"/>
      <c r="FO726" s="1359" t="str">
        <f t="shared" ref="FO726:FO760" si="35">IF(DE726&gt;0,O726,"")</f>
        <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2.9" customHeight="1">
      <c r="A727" s="4"/>
      <c r="B727" s="1362" t="s">
        <v>323</v>
      </c>
      <c r="C727" s="1363"/>
      <c r="D727" s="1363"/>
      <c r="E727" s="1363"/>
      <c r="F727" s="1364"/>
      <c r="G727" s="1590">
        <v>1</v>
      </c>
      <c r="H727" s="1591"/>
      <c r="I727" s="1591"/>
      <c r="J727" s="1592"/>
      <c r="K727" s="1594">
        <v>411</v>
      </c>
      <c r="L727" s="1595"/>
      <c r="M727" s="1595"/>
      <c r="N727" s="1596"/>
      <c r="O727" s="1484">
        <v>1331</v>
      </c>
      <c r="P727" s="1485"/>
      <c r="Q727" s="1485"/>
      <c r="R727" s="1485"/>
      <c r="S727" s="1486"/>
      <c r="T727" s="1484">
        <v>67</v>
      </c>
      <c r="U727" s="1485"/>
      <c r="V727" s="1485"/>
      <c r="W727" s="1486"/>
      <c r="X727" s="1405">
        <f t="shared" si="10"/>
        <v>1398</v>
      </c>
      <c r="Y727" s="1406"/>
      <c r="Z727" s="1406"/>
      <c r="AA727" s="1406"/>
      <c r="AB727" s="1407"/>
      <c r="AC727" s="1597">
        <v>0.5</v>
      </c>
      <c r="AD727" s="1598"/>
      <c r="AE727" s="1598"/>
      <c r="AF727" s="1598"/>
      <c r="AG727" s="1599"/>
      <c r="AH727" s="1387">
        <f t="shared" ref="AH727:AH760" si="38">IF($AC727&gt;0,($X727/$AZ727), "")</f>
        <v>0.5</v>
      </c>
      <c r="AI727" s="1388"/>
      <c r="AJ727" s="1389"/>
      <c r="AK727" s="1362" t="s">
        <v>590</v>
      </c>
      <c r="AL727" s="1363"/>
      <c r="AM727" s="1363"/>
      <c r="AN727" s="1363"/>
      <c r="AO727" s="1364"/>
      <c r="AP727" s="3"/>
      <c r="AQ727" s="3"/>
      <c r="AR727" s="3"/>
      <c r="AS727" s="3"/>
      <c r="AZ727" s="118">
        <f t="shared" si="11"/>
        <v>2796</v>
      </c>
      <c r="BA727" s="3"/>
      <c r="BB727" s="3"/>
      <c r="BC727" s="3"/>
      <c r="BD727" s="3"/>
      <c r="BE727" s="204"/>
      <c r="BF727" s="294">
        <f t="shared" si="12"/>
        <v>1</v>
      </c>
      <c r="BG727" s="297">
        <f t="shared" si="13"/>
        <v>6.7114093959731542E-3</v>
      </c>
      <c r="BH727" s="298">
        <f t="shared" si="14"/>
        <v>3.3557046979865771E-3</v>
      </c>
      <c r="BI727" s="3"/>
      <c r="BJ727" s="3"/>
      <c r="BK727" s="3"/>
      <c r="BL727" s="3"/>
      <c r="BM727" s="3"/>
      <c r="BN727" s="3"/>
      <c r="BS727" s="294">
        <f t="shared" si="15"/>
        <v>1</v>
      </c>
      <c r="BT727" s="297">
        <f t="shared" si="16"/>
        <v>6.7114093959731542E-3</v>
      </c>
      <c r="BU727" s="298">
        <f t="shared" si="17"/>
        <v>3.3557046979865771E-3</v>
      </c>
      <c r="CC727" s="3"/>
      <c r="CD727" s="3"/>
      <c r="CE727" s="3"/>
      <c r="CF727" s="3"/>
      <c r="CG727" s="1359">
        <f t="shared" ref="CG727:CG760" si="39">IF(AND(AC727&lt;=0.5,AC727&gt;=0.36),1,0)</f>
        <v>1</v>
      </c>
      <c r="CH727" s="1361"/>
      <c r="CI727" s="1342">
        <f t="shared" ref="CI727:CI760" si="40">IF(CG727=1,G727,0)</f>
        <v>1</v>
      </c>
      <c r="CJ727" s="1344"/>
      <c r="CK727" s="1359">
        <f t="shared" si="18"/>
        <v>0</v>
      </c>
      <c r="CL727" s="1361"/>
      <c r="CM727" s="1342">
        <f t="shared" si="19"/>
        <v>0</v>
      </c>
      <c r="CN727" s="1344"/>
      <c r="CO727" s="3"/>
      <c r="CP727" s="1339">
        <f t="shared" si="20"/>
        <v>1</v>
      </c>
      <c r="CQ727" s="1340"/>
      <c r="CR727" s="1340"/>
      <c r="CS727" s="1340"/>
      <c r="CT727" s="1341"/>
      <c r="CU727" s="1347">
        <f t="shared" si="21"/>
        <v>0</v>
      </c>
      <c r="CV727" s="1347"/>
      <c r="CW727" s="1347"/>
      <c r="CX727" s="1347"/>
      <c r="CY727" s="1347"/>
      <c r="CZ727" s="1347">
        <f t="shared" si="22"/>
        <v>0</v>
      </c>
      <c r="DA727" s="1347"/>
      <c r="DB727" s="1347"/>
      <c r="DC727" s="1347"/>
      <c r="DD727" s="1347"/>
      <c r="DE727" s="1347">
        <f t="shared" si="23"/>
        <v>0</v>
      </c>
      <c r="DF727" s="1347"/>
      <c r="DG727" s="1347"/>
      <c r="DH727" s="1347"/>
      <c r="DI727" s="1347"/>
      <c r="DJ727" s="1347">
        <f t="shared" si="24"/>
        <v>0</v>
      </c>
      <c r="DK727" s="1347"/>
      <c r="DL727" s="1347"/>
      <c r="DM727" s="1347"/>
      <c r="DN727" s="1347"/>
      <c r="DO727" s="1347">
        <f t="shared" si="25"/>
        <v>0</v>
      </c>
      <c r="DP727" s="1347"/>
      <c r="DQ727" s="1347"/>
      <c r="DR727" s="1347"/>
      <c r="DS727" s="1347"/>
      <c r="DT727" s="6"/>
      <c r="DU727" s="1366">
        <f t="shared" si="26"/>
        <v>0</v>
      </c>
      <c r="DV727" s="1366"/>
      <c r="DW727" s="1366"/>
      <c r="DX727" s="1366"/>
      <c r="DY727" s="1366"/>
      <c r="DZ727" s="1366">
        <f t="shared" si="27"/>
        <v>0</v>
      </c>
      <c r="EA727" s="1366"/>
      <c r="EB727" s="1366"/>
      <c r="EC727" s="1366"/>
      <c r="ED727" s="1366"/>
      <c r="EE727" s="1366">
        <f t="shared" si="28"/>
        <v>0</v>
      </c>
      <c r="EF727" s="1366"/>
      <c r="EG727" s="1366"/>
      <c r="EH727" s="1366"/>
      <c r="EI727" s="1366"/>
      <c r="EJ727" s="1366">
        <f t="shared" si="29"/>
        <v>0</v>
      </c>
      <c r="EK727" s="1366"/>
      <c r="EL727" s="1366"/>
      <c r="EM727" s="1366"/>
      <c r="EN727" s="1366"/>
      <c r="EO727" s="1366">
        <f t="shared" si="30"/>
        <v>0</v>
      </c>
      <c r="EP727" s="1366"/>
      <c r="EQ727" s="1366"/>
      <c r="ER727" s="1366"/>
      <c r="ES727" s="1366"/>
      <c r="ET727" s="1366">
        <f t="shared" si="31"/>
        <v>0</v>
      </c>
      <c r="EU727" s="1366"/>
      <c r="EV727" s="1366"/>
      <c r="EW727" s="1366"/>
      <c r="EX727" s="1366"/>
      <c r="EY727" s="4"/>
      <c r="EZ727" s="1359">
        <f t="shared" si="32"/>
        <v>1331</v>
      </c>
      <c r="FA727" s="1360"/>
      <c r="FB727" s="1360"/>
      <c r="FC727" s="1360"/>
      <c r="FD727" s="1361"/>
      <c r="FE727" s="1359" t="str">
        <f t="shared" si="33"/>
        <v/>
      </c>
      <c r="FF727" s="1360"/>
      <c r="FG727" s="1360"/>
      <c r="FH727" s="1360"/>
      <c r="FI727" s="1361"/>
      <c r="FJ727" s="1359" t="str">
        <f t="shared" si="34"/>
        <v/>
      </c>
      <c r="FK727" s="1360"/>
      <c r="FL727" s="1360"/>
      <c r="FM727" s="1360"/>
      <c r="FN727" s="1361"/>
      <c r="FO727" s="1359" t="str">
        <f t="shared" si="35"/>
        <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2.9" customHeight="1">
      <c r="A728" s="4"/>
      <c r="B728" s="1362" t="s">
        <v>323</v>
      </c>
      <c r="C728" s="1363"/>
      <c r="D728" s="1363"/>
      <c r="E728" s="1363"/>
      <c r="F728" s="1364"/>
      <c r="G728" s="1590">
        <v>1</v>
      </c>
      <c r="H728" s="1591"/>
      <c r="I728" s="1591"/>
      <c r="J728" s="1592"/>
      <c r="K728" s="1594">
        <v>411</v>
      </c>
      <c r="L728" s="1595"/>
      <c r="M728" s="1595"/>
      <c r="N728" s="1596"/>
      <c r="O728" s="1484">
        <v>1611</v>
      </c>
      <c r="P728" s="1485"/>
      <c r="Q728" s="1485"/>
      <c r="R728" s="1485"/>
      <c r="S728" s="1486"/>
      <c r="T728" s="1484">
        <v>67</v>
      </c>
      <c r="U728" s="1485"/>
      <c r="V728" s="1485"/>
      <c r="W728" s="1486"/>
      <c r="X728" s="1405">
        <f t="shared" si="10"/>
        <v>1678</v>
      </c>
      <c r="Y728" s="1406"/>
      <c r="Z728" s="1406"/>
      <c r="AA728" s="1406"/>
      <c r="AB728" s="1407"/>
      <c r="AC728" s="1597">
        <v>0.6</v>
      </c>
      <c r="AD728" s="1598"/>
      <c r="AE728" s="1598"/>
      <c r="AF728" s="1598"/>
      <c r="AG728" s="1599"/>
      <c r="AH728" s="1387">
        <f t="shared" si="38"/>
        <v>0.60014306151645203</v>
      </c>
      <c r="AI728" s="1388"/>
      <c r="AJ728" s="1389"/>
      <c r="AK728" s="1362" t="s">
        <v>590</v>
      </c>
      <c r="AL728" s="1363"/>
      <c r="AM728" s="1363"/>
      <c r="AN728" s="1363"/>
      <c r="AO728" s="1364"/>
      <c r="AP728" s="3"/>
      <c r="AQ728" s="3"/>
      <c r="AR728" s="3"/>
      <c r="AS728" s="3"/>
      <c r="AZ728" s="118">
        <f t="shared" si="11"/>
        <v>2796</v>
      </c>
      <c r="BA728" s="3"/>
      <c r="BB728" s="3"/>
      <c r="BC728" s="3"/>
      <c r="BD728" s="3"/>
      <c r="BE728" s="204"/>
      <c r="BF728" s="294">
        <f t="shared" si="12"/>
        <v>1</v>
      </c>
      <c r="BG728" s="297">
        <f t="shared" si="13"/>
        <v>6.7114093959731542E-3</v>
      </c>
      <c r="BH728" s="298">
        <f t="shared" si="14"/>
        <v>4.0268456375838922E-3</v>
      </c>
      <c r="BI728" s="3"/>
      <c r="BJ728" s="3"/>
      <c r="BK728" s="3"/>
      <c r="BL728" s="3"/>
      <c r="BM728" s="3"/>
      <c r="BN728" s="3"/>
      <c r="BS728" s="294">
        <f t="shared" si="15"/>
        <v>1</v>
      </c>
      <c r="BT728" s="297">
        <f t="shared" si="16"/>
        <v>6.7114093959731542E-3</v>
      </c>
      <c r="BU728" s="298">
        <f t="shared" si="17"/>
        <v>4.0278057819896108E-3</v>
      </c>
      <c r="CC728" s="3"/>
      <c r="CD728" s="3"/>
      <c r="CE728" s="3"/>
      <c r="CF728" s="3"/>
      <c r="CG728" s="1359">
        <f t="shared" si="39"/>
        <v>0</v>
      </c>
      <c r="CH728" s="1361"/>
      <c r="CI728" s="1342">
        <f t="shared" si="40"/>
        <v>0</v>
      </c>
      <c r="CJ728" s="1344"/>
      <c r="CK728" s="1359">
        <f t="shared" si="18"/>
        <v>0</v>
      </c>
      <c r="CL728" s="1361"/>
      <c r="CM728" s="1342">
        <f t="shared" si="19"/>
        <v>0</v>
      </c>
      <c r="CN728" s="1344"/>
      <c r="CO728" s="3"/>
      <c r="CP728" s="1339">
        <f t="shared" si="20"/>
        <v>1</v>
      </c>
      <c r="CQ728" s="1340"/>
      <c r="CR728" s="1340"/>
      <c r="CS728" s="1340"/>
      <c r="CT728" s="1341"/>
      <c r="CU728" s="1347">
        <f t="shared" si="21"/>
        <v>0</v>
      </c>
      <c r="CV728" s="1347"/>
      <c r="CW728" s="1347"/>
      <c r="CX728" s="1347"/>
      <c r="CY728" s="1347"/>
      <c r="CZ728" s="1347">
        <f t="shared" si="22"/>
        <v>0</v>
      </c>
      <c r="DA728" s="1347"/>
      <c r="DB728" s="1347"/>
      <c r="DC728" s="1347"/>
      <c r="DD728" s="1347"/>
      <c r="DE728" s="1347">
        <f t="shared" si="23"/>
        <v>0</v>
      </c>
      <c r="DF728" s="1347"/>
      <c r="DG728" s="1347"/>
      <c r="DH728" s="1347"/>
      <c r="DI728" s="1347"/>
      <c r="DJ728" s="1347">
        <f t="shared" si="24"/>
        <v>0</v>
      </c>
      <c r="DK728" s="1347"/>
      <c r="DL728" s="1347"/>
      <c r="DM728" s="1347"/>
      <c r="DN728" s="1347"/>
      <c r="DO728" s="1347">
        <f t="shared" si="25"/>
        <v>0</v>
      </c>
      <c r="DP728" s="1347"/>
      <c r="DQ728" s="1347"/>
      <c r="DR728" s="1347"/>
      <c r="DS728" s="1347"/>
      <c r="DT728" s="6"/>
      <c r="DU728" s="1366">
        <f t="shared" si="26"/>
        <v>0</v>
      </c>
      <c r="DV728" s="1366"/>
      <c r="DW728" s="1366"/>
      <c r="DX728" s="1366"/>
      <c r="DY728" s="1366"/>
      <c r="DZ728" s="1366">
        <f t="shared" si="27"/>
        <v>0</v>
      </c>
      <c r="EA728" s="1366"/>
      <c r="EB728" s="1366"/>
      <c r="EC728" s="1366"/>
      <c r="ED728" s="1366"/>
      <c r="EE728" s="1366">
        <f t="shared" si="28"/>
        <v>0</v>
      </c>
      <c r="EF728" s="1366"/>
      <c r="EG728" s="1366"/>
      <c r="EH728" s="1366"/>
      <c r="EI728" s="1366"/>
      <c r="EJ728" s="1366">
        <f t="shared" si="29"/>
        <v>0</v>
      </c>
      <c r="EK728" s="1366"/>
      <c r="EL728" s="1366"/>
      <c r="EM728" s="1366"/>
      <c r="EN728" s="1366"/>
      <c r="EO728" s="1366">
        <f t="shared" si="30"/>
        <v>0</v>
      </c>
      <c r="EP728" s="1366"/>
      <c r="EQ728" s="1366"/>
      <c r="ER728" s="1366"/>
      <c r="ES728" s="1366"/>
      <c r="ET728" s="1366">
        <f t="shared" si="31"/>
        <v>0</v>
      </c>
      <c r="EU728" s="1366"/>
      <c r="EV728" s="1366"/>
      <c r="EW728" s="1366"/>
      <c r="EX728" s="1366"/>
      <c r="EZ728" s="1359">
        <f t="shared" si="32"/>
        <v>1611</v>
      </c>
      <c r="FA728" s="1360"/>
      <c r="FB728" s="1360"/>
      <c r="FC728" s="1360"/>
      <c r="FD728" s="1361"/>
      <c r="FE728" s="1359" t="str">
        <f t="shared" si="33"/>
        <v/>
      </c>
      <c r="FF728" s="1360"/>
      <c r="FG728" s="1360"/>
      <c r="FH728" s="1360"/>
      <c r="FI728" s="1361"/>
      <c r="FJ728" s="1359" t="str">
        <f t="shared" si="34"/>
        <v/>
      </c>
      <c r="FK728" s="1360"/>
      <c r="FL728" s="1360"/>
      <c r="FM728" s="1360"/>
      <c r="FN728" s="1361"/>
      <c r="FO728" s="1359" t="str">
        <f t="shared" si="35"/>
        <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2.9" customHeight="1">
      <c r="B729" s="1362" t="s">
        <v>324</v>
      </c>
      <c r="C729" s="1363"/>
      <c r="D729" s="1363"/>
      <c r="E729" s="1363"/>
      <c r="F729" s="1364"/>
      <c r="G729" s="1590">
        <v>8</v>
      </c>
      <c r="H729" s="1591"/>
      <c r="I729" s="1591"/>
      <c r="J729" s="1592"/>
      <c r="K729" s="1594">
        <v>554</v>
      </c>
      <c r="L729" s="1595"/>
      <c r="M729" s="1595"/>
      <c r="N729" s="1596"/>
      <c r="O729" s="1484">
        <v>818</v>
      </c>
      <c r="P729" s="1485"/>
      <c r="Q729" s="1485"/>
      <c r="R729" s="1485"/>
      <c r="S729" s="1486"/>
      <c r="T729" s="1484">
        <v>81</v>
      </c>
      <c r="U729" s="1485"/>
      <c r="V729" s="1485"/>
      <c r="W729" s="1486"/>
      <c r="X729" s="1405">
        <f t="shared" si="10"/>
        <v>899</v>
      </c>
      <c r="Y729" s="1406"/>
      <c r="Z729" s="1406"/>
      <c r="AA729" s="1406"/>
      <c r="AB729" s="1407"/>
      <c r="AC729" s="1597">
        <v>0.3</v>
      </c>
      <c r="AD729" s="1598"/>
      <c r="AE729" s="1598"/>
      <c r="AF729" s="1598"/>
      <c r="AG729" s="1599"/>
      <c r="AH729" s="1387">
        <f t="shared" si="38"/>
        <v>0.3000667556742323</v>
      </c>
      <c r="AI729" s="1388"/>
      <c r="AJ729" s="1389"/>
      <c r="AK729" s="1362" t="s">
        <v>590</v>
      </c>
      <c r="AL729" s="1363"/>
      <c r="AM729" s="1363"/>
      <c r="AN729" s="1363"/>
      <c r="AO729" s="1364"/>
      <c r="AP729" s="3"/>
      <c r="AQ729" s="3"/>
      <c r="AR729" s="3"/>
      <c r="AS729" s="3"/>
      <c r="AY729" s="116"/>
      <c r="AZ729" s="118">
        <f t="shared" si="11"/>
        <v>2996</v>
      </c>
      <c r="BA729" s="3"/>
      <c r="BB729" s="3"/>
      <c r="BC729" s="3"/>
      <c r="BD729" s="3"/>
      <c r="BE729" s="204"/>
      <c r="BF729" s="294">
        <f t="shared" si="12"/>
        <v>8</v>
      </c>
      <c r="BG729" s="297">
        <f t="shared" si="13"/>
        <v>5.3691275167785234E-2</v>
      </c>
      <c r="BH729" s="298">
        <f t="shared" si="14"/>
        <v>1.6107382550335569E-2</v>
      </c>
      <c r="BI729" s="3"/>
      <c r="BJ729" s="3"/>
      <c r="BK729" s="3"/>
      <c r="BL729" s="3"/>
      <c r="BM729" s="3"/>
      <c r="BN729" s="3"/>
      <c r="BS729" s="294">
        <f t="shared" si="15"/>
        <v>8</v>
      </c>
      <c r="BT729" s="297">
        <f t="shared" si="16"/>
        <v>5.3691275167785234E-2</v>
      </c>
      <c r="BU729" s="298">
        <f t="shared" si="17"/>
        <v>1.6110966747609787E-2</v>
      </c>
      <c r="CC729" s="3"/>
      <c r="CD729" s="3"/>
      <c r="CE729" s="3"/>
      <c r="CF729" s="3"/>
      <c r="CG729" s="1359">
        <f t="shared" si="39"/>
        <v>0</v>
      </c>
      <c r="CH729" s="1361"/>
      <c r="CI729" s="1342">
        <f t="shared" si="40"/>
        <v>0</v>
      </c>
      <c r="CJ729" s="1344"/>
      <c r="CK729" s="1359">
        <f t="shared" si="18"/>
        <v>1</v>
      </c>
      <c r="CL729" s="1361"/>
      <c r="CM729" s="1342">
        <f t="shared" si="19"/>
        <v>8</v>
      </c>
      <c r="CN729" s="1344"/>
      <c r="CO729" s="3"/>
      <c r="CP729" s="1339">
        <f t="shared" si="20"/>
        <v>0</v>
      </c>
      <c r="CQ729" s="1340"/>
      <c r="CR729" s="1340"/>
      <c r="CS729" s="1340"/>
      <c r="CT729" s="1341"/>
      <c r="CU729" s="1347">
        <f t="shared" si="21"/>
        <v>8</v>
      </c>
      <c r="CV729" s="1347"/>
      <c r="CW729" s="1347"/>
      <c r="CX729" s="1347"/>
      <c r="CY729" s="1347"/>
      <c r="CZ729" s="1347">
        <f t="shared" si="22"/>
        <v>0</v>
      </c>
      <c r="DA729" s="1347"/>
      <c r="DB729" s="1347"/>
      <c r="DC729" s="1347"/>
      <c r="DD729" s="1347"/>
      <c r="DE729" s="1347">
        <f t="shared" si="23"/>
        <v>0</v>
      </c>
      <c r="DF729" s="1347"/>
      <c r="DG729" s="1347"/>
      <c r="DH729" s="1347"/>
      <c r="DI729" s="1347"/>
      <c r="DJ729" s="1347">
        <f t="shared" si="24"/>
        <v>0</v>
      </c>
      <c r="DK729" s="1347"/>
      <c r="DL729" s="1347"/>
      <c r="DM729" s="1347"/>
      <c r="DN729" s="1347"/>
      <c r="DO729" s="1347">
        <f t="shared" si="25"/>
        <v>0</v>
      </c>
      <c r="DP729" s="1347"/>
      <c r="DQ729" s="1347"/>
      <c r="DR729" s="1347"/>
      <c r="DS729" s="1347"/>
      <c r="DT729" s="6"/>
      <c r="DU729" s="1366">
        <f t="shared" si="26"/>
        <v>0</v>
      </c>
      <c r="DV729" s="1366"/>
      <c r="DW729" s="1366"/>
      <c r="DX729" s="1366"/>
      <c r="DY729" s="1366"/>
      <c r="DZ729" s="1366">
        <f t="shared" si="27"/>
        <v>8</v>
      </c>
      <c r="EA729" s="1366"/>
      <c r="EB729" s="1366"/>
      <c r="EC729" s="1366"/>
      <c r="ED729" s="1366"/>
      <c r="EE729" s="1366">
        <f t="shared" si="28"/>
        <v>0</v>
      </c>
      <c r="EF729" s="1366"/>
      <c r="EG729" s="1366"/>
      <c r="EH729" s="1366"/>
      <c r="EI729" s="1366"/>
      <c r="EJ729" s="1366">
        <f t="shared" si="29"/>
        <v>0</v>
      </c>
      <c r="EK729" s="1366"/>
      <c r="EL729" s="1366"/>
      <c r="EM729" s="1366"/>
      <c r="EN729" s="1366"/>
      <c r="EO729" s="1366">
        <f t="shared" si="30"/>
        <v>0</v>
      </c>
      <c r="EP729" s="1366"/>
      <c r="EQ729" s="1366"/>
      <c r="ER729" s="1366"/>
      <c r="ES729" s="1366"/>
      <c r="ET729" s="1366">
        <f t="shared" si="31"/>
        <v>0</v>
      </c>
      <c r="EU729" s="1366"/>
      <c r="EV729" s="1366"/>
      <c r="EW729" s="1366"/>
      <c r="EX729" s="1366"/>
      <c r="EZ729" s="1359" t="str">
        <f t="shared" si="32"/>
        <v/>
      </c>
      <c r="FA729" s="1360"/>
      <c r="FB729" s="1360"/>
      <c r="FC729" s="1360"/>
      <c r="FD729" s="1361"/>
      <c r="FE729" s="1359">
        <f t="shared" si="33"/>
        <v>818</v>
      </c>
      <c r="FF729" s="1360"/>
      <c r="FG729" s="1360"/>
      <c r="FH729" s="1360"/>
      <c r="FI729" s="1361"/>
      <c r="FJ729" s="1359" t="str">
        <f t="shared" si="34"/>
        <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2.9" customHeight="1">
      <c r="B730" s="1362" t="s">
        <v>324</v>
      </c>
      <c r="C730" s="1363"/>
      <c r="D730" s="1363"/>
      <c r="E730" s="1363"/>
      <c r="F730" s="1364"/>
      <c r="G730" s="1590">
        <v>1</v>
      </c>
      <c r="H730" s="1591"/>
      <c r="I730" s="1591"/>
      <c r="J730" s="1592"/>
      <c r="K730" s="1594">
        <v>554</v>
      </c>
      <c r="L730" s="1595"/>
      <c r="M730" s="1595"/>
      <c r="N730" s="1596"/>
      <c r="O730" s="1484">
        <v>1417</v>
      </c>
      <c r="P730" s="1485"/>
      <c r="Q730" s="1485"/>
      <c r="R730" s="1485"/>
      <c r="S730" s="1486"/>
      <c r="T730" s="1484">
        <v>81</v>
      </c>
      <c r="U730" s="1485"/>
      <c r="V730" s="1485"/>
      <c r="W730" s="1486"/>
      <c r="X730" s="1405">
        <f t="shared" si="10"/>
        <v>1498</v>
      </c>
      <c r="Y730" s="1406"/>
      <c r="Z730" s="1406"/>
      <c r="AA730" s="1406"/>
      <c r="AB730" s="1407"/>
      <c r="AC730" s="1597">
        <v>0.5</v>
      </c>
      <c r="AD730" s="1598"/>
      <c r="AE730" s="1598"/>
      <c r="AF730" s="1598"/>
      <c r="AG730" s="1599"/>
      <c r="AH730" s="1387">
        <f t="shared" si="38"/>
        <v>0.5</v>
      </c>
      <c r="AI730" s="1388"/>
      <c r="AJ730" s="1389"/>
      <c r="AK730" s="1362" t="s">
        <v>590</v>
      </c>
      <c r="AL730" s="1363"/>
      <c r="AM730" s="1363"/>
      <c r="AN730" s="1363"/>
      <c r="AO730" s="1364"/>
      <c r="AP730" s="3"/>
      <c r="AQ730" s="3"/>
      <c r="AR730" s="3"/>
      <c r="AS730" s="3"/>
      <c r="AY730" s="116"/>
      <c r="AZ730" s="118">
        <f t="shared" si="11"/>
        <v>2996</v>
      </c>
      <c r="BA730" s="3"/>
      <c r="BB730" s="3"/>
      <c r="BC730" s="3"/>
      <c r="BD730" s="3"/>
      <c r="BE730" s="204"/>
      <c r="BF730" s="294">
        <f t="shared" si="12"/>
        <v>1</v>
      </c>
      <c r="BG730" s="297">
        <f t="shared" si="13"/>
        <v>6.7114093959731542E-3</v>
      </c>
      <c r="BH730" s="298">
        <f t="shared" si="14"/>
        <v>3.3557046979865771E-3</v>
      </c>
      <c r="BI730" s="3"/>
      <c r="BJ730" s="3"/>
      <c r="BK730" s="3"/>
      <c r="BL730" s="3"/>
      <c r="BM730" s="3"/>
      <c r="BN730" s="3"/>
      <c r="BS730" s="294">
        <f t="shared" si="15"/>
        <v>1</v>
      </c>
      <c r="BT730" s="297">
        <f t="shared" si="16"/>
        <v>6.7114093959731542E-3</v>
      </c>
      <c r="BU730" s="298">
        <f t="shared" si="17"/>
        <v>3.3557046979865771E-3</v>
      </c>
      <c r="CC730" s="3"/>
      <c r="CD730" s="3"/>
      <c r="CE730" s="3"/>
      <c r="CF730" s="3"/>
      <c r="CG730" s="1359">
        <f t="shared" si="39"/>
        <v>1</v>
      </c>
      <c r="CH730" s="1361"/>
      <c r="CI730" s="1342">
        <f t="shared" si="40"/>
        <v>1</v>
      </c>
      <c r="CJ730" s="1344"/>
      <c r="CK730" s="1359">
        <f t="shared" si="18"/>
        <v>0</v>
      </c>
      <c r="CL730" s="1361"/>
      <c r="CM730" s="1342">
        <f t="shared" si="19"/>
        <v>0</v>
      </c>
      <c r="CN730" s="1344"/>
      <c r="CO730" s="3"/>
      <c r="CP730" s="1339">
        <f t="shared" si="20"/>
        <v>0</v>
      </c>
      <c r="CQ730" s="1340"/>
      <c r="CR730" s="1340"/>
      <c r="CS730" s="1340"/>
      <c r="CT730" s="1341"/>
      <c r="CU730" s="1347">
        <f t="shared" si="21"/>
        <v>1</v>
      </c>
      <c r="CV730" s="1347"/>
      <c r="CW730" s="1347"/>
      <c r="CX730" s="1347"/>
      <c r="CY730" s="1347"/>
      <c r="CZ730" s="1347">
        <f t="shared" si="22"/>
        <v>0</v>
      </c>
      <c r="DA730" s="1347"/>
      <c r="DB730" s="1347"/>
      <c r="DC730" s="1347"/>
      <c r="DD730" s="1347"/>
      <c r="DE730" s="1347">
        <f t="shared" si="23"/>
        <v>0</v>
      </c>
      <c r="DF730" s="1347"/>
      <c r="DG730" s="1347"/>
      <c r="DH730" s="1347"/>
      <c r="DI730" s="1347"/>
      <c r="DJ730" s="1347">
        <f t="shared" si="24"/>
        <v>0</v>
      </c>
      <c r="DK730" s="1347"/>
      <c r="DL730" s="1347"/>
      <c r="DM730" s="1347"/>
      <c r="DN730" s="1347"/>
      <c r="DO730" s="1347">
        <f t="shared" si="25"/>
        <v>0</v>
      </c>
      <c r="DP730" s="1347"/>
      <c r="DQ730" s="1347"/>
      <c r="DR730" s="1347"/>
      <c r="DS730" s="1347"/>
      <c r="DT730" s="6"/>
      <c r="DU730" s="1366">
        <f t="shared" si="26"/>
        <v>0</v>
      </c>
      <c r="DV730" s="1366"/>
      <c r="DW730" s="1366"/>
      <c r="DX730" s="1366"/>
      <c r="DY730" s="1366"/>
      <c r="DZ730" s="1366">
        <f t="shared" si="27"/>
        <v>0</v>
      </c>
      <c r="EA730" s="1366"/>
      <c r="EB730" s="1366"/>
      <c r="EC730" s="1366"/>
      <c r="ED730" s="1366"/>
      <c r="EE730" s="1366">
        <f t="shared" si="28"/>
        <v>0</v>
      </c>
      <c r="EF730" s="1366"/>
      <c r="EG730" s="1366"/>
      <c r="EH730" s="1366"/>
      <c r="EI730" s="1366"/>
      <c r="EJ730" s="1366">
        <f t="shared" si="29"/>
        <v>0</v>
      </c>
      <c r="EK730" s="1366"/>
      <c r="EL730" s="1366"/>
      <c r="EM730" s="1366"/>
      <c r="EN730" s="1366"/>
      <c r="EO730" s="1366">
        <f t="shared" si="30"/>
        <v>0</v>
      </c>
      <c r="EP730" s="1366"/>
      <c r="EQ730" s="1366"/>
      <c r="ER730" s="1366"/>
      <c r="ES730" s="1366"/>
      <c r="ET730" s="1366">
        <f t="shared" si="31"/>
        <v>0</v>
      </c>
      <c r="EU730" s="1366"/>
      <c r="EV730" s="1366"/>
      <c r="EW730" s="1366"/>
      <c r="EX730" s="1366"/>
      <c r="EZ730" s="1359" t="str">
        <f t="shared" si="32"/>
        <v/>
      </c>
      <c r="FA730" s="1360"/>
      <c r="FB730" s="1360"/>
      <c r="FC730" s="1360"/>
      <c r="FD730" s="1361"/>
      <c r="FE730" s="1359">
        <f t="shared" si="33"/>
        <v>1417</v>
      </c>
      <c r="FF730" s="1360"/>
      <c r="FG730" s="1360"/>
      <c r="FH730" s="1360"/>
      <c r="FI730" s="1361"/>
      <c r="FJ730" s="1359" t="str">
        <f t="shared" si="34"/>
        <v/>
      </c>
      <c r="FK730" s="1360"/>
      <c r="FL730" s="1360"/>
      <c r="FM730" s="1360"/>
      <c r="FN730" s="1361"/>
      <c r="FO730" s="1359" t="str">
        <f t="shared" si="35"/>
        <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2.9" customHeight="1">
      <c r="B731" s="1362" t="s">
        <v>324</v>
      </c>
      <c r="C731" s="1363"/>
      <c r="D731" s="1363"/>
      <c r="E731" s="1363"/>
      <c r="F731" s="1364"/>
      <c r="G731" s="1590">
        <v>1</v>
      </c>
      <c r="H731" s="1591"/>
      <c r="I731" s="1591"/>
      <c r="J731" s="1592"/>
      <c r="K731" s="1594">
        <v>554</v>
      </c>
      <c r="L731" s="1595"/>
      <c r="M731" s="1595"/>
      <c r="N731" s="1596"/>
      <c r="O731" s="1484">
        <v>1717</v>
      </c>
      <c r="P731" s="1485"/>
      <c r="Q731" s="1485"/>
      <c r="R731" s="1485"/>
      <c r="S731" s="1486"/>
      <c r="T731" s="1484">
        <v>81</v>
      </c>
      <c r="U731" s="1485"/>
      <c r="V731" s="1485"/>
      <c r="W731" s="1486"/>
      <c r="X731" s="1405">
        <f t="shared" si="10"/>
        <v>1798</v>
      </c>
      <c r="Y731" s="1406"/>
      <c r="Z731" s="1406"/>
      <c r="AA731" s="1406"/>
      <c r="AB731" s="1407"/>
      <c r="AC731" s="1597">
        <v>0.6</v>
      </c>
      <c r="AD731" s="1598"/>
      <c r="AE731" s="1598"/>
      <c r="AF731" s="1598"/>
      <c r="AG731" s="1599"/>
      <c r="AH731" s="1387">
        <f t="shared" si="38"/>
        <v>0.6001335113484646</v>
      </c>
      <c r="AI731" s="1388"/>
      <c r="AJ731" s="1389"/>
      <c r="AK731" s="1362" t="s">
        <v>590</v>
      </c>
      <c r="AL731" s="1363"/>
      <c r="AM731" s="1363"/>
      <c r="AN731" s="1363"/>
      <c r="AO731" s="1364"/>
      <c r="AP731" s="3"/>
      <c r="AQ731" s="3"/>
      <c r="AR731" s="3"/>
      <c r="AS731" s="3"/>
      <c r="AY731" s="116"/>
      <c r="AZ731" s="118">
        <f t="shared" si="11"/>
        <v>2996</v>
      </c>
      <c r="BA731" s="3"/>
      <c r="BB731" s="3"/>
      <c r="BC731" s="3"/>
      <c r="BD731" s="3"/>
      <c r="BE731" s="204"/>
      <c r="BF731" s="294">
        <f t="shared" si="12"/>
        <v>1</v>
      </c>
      <c r="BG731" s="297">
        <f t="shared" si="13"/>
        <v>6.7114093959731542E-3</v>
      </c>
      <c r="BH731" s="298">
        <f t="shared" si="14"/>
        <v>4.0268456375838922E-3</v>
      </c>
      <c r="BI731" s="3"/>
      <c r="BJ731" s="3"/>
      <c r="BK731" s="3"/>
      <c r="BL731" s="3"/>
      <c r="BM731" s="3"/>
      <c r="BN731" s="3"/>
      <c r="BS731" s="294">
        <f t="shared" si="15"/>
        <v>1</v>
      </c>
      <c r="BT731" s="297">
        <f t="shared" si="16"/>
        <v>6.7114093959731542E-3</v>
      </c>
      <c r="BU731" s="298">
        <f t="shared" si="17"/>
        <v>4.0277416869024469E-3</v>
      </c>
      <c r="CC731" s="3"/>
      <c r="CD731" s="3"/>
      <c r="CE731" s="3"/>
      <c r="CF731" s="3"/>
      <c r="CG731" s="1359">
        <f t="shared" si="39"/>
        <v>0</v>
      </c>
      <c r="CH731" s="1361"/>
      <c r="CI731" s="1342">
        <f t="shared" si="40"/>
        <v>0</v>
      </c>
      <c r="CJ731" s="1344"/>
      <c r="CK731" s="1359">
        <f t="shared" si="18"/>
        <v>0</v>
      </c>
      <c r="CL731" s="1361"/>
      <c r="CM731" s="1342">
        <f t="shared" si="19"/>
        <v>0</v>
      </c>
      <c r="CN731" s="1344"/>
      <c r="CO731" s="3"/>
      <c r="CP731" s="1339">
        <f t="shared" si="20"/>
        <v>0</v>
      </c>
      <c r="CQ731" s="1340"/>
      <c r="CR731" s="1340"/>
      <c r="CS731" s="1340"/>
      <c r="CT731" s="1341"/>
      <c r="CU731" s="1347">
        <f t="shared" si="21"/>
        <v>1</v>
      </c>
      <c r="CV731" s="1347"/>
      <c r="CW731" s="1347"/>
      <c r="CX731" s="1347"/>
      <c r="CY731" s="1347"/>
      <c r="CZ731" s="1347">
        <f t="shared" si="22"/>
        <v>0</v>
      </c>
      <c r="DA731" s="1347"/>
      <c r="DB731" s="1347"/>
      <c r="DC731" s="1347"/>
      <c r="DD731" s="1347"/>
      <c r="DE731" s="1347">
        <f t="shared" si="23"/>
        <v>0</v>
      </c>
      <c r="DF731" s="1347"/>
      <c r="DG731" s="1347"/>
      <c r="DH731" s="1347"/>
      <c r="DI731" s="1347"/>
      <c r="DJ731" s="1347">
        <f t="shared" si="24"/>
        <v>0</v>
      </c>
      <c r="DK731" s="1347"/>
      <c r="DL731" s="1347"/>
      <c r="DM731" s="1347"/>
      <c r="DN731" s="1347"/>
      <c r="DO731" s="1347">
        <f t="shared" si="25"/>
        <v>0</v>
      </c>
      <c r="DP731" s="1347"/>
      <c r="DQ731" s="1347"/>
      <c r="DR731" s="1347"/>
      <c r="DS731" s="1347"/>
      <c r="DT731" s="6"/>
      <c r="DU731" s="1366">
        <f t="shared" si="26"/>
        <v>0</v>
      </c>
      <c r="DV731" s="1366"/>
      <c r="DW731" s="1366"/>
      <c r="DX731" s="1366"/>
      <c r="DY731" s="1366"/>
      <c r="DZ731" s="1366">
        <f t="shared" si="27"/>
        <v>0</v>
      </c>
      <c r="EA731" s="1366"/>
      <c r="EB731" s="1366"/>
      <c r="EC731" s="1366"/>
      <c r="ED731" s="1366"/>
      <c r="EE731" s="1366">
        <f t="shared" si="28"/>
        <v>0</v>
      </c>
      <c r="EF731" s="1366"/>
      <c r="EG731" s="1366"/>
      <c r="EH731" s="1366"/>
      <c r="EI731" s="1366"/>
      <c r="EJ731" s="1366">
        <f t="shared" si="29"/>
        <v>0</v>
      </c>
      <c r="EK731" s="1366"/>
      <c r="EL731" s="1366"/>
      <c r="EM731" s="1366"/>
      <c r="EN731" s="1366"/>
      <c r="EO731" s="1366">
        <f t="shared" si="30"/>
        <v>0</v>
      </c>
      <c r="EP731" s="1366"/>
      <c r="EQ731" s="1366"/>
      <c r="ER731" s="1366"/>
      <c r="ES731" s="1366"/>
      <c r="ET731" s="1366">
        <f t="shared" si="31"/>
        <v>0</v>
      </c>
      <c r="EU731" s="1366"/>
      <c r="EV731" s="1366"/>
      <c r="EW731" s="1366"/>
      <c r="EX731" s="1366"/>
      <c r="EZ731" s="1359" t="str">
        <f t="shared" si="32"/>
        <v/>
      </c>
      <c r="FA731" s="1360"/>
      <c r="FB731" s="1360"/>
      <c r="FC731" s="1360"/>
      <c r="FD731" s="1361"/>
      <c r="FE731" s="1359">
        <f t="shared" si="33"/>
        <v>1717</v>
      </c>
      <c r="FF731" s="1360"/>
      <c r="FG731" s="1360"/>
      <c r="FH731" s="1360"/>
      <c r="FI731" s="1361"/>
      <c r="FJ731" s="1359" t="str">
        <f t="shared" si="34"/>
        <v/>
      </c>
      <c r="FK731" s="1360"/>
      <c r="FL731" s="1360"/>
      <c r="FM731" s="1360"/>
      <c r="FN731" s="1361"/>
      <c r="FO731" s="1359" t="str">
        <f t="shared" si="35"/>
        <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2.9" customHeight="1">
      <c r="B732" s="1362" t="s">
        <v>163</v>
      </c>
      <c r="C732" s="1363"/>
      <c r="D732" s="1363"/>
      <c r="E732" s="1363"/>
      <c r="F732" s="1364"/>
      <c r="G732" s="1590">
        <v>33</v>
      </c>
      <c r="H732" s="1591"/>
      <c r="I732" s="1591"/>
      <c r="J732" s="1592"/>
      <c r="K732" s="1594">
        <v>792</v>
      </c>
      <c r="L732" s="1595"/>
      <c r="M732" s="1595"/>
      <c r="N732" s="1596"/>
      <c r="O732" s="1484">
        <v>966</v>
      </c>
      <c r="P732" s="1485"/>
      <c r="Q732" s="1485"/>
      <c r="R732" s="1485"/>
      <c r="S732" s="1486"/>
      <c r="T732" s="1484">
        <v>113</v>
      </c>
      <c r="U732" s="1485"/>
      <c r="V732" s="1485"/>
      <c r="W732" s="1486"/>
      <c r="X732" s="1405">
        <f t="shared" si="10"/>
        <v>1079</v>
      </c>
      <c r="Y732" s="1406"/>
      <c r="Z732" s="1406"/>
      <c r="AA732" s="1406"/>
      <c r="AB732" s="1407"/>
      <c r="AC732" s="1597">
        <v>0.3</v>
      </c>
      <c r="AD732" s="1598"/>
      <c r="AE732" s="1598"/>
      <c r="AF732" s="1598"/>
      <c r="AG732" s="1599"/>
      <c r="AH732" s="1387">
        <f t="shared" si="38"/>
        <v>0.30005561735261399</v>
      </c>
      <c r="AI732" s="1388"/>
      <c r="AJ732" s="1389"/>
      <c r="AK732" s="1362" t="s">
        <v>590</v>
      </c>
      <c r="AL732" s="1363"/>
      <c r="AM732" s="1363"/>
      <c r="AN732" s="1363"/>
      <c r="AO732" s="1364"/>
      <c r="AP732" s="3"/>
      <c r="AQ732" s="3"/>
      <c r="AR732" s="3"/>
      <c r="AS732" s="3"/>
      <c r="AY732" s="116"/>
      <c r="AZ732" s="118">
        <f t="shared" si="11"/>
        <v>3596</v>
      </c>
      <c r="BA732" s="3"/>
      <c r="BB732" s="3"/>
      <c r="BC732" s="3"/>
      <c r="BD732" s="3"/>
      <c r="BE732" s="204"/>
      <c r="BF732" s="294">
        <f t="shared" si="12"/>
        <v>33</v>
      </c>
      <c r="BG732" s="297">
        <f t="shared" si="13"/>
        <v>0.22147651006711411</v>
      </c>
      <c r="BH732" s="298">
        <f t="shared" si="14"/>
        <v>6.6442953020134227E-2</v>
      </c>
      <c r="BI732" s="3"/>
      <c r="BJ732" s="3"/>
      <c r="BK732" s="3"/>
      <c r="BL732" s="3"/>
      <c r="BM732" s="3"/>
      <c r="BN732" s="3"/>
      <c r="BS732" s="294">
        <f t="shared" si="15"/>
        <v>33</v>
      </c>
      <c r="BT732" s="297">
        <f t="shared" si="16"/>
        <v>0.22147651006711411</v>
      </c>
      <c r="BU732" s="298">
        <f t="shared" si="17"/>
        <v>6.6455270957290355E-2</v>
      </c>
      <c r="CC732" s="3"/>
      <c r="CE732" s="3"/>
      <c r="CF732" s="3"/>
      <c r="CG732" s="1359">
        <f t="shared" si="39"/>
        <v>0</v>
      </c>
      <c r="CH732" s="1361"/>
      <c r="CI732" s="1342">
        <f t="shared" si="40"/>
        <v>0</v>
      </c>
      <c r="CJ732" s="1344"/>
      <c r="CK732" s="1359">
        <f t="shared" si="18"/>
        <v>1</v>
      </c>
      <c r="CL732" s="1361"/>
      <c r="CM732" s="1342">
        <f t="shared" si="19"/>
        <v>33</v>
      </c>
      <c r="CN732" s="1344"/>
      <c r="CO732" s="3"/>
      <c r="CP732" s="1339">
        <f t="shared" si="20"/>
        <v>0</v>
      </c>
      <c r="CQ732" s="1340"/>
      <c r="CR732" s="1340"/>
      <c r="CS732" s="1340"/>
      <c r="CT732" s="1341"/>
      <c r="CU732" s="1347">
        <f t="shared" si="21"/>
        <v>0</v>
      </c>
      <c r="CV732" s="1347"/>
      <c r="CW732" s="1347"/>
      <c r="CX732" s="1347"/>
      <c r="CY732" s="1347"/>
      <c r="CZ732" s="1347">
        <f t="shared" si="22"/>
        <v>33</v>
      </c>
      <c r="DA732" s="1347"/>
      <c r="DB732" s="1347"/>
      <c r="DC732" s="1347"/>
      <c r="DD732" s="1347"/>
      <c r="DE732" s="1347">
        <f t="shared" si="23"/>
        <v>0</v>
      </c>
      <c r="DF732" s="1347"/>
      <c r="DG732" s="1347"/>
      <c r="DH732" s="1347"/>
      <c r="DI732" s="1347"/>
      <c r="DJ732" s="1347">
        <f t="shared" si="24"/>
        <v>0</v>
      </c>
      <c r="DK732" s="1347"/>
      <c r="DL732" s="1347"/>
      <c r="DM732" s="1347"/>
      <c r="DN732" s="1347"/>
      <c r="DO732" s="1347">
        <f t="shared" si="25"/>
        <v>0</v>
      </c>
      <c r="DP732" s="1347"/>
      <c r="DQ732" s="1347"/>
      <c r="DR732" s="1347"/>
      <c r="DS732" s="1347"/>
      <c r="DT732" s="6"/>
      <c r="DU732" s="1366">
        <f t="shared" si="26"/>
        <v>0</v>
      </c>
      <c r="DV732" s="1366"/>
      <c r="DW732" s="1366"/>
      <c r="DX732" s="1366"/>
      <c r="DY732" s="1366"/>
      <c r="DZ732" s="1366">
        <f t="shared" si="27"/>
        <v>0</v>
      </c>
      <c r="EA732" s="1366"/>
      <c r="EB732" s="1366"/>
      <c r="EC732" s="1366"/>
      <c r="ED732" s="1366"/>
      <c r="EE732" s="1366">
        <f t="shared" si="28"/>
        <v>33</v>
      </c>
      <c r="EF732" s="1366"/>
      <c r="EG732" s="1366"/>
      <c r="EH732" s="1366"/>
      <c r="EI732" s="1366"/>
      <c r="EJ732" s="1366">
        <f t="shared" si="29"/>
        <v>0</v>
      </c>
      <c r="EK732" s="1366"/>
      <c r="EL732" s="1366"/>
      <c r="EM732" s="1366"/>
      <c r="EN732" s="1366"/>
      <c r="EO732" s="1366">
        <f t="shared" si="30"/>
        <v>0</v>
      </c>
      <c r="EP732" s="1366"/>
      <c r="EQ732" s="1366"/>
      <c r="ER732" s="1366"/>
      <c r="ES732" s="1366"/>
      <c r="ET732" s="1366">
        <f t="shared" si="31"/>
        <v>0</v>
      </c>
      <c r="EU732" s="1366"/>
      <c r="EV732" s="1366"/>
      <c r="EW732" s="1366"/>
      <c r="EX732" s="1366"/>
      <c r="EZ732" s="1359" t="str">
        <f t="shared" si="32"/>
        <v/>
      </c>
      <c r="FA732" s="1360"/>
      <c r="FB732" s="1360"/>
      <c r="FC732" s="1360"/>
      <c r="FD732" s="1361"/>
      <c r="FE732" s="1359" t="str">
        <f t="shared" si="33"/>
        <v/>
      </c>
      <c r="FF732" s="1360"/>
      <c r="FG732" s="1360"/>
      <c r="FH732" s="1360"/>
      <c r="FI732" s="1361"/>
      <c r="FJ732" s="1359">
        <f t="shared" si="34"/>
        <v>966</v>
      </c>
      <c r="FK732" s="1360"/>
      <c r="FL732" s="1360"/>
      <c r="FM732" s="1360"/>
      <c r="FN732" s="1361"/>
      <c r="FO732" s="1359" t="str">
        <f t="shared" si="35"/>
        <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2.9" customHeight="1">
      <c r="B733" s="1362" t="s">
        <v>163</v>
      </c>
      <c r="C733" s="1363"/>
      <c r="D733" s="1363"/>
      <c r="E733" s="1363"/>
      <c r="F733" s="1364"/>
      <c r="G733" s="1590">
        <v>27</v>
      </c>
      <c r="H733" s="1591"/>
      <c r="I733" s="1591"/>
      <c r="J733" s="1592"/>
      <c r="K733" s="1594">
        <v>792</v>
      </c>
      <c r="L733" s="1595"/>
      <c r="M733" s="1595"/>
      <c r="N733" s="1596"/>
      <c r="O733" s="1484">
        <v>1685</v>
      </c>
      <c r="P733" s="1485"/>
      <c r="Q733" s="1485"/>
      <c r="R733" s="1485"/>
      <c r="S733" s="1486"/>
      <c r="T733" s="1484">
        <v>113</v>
      </c>
      <c r="U733" s="1485"/>
      <c r="V733" s="1485"/>
      <c r="W733" s="1486"/>
      <c r="X733" s="1405">
        <f t="shared" si="10"/>
        <v>1798</v>
      </c>
      <c r="Y733" s="1406"/>
      <c r="Z733" s="1406"/>
      <c r="AA733" s="1406"/>
      <c r="AB733" s="1407"/>
      <c r="AC733" s="1597">
        <v>0.5</v>
      </c>
      <c r="AD733" s="1598"/>
      <c r="AE733" s="1598"/>
      <c r="AF733" s="1598"/>
      <c r="AG733" s="1599"/>
      <c r="AH733" s="1387">
        <f t="shared" si="38"/>
        <v>0.5</v>
      </c>
      <c r="AI733" s="1388"/>
      <c r="AJ733" s="1389"/>
      <c r="AK733" s="1362" t="s">
        <v>590</v>
      </c>
      <c r="AL733" s="1363"/>
      <c r="AM733" s="1363"/>
      <c r="AN733" s="1363"/>
      <c r="AO733" s="1364"/>
      <c r="AP733" s="3"/>
      <c r="AQ733" s="3"/>
      <c r="AR733" s="3"/>
      <c r="AS733" s="3"/>
      <c r="AY733" s="1080"/>
      <c r="AZ733" s="118">
        <f t="shared" si="11"/>
        <v>3596</v>
      </c>
      <c r="BA733" s="3"/>
      <c r="BB733" s="3"/>
      <c r="BC733" s="3"/>
      <c r="BD733" s="3"/>
      <c r="BE733" s="204"/>
      <c r="BF733" s="294">
        <f t="shared" si="12"/>
        <v>27</v>
      </c>
      <c r="BG733" s="297">
        <f t="shared" si="13"/>
        <v>0.18120805369127516</v>
      </c>
      <c r="BH733" s="298">
        <f t="shared" si="14"/>
        <v>9.0604026845637578E-2</v>
      </c>
      <c r="BI733" s="3"/>
      <c r="BJ733" s="3"/>
      <c r="BK733" s="3"/>
      <c r="BL733" s="3"/>
      <c r="BM733" s="3"/>
      <c r="BN733" s="3"/>
      <c r="BS733" s="294">
        <f t="shared" si="15"/>
        <v>27</v>
      </c>
      <c r="BT733" s="297">
        <f t="shared" si="16"/>
        <v>0.18120805369127516</v>
      </c>
      <c r="BU733" s="298">
        <f t="shared" si="17"/>
        <v>9.0604026845637578E-2</v>
      </c>
      <c r="BV733" s="292"/>
      <c r="BW733" s="3"/>
      <c r="BX733" s="3"/>
      <c r="BY733" s="3"/>
      <c r="BZ733" s="3"/>
      <c r="CA733" s="3"/>
      <c r="CB733" s="3"/>
      <c r="CC733" s="3"/>
      <c r="CE733" s="3"/>
      <c r="CF733" s="3"/>
      <c r="CG733" s="1359">
        <f t="shared" si="39"/>
        <v>1</v>
      </c>
      <c r="CH733" s="1361"/>
      <c r="CI733" s="1342">
        <f t="shared" si="40"/>
        <v>27</v>
      </c>
      <c r="CJ733" s="1344"/>
      <c r="CK733" s="1359">
        <f t="shared" si="18"/>
        <v>0</v>
      </c>
      <c r="CL733" s="1361"/>
      <c r="CM733" s="1342">
        <f t="shared" si="19"/>
        <v>0</v>
      </c>
      <c r="CN733" s="1344"/>
      <c r="CO733" s="3"/>
      <c r="CP733" s="1339">
        <f t="shared" si="20"/>
        <v>0</v>
      </c>
      <c r="CQ733" s="1340"/>
      <c r="CR733" s="1340"/>
      <c r="CS733" s="1340"/>
      <c r="CT733" s="1341"/>
      <c r="CU733" s="1347">
        <f t="shared" si="21"/>
        <v>0</v>
      </c>
      <c r="CV733" s="1347"/>
      <c r="CW733" s="1347"/>
      <c r="CX733" s="1347"/>
      <c r="CY733" s="1347"/>
      <c r="CZ733" s="1347">
        <f t="shared" si="22"/>
        <v>27</v>
      </c>
      <c r="DA733" s="1347"/>
      <c r="DB733" s="1347"/>
      <c r="DC733" s="1347"/>
      <c r="DD733" s="1347"/>
      <c r="DE733" s="1347">
        <f t="shared" si="23"/>
        <v>0</v>
      </c>
      <c r="DF733" s="1347"/>
      <c r="DG733" s="1347"/>
      <c r="DH733" s="1347"/>
      <c r="DI733" s="1347"/>
      <c r="DJ733" s="1347">
        <f t="shared" si="24"/>
        <v>0</v>
      </c>
      <c r="DK733" s="1347"/>
      <c r="DL733" s="1347"/>
      <c r="DM733" s="1347"/>
      <c r="DN733" s="1347"/>
      <c r="DO733" s="1347">
        <f t="shared" si="25"/>
        <v>0</v>
      </c>
      <c r="DP733" s="1347"/>
      <c r="DQ733" s="1347"/>
      <c r="DR733" s="1347"/>
      <c r="DS733" s="1347"/>
      <c r="DT733" s="6"/>
      <c r="DU733" s="1366">
        <f t="shared" si="26"/>
        <v>0</v>
      </c>
      <c r="DV733" s="1366"/>
      <c r="DW733" s="1366"/>
      <c r="DX733" s="1366"/>
      <c r="DY733" s="1366"/>
      <c r="DZ733" s="1366">
        <f t="shared" si="27"/>
        <v>0</v>
      </c>
      <c r="EA733" s="1366"/>
      <c r="EB733" s="1366"/>
      <c r="EC733" s="1366"/>
      <c r="ED733" s="1366"/>
      <c r="EE733" s="1366">
        <f t="shared" si="28"/>
        <v>0</v>
      </c>
      <c r="EF733" s="1366"/>
      <c r="EG733" s="1366"/>
      <c r="EH733" s="1366"/>
      <c r="EI733" s="1366"/>
      <c r="EJ733" s="1366">
        <f t="shared" si="29"/>
        <v>0</v>
      </c>
      <c r="EK733" s="1366"/>
      <c r="EL733" s="1366"/>
      <c r="EM733" s="1366"/>
      <c r="EN733" s="1366"/>
      <c r="EO733" s="1366">
        <f t="shared" si="30"/>
        <v>0</v>
      </c>
      <c r="EP733" s="1366"/>
      <c r="EQ733" s="1366"/>
      <c r="ER733" s="1366"/>
      <c r="ES733" s="1366"/>
      <c r="ET733" s="1366">
        <f t="shared" si="31"/>
        <v>0</v>
      </c>
      <c r="EU733" s="1366"/>
      <c r="EV733" s="1366"/>
      <c r="EW733" s="1366"/>
      <c r="EX733" s="1366"/>
      <c r="EZ733" s="1359" t="str">
        <f t="shared" si="32"/>
        <v/>
      </c>
      <c r="FA733" s="1360"/>
      <c r="FB733" s="1360"/>
      <c r="FC733" s="1360"/>
      <c r="FD733" s="1361"/>
      <c r="FE733" s="1359" t="str">
        <f t="shared" si="33"/>
        <v/>
      </c>
      <c r="FF733" s="1360"/>
      <c r="FG733" s="1360"/>
      <c r="FH733" s="1360"/>
      <c r="FI733" s="1361"/>
      <c r="FJ733" s="1359">
        <f t="shared" si="34"/>
        <v>1685</v>
      </c>
      <c r="FK733" s="1360"/>
      <c r="FL733" s="1360"/>
      <c r="FM733" s="1360"/>
      <c r="FN733" s="1361"/>
      <c r="FO733" s="1359" t="str">
        <f t="shared" si="35"/>
        <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2.9" customHeight="1">
      <c r="B734" s="1362" t="s">
        <v>163</v>
      </c>
      <c r="C734" s="1363"/>
      <c r="D734" s="1363"/>
      <c r="E734" s="1363"/>
      <c r="F734" s="1364"/>
      <c r="G734" s="1590">
        <v>8</v>
      </c>
      <c r="H734" s="1591"/>
      <c r="I734" s="1591"/>
      <c r="J734" s="1592"/>
      <c r="K734" s="1594">
        <v>792</v>
      </c>
      <c r="L734" s="1595"/>
      <c r="M734" s="1595"/>
      <c r="N734" s="1596"/>
      <c r="O734" s="1484">
        <v>2045</v>
      </c>
      <c r="P734" s="1485"/>
      <c r="Q734" s="1485"/>
      <c r="R734" s="1485"/>
      <c r="S734" s="1486"/>
      <c r="T734" s="1484">
        <v>113</v>
      </c>
      <c r="U734" s="1485"/>
      <c r="V734" s="1485"/>
      <c r="W734" s="1486"/>
      <c r="X734" s="1405">
        <f t="shared" si="10"/>
        <v>2158</v>
      </c>
      <c r="Y734" s="1406"/>
      <c r="Z734" s="1406"/>
      <c r="AA734" s="1406"/>
      <c r="AB734" s="1407"/>
      <c r="AC734" s="1597">
        <v>0.6</v>
      </c>
      <c r="AD734" s="1598"/>
      <c r="AE734" s="1598"/>
      <c r="AF734" s="1598"/>
      <c r="AG734" s="1599"/>
      <c r="AH734" s="1387">
        <f t="shared" si="38"/>
        <v>0.60011123470522798</v>
      </c>
      <c r="AI734" s="1388"/>
      <c r="AJ734" s="1389"/>
      <c r="AK734" s="1362" t="s">
        <v>590</v>
      </c>
      <c r="AL734" s="1363"/>
      <c r="AM734" s="1363"/>
      <c r="AN734" s="1363"/>
      <c r="AO734" s="1364"/>
      <c r="AP734" s="3"/>
      <c r="AQ734" s="3"/>
      <c r="AR734" s="3"/>
      <c r="AS734" s="3"/>
      <c r="AY734" s="1080"/>
      <c r="AZ734" s="118">
        <f t="shared" si="11"/>
        <v>3596</v>
      </c>
      <c r="BA734" s="3"/>
      <c r="BB734" s="3"/>
      <c r="BC734" s="3"/>
      <c r="BD734" s="3"/>
      <c r="BE734" s="204"/>
      <c r="BF734" s="294">
        <f t="shared" si="12"/>
        <v>8</v>
      </c>
      <c r="BG734" s="297">
        <f t="shared" si="13"/>
        <v>5.3691275167785234E-2</v>
      </c>
      <c r="BH734" s="298">
        <f t="shared" si="14"/>
        <v>3.2214765100671137E-2</v>
      </c>
      <c r="BI734" s="3"/>
      <c r="BJ734" s="3"/>
      <c r="BK734" s="3"/>
      <c r="BL734" s="3"/>
      <c r="BM734" s="3"/>
      <c r="BN734" s="3"/>
      <c r="BS734" s="294">
        <f t="shared" si="15"/>
        <v>8</v>
      </c>
      <c r="BT734" s="297">
        <f t="shared" si="16"/>
        <v>5.3691275167785234E-2</v>
      </c>
      <c r="BU734" s="298">
        <f t="shared" si="17"/>
        <v>3.2220737433837743E-2</v>
      </c>
      <c r="BV734" s="3"/>
      <c r="BW734" s="3"/>
      <c r="BX734" s="3"/>
      <c r="BY734" s="3"/>
      <c r="BZ734" s="3"/>
      <c r="CA734" s="3"/>
      <c r="CB734" s="3"/>
      <c r="CC734" s="3"/>
      <c r="CE734" s="3"/>
      <c r="CF734" s="3"/>
      <c r="CG734" s="1359">
        <f t="shared" si="39"/>
        <v>0</v>
      </c>
      <c r="CH734" s="1361"/>
      <c r="CI734" s="1342">
        <f t="shared" si="40"/>
        <v>0</v>
      </c>
      <c r="CJ734" s="1344"/>
      <c r="CK734" s="1359">
        <f t="shared" si="18"/>
        <v>0</v>
      </c>
      <c r="CL734" s="1361"/>
      <c r="CM734" s="1342">
        <f t="shared" si="19"/>
        <v>0</v>
      </c>
      <c r="CN734" s="1344"/>
      <c r="CO734" s="3"/>
      <c r="CP734" s="1339">
        <f t="shared" si="20"/>
        <v>0</v>
      </c>
      <c r="CQ734" s="1340"/>
      <c r="CR734" s="1340"/>
      <c r="CS734" s="1340"/>
      <c r="CT734" s="1341"/>
      <c r="CU734" s="1347">
        <f t="shared" si="21"/>
        <v>0</v>
      </c>
      <c r="CV734" s="1347"/>
      <c r="CW734" s="1347"/>
      <c r="CX734" s="1347"/>
      <c r="CY734" s="1347"/>
      <c r="CZ734" s="1347">
        <f t="shared" si="22"/>
        <v>8</v>
      </c>
      <c r="DA734" s="1347"/>
      <c r="DB734" s="1347"/>
      <c r="DC734" s="1347"/>
      <c r="DD734" s="1347"/>
      <c r="DE734" s="1347">
        <f t="shared" si="23"/>
        <v>0</v>
      </c>
      <c r="DF734" s="1347"/>
      <c r="DG734" s="1347"/>
      <c r="DH734" s="1347"/>
      <c r="DI734" s="1347"/>
      <c r="DJ734" s="1347">
        <f t="shared" si="24"/>
        <v>0</v>
      </c>
      <c r="DK734" s="1347"/>
      <c r="DL734" s="1347"/>
      <c r="DM734" s="1347"/>
      <c r="DN734" s="1347"/>
      <c r="DO734" s="1347">
        <f t="shared" si="25"/>
        <v>0</v>
      </c>
      <c r="DP734" s="1347"/>
      <c r="DQ734" s="1347"/>
      <c r="DR734" s="1347"/>
      <c r="DS734" s="1347"/>
      <c r="DT734" s="6"/>
      <c r="DU734" s="1366">
        <f t="shared" si="26"/>
        <v>0</v>
      </c>
      <c r="DV734" s="1366"/>
      <c r="DW734" s="1366"/>
      <c r="DX734" s="1366"/>
      <c r="DY734" s="1366"/>
      <c r="DZ734" s="1366">
        <f t="shared" si="27"/>
        <v>0</v>
      </c>
      <c r="EA734" s="1366"/>
      <c r="EB734" s="1366"/>
      <c r="EC734" s="1366"/>
      <c r="ED734" s="1366"/>
      <c r="EE734" s="1366">
        <f t="shared" si="28"/>
        <v>0</v>
      </c>
      <c r="EF734" s="1366"/>
      <c r="EG734" s="1366"/>
      <c r="EH734" s="1366"/>
      <c r="EI734" s="1366"/>
      <c r="EJ734" s="1366">
        <f t="shared" si="29"/>
        <v>0</v>
      </c>
      <c r="EK734" s="1366"/>
      <c r="EL734" s="1366"/>
      <c r="EM734" s="1366"/>
      <c r="EN734" s="1366"/>
      <c r="EO734" s="1366">
        <f t="shared" si="30"/>
        <v>0</v>
      </c>
      <c r="EP734" s="1366"/>
      <c r="EQ734" s="1366"/>
      <c r="ER734" s="1366"/>
      <c r="ES734" s="1366"/>
      <c r="ET734" s="1366">
        <f t="shared" si="31"/>
        <v>0</v>
      </c>
      <c r="EU734" s="1366"/>
      <c r="EV734" s="1366"/>
      <c r="EW734" s="1366"/>
      <c r="EX734" s="1366"/>
      <c r="EY734" s="4"/>
      <c r="EZ734" s="1359" t="str">
        <f t="shared" si="32"/>
        <v/>
      </c>
      <c r="FA734" s="1360"/>
      <c r="FB734" s="1360"/>
      <c r="FC734" s="1360"/>
      <c r="FD734" s="1361"/>
      <c r="FE734" s="1359" t="str">
        <f t="shared" si="33"/>
        <v/>
      </c>
      <c r="FF734" s="1360"/>
      <c r="FG734" s="1360"/>
      <c r="FH734" s="1360"/>
      <c r="FI734" s="1361"/>
      <c r="FJ734" s="1359">
        <f t="shared" si="34"/>
        <v>2045</v>
      </c>
      <c r="FK734" s="1360"/>
      <c r="FL734" s="1360"/>
      <c r="FM734" s="1360"/>
      <c r="FN734" s="1361"/>
      <c r="FO734" s="1359" t="str">
        <f t="shared" si="35"/>
        <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2.9" customHeight="1">
      <c r="A735" s="4"/>
      <c r="B735" s="1362" t="s">
        <v>164</v>
      </c>
      <c r="C735" s="1363"/>
      <c r="D735" s="1363"/>
      <c r="E735" s="1363"/>
      <c r="F735" s="1364"/>
      <c r="G735" s="1590">
        <v>13</v>
      </c>
      <c r="H735" s="1591"/>
      <c r="I735" s="1591"/>
      <c r="J735" s="1592"/>
      <c r="K735" s="1594">
        <v>1076</v>
      </c>
      <c r="L735" s="1595"/>
      <c r="M735" s="1595"/>
      <c r="N735" s="1596"/>
      <c r="O735" s="1484">
        <v>1104</v>
      </c>
      <c r="P735" s="1485"/>
      <c r="Q735" s="1485"/>
      <c r="R735" s="1485"/>
      <c r="S735" s="1486"/>
      <c r="T735" s="1484">
        <v>142</v>
      </c>
      <c r="U735" s="1485"/>
      <c r="V735" s="1485"/>
      <c r="W735" s="1486"/>
      <c r="X735" s="1405">
        <f t="shared" si="10"/>
        <v>1246</v>
      </c>
      <c r="Y735" s="1406"/>
      <c r="Z735" s="1406"/>
      <c r="AA735" s="1406"/>
      <c r="AB735" s="1407"/>
      <c r="AC735" s="1597">
        <v>0.3</v>
      </c>
      <c r="AD735" s="1598"/>
      <c r="AE735" s="1598"/>
      <c r="AF735" s="1598"/>
      <c r="AG735" s="1599"/>
      <c r="AH735" s="1387">
        <f t="shared" si="38"/>
        <v>0.29995185363505056</v>
      </c>
      <c r="AI735" s="1388"/>
      <c r="AJ735" s="1389"/>
      <c r="AK735" s="1362" t="s">
        <v>590</v>
      </c>
      <c r="AL735" s="1363"/>
      <c r="AM735" s="1363"/>
      <c r="AN735" s="1363"/>
      <c r="AO735" s="1364"/>
      <c r="AP735" s="3"/>
      <c r="AQ735" s="3"/>
      <c r="AR735" s="3"/>
      <c r="AS735" s="3"/>
      <c r="AY735" s="1080"/>
      <c r="AZ735" s="118">
        <f t="shared" si="11"/>
        <v>4154</v>
      </c>
      <c r="BA735" s="3"/>
      <c r="BB735" s="3"/>
      <c r="BC735" s="3"/>
      <c r="BD735" s="3"/>
      <c r="BE735" s="204"/>
      <c r="BF735" s="294">
        <f t="shared" si="12"/>
        <v>13</v>
      </c>
      <c r="BG735" s="297">
        <f t="shared" si="13"/>
        <v>8.7248322147651006E-2</v>
      </c>
      <c r="BH735" s="298">
        <f t="shared" si="14"/>
        <v>2.61744966442953E-2</v>
      </c>
      <c r="BI735" s="3"/>
      <c r="BJ735" s="3"/>
      <c r="BK735" s="3"/>
      <c r="BL735" s="3"/>
      <c r="BM735" s="3"/>
      <c r="BN735" s="3"/>
      <c r="BS735" s="294">
        <f t="shared" si="15"/>
        <v>13</v>
      </c>
      <c r="BT735" s="297">
        <f t="shared" si="16"/>
        <v>8.7248322147651006E-2</v>
      </c>
      <c r="BU735" s="298">
        <f t="shared" si="17"/>
        <v>2.6170295954735953E-2</v>
      </c>
      <c r="BV735" s="3"/>
      <c r="BW735" s="3"/>
      <c r="BX735" s="3"/>
      <c r="BY735" s="3"/>
      <c r="BZ735" s="3"/>
      <c r="CA735" s="3"/>
      <c r="CB735" s="3"/>
      <c r="CC735" s="3"/>
      <c r="CE735" s="3"/>
      <c r="CF735" s="3"/>
      <c r="CG735" s="1359">
        <f t="shared" si="39"/>
        <v>0</v>
      </c>
      <c r="CH735" s="1361"/>
      <c r="CI735" s="1342">
        <f t="shared" si="40"/>
        <v>0</v>
      </c>
      <c r="CJ735" s="1344"/>
      <c r="CK735" s="1359">
        <f t="shared" si="18"/>
        <v>1</v>
      </c>
      <c r="CL735" s="1361"/>
      <c r="CM735" s="1342">
        <f t="shared" si="19"/>
        <v>13</v>
      </c>
      <c r="CN735" s="1344"/>
      <c r="CO735" s="3"/>
      <c r="CP735" s="1339">
        <f t="shared" si="20"/>
        <v>0</v>
      </c>
      <c r="CQ735" s="1340"/>
      <c r="CR735" s="1340"/>
      <c r="CS735" s="1340"/>
      <c r="CT735" s="1341"/>
      <c r="CU735" s="1347">
        <f t="shared" si="21"/>
        <v>0</v>
      </c>
      <c r="CV735" s="1347"/>
      <c r="CW735" s="1347"/>
      <c r="CX735" s="1347"/>
      <c r="CY735" s="1347"/>
      <c r="CZ735" s="1347">
        <f t="shared" si="22"/>
        <v>0</v>
      </c>
      <c r="DA735" s="1347"/>
      <c r="DB735" s="1347"/>
      <c r="DC735" s="1347"/>
      <c r="DD735" s="1347"/>
      <c r="DE735" s="1347">
        <f t="shared" si="23"/>
        <v>13</v>
      </c>
      <c r="DF735" s="1347"/>
      <c r="DG735" s="1347"/>
      <c r="DH735" s="1347"/>
      <c r="DI735" s="1347"/>
      <c r="DJ735" s="1347">
        <f t="shared" si="24"/>
        <v>0</v>
      </c>
      <c r="DK735" s="1347"/>
      <c r="DL735" s="1347"/>
      <c r="DM735" s="1347"/>
      <c r="DN735" s="1347"/>
      <c r="DO735" s="1347">
        <f t="shared" si="25"/>
        <v>0</v>
      </c>
      <c r="DP735" s="1347"/>
      <c r="DQ735" s="1347"/>
      <c r="DR735" s="1347"/>
      <c r="DS735" s="1347"/>
      <c r="DT735" s="6"/>
      <c r="DU735" s="1366">
        <f t="shared" si="26"/>
        <v>0</v>
      </c>
      <c r="DV735" s="1366"/>
      <c r="DW735" s="1366"/>
      <c r="DX735" s="1366"/>
      <c r="DY735" s="1366"/>
      <c r="DZ735" s="1366">
        <f t="shared" si="27"/>
        <v>0</v>
      </c>
      <c r="EA735" s="1366"/>
      <c r="EB735" s="1366"/>
      <c r="EC735" s="1366"/>
      <c r="ED735" s="1366"/>
      <c r="EE735" s="1366">
        <f t="shared" si="28"/>
        <v>0</v>
      </c>
      <c r="EF735" s="1366"/>
      <c r="EG735" s="1366"/>
      <c r="EH735" s="1366"/>
      <c r="EI735" s="1366"/>
      <c r="EJ735" s="1366">
        <f t="shared" si="29"/>
        <v>13</v>
      </c>
      <c r="EK735" s="1366"/>
      <c r="EL735" s="1366"/>
      <c r="EM735" s="1366"/>
      <c r="EN735" s="1366"/>
      <c r="EO735" s="1366">
        <f t="shared" si="30"/>
        <v>0</v>
      </c>
      <c r="EP735" s="1366"/>
      <c r="EQ735" s="1366"/>
      <c r="ER735" s="1366"/>
      <c r="ES735" s="1366"/>
      <c r="ET735" s="1366">
        <f t="shared" si="31"/>
        <v>0</v>
      </c>
      <c r="EU735" s="1366"/>
      <c r="EV735" s="1366"/>
      <c r="EW735" s="1366"/>
      <c r="EX735" s="1366"/>
      <c r="EY735" s="4"/>
      <c r="EZ735" s="1359" t="str">
        <f t="shared" si="32"/>
        <v/>
      </c>
      <c r="FA735" s="1360"/>
      <c r="FB735" s="1360"/>
      <c r="FC735" s="1360"/>
      <c r="FD735" s="1361"/>
      <c r="FE735" s="1359" t="str">
        <f t="shared" si="33"/>
        <v/>
      </c>
      <c r="FF735" s="1360"/>
      <c r="FG735" s="1360"/>
      <c r="FH735" s="1360"/>
      <c r="FI735" s="1361"/>
      <c r="FJ735" s="1359" t="str">
        <f t="shared" si="34"/>
        <v/>
      </c>
      <c r="FK735" s="1360"/>
      <c r="FL735" s="1360"/>
      <c r="FM735" s="1360"/>
      <c r="FN735" s="1361"/>
      <c r="FO735" s="1359">
        <f t="shared" si="35"/>
        <v>1104</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2.9" customHeight="1">
      <c r="A736" s="4"/>
      <c r="B736" s="1362" t="s">
        <v>164</v>
      </c>
      <c r="C736" s="1363"/>
      <c r="D736" s="1363"/>
      <c r="E736" s="1363"/>
      <c r="F736" s="1364"/>
      <c r="G736" s="1590">
        <v>29</v>
      </c>
      <c r="H736" s="1591"/>
      <c r="I736" s="1591"/>
      <c r="J736" s="1592"/>
      <c r="K736" s="1594">
        <v>1076</v>
      </c>
      <c r="L736" s="1595"/>
      <c r="M736" s="1595"/>
      <c r="N736" s="1596"/>
      <c r="O736" s="1484">
        <v>1935</v>
      </c>
      <c r="P736" s="1485"/>
      <c r="Q736" s="1485"/>
      <c r="R736" s="1485"/>
      <c r="S736" s="1486"/>
      <c r="T736" s="1484">
        <v>142</v>
      </c>
      <c r="U736" s="1485"/>
      <c r="V736" s="1485"/>
      <c r="W736" s="1486"/>
      <c r="X736" s="1405">
        <f t="shared" si="10"/>
        <v>2077</v>
      </c>
      <c r="Y736" s="1406"/>
      <c r="Z736" s="1406"/>
      <c r="AA736" s="1406"/>
      <c r="AB736" s="1407"/>
      <c r="AC736" s="1597">
        <v>0.5</v>
      </c>
      <c r="AD736" s="1598"/>
      <c r="AE736" s="1598"/>
      <c r="AF736" s="1598"/>
      <c r="AG736" s="1599"/>
      <c r="AH736" s="1387">
        <f t="shared" si="38"/>
        <v>0.5</v>
      </c>
      <c r="AI736" s="1388"/>
      <c r="AJ736" s="1389"/>
      <c r="AK736" s="1362" t="s">
        <v>590</v>
      </c>
      <c r="AL736" s="1363"/>
      <c r="AM736" s="1363"/>
      <c r="AN736" s="1363"/>
      <c r="AO736" s="1364"/>
      <c r="AP736" s="3"/>
      <c r="AQ736" s="3"/>
      <c r="AR736" s="3"/>
      <c r="AS736" s="3"/>
      <c r="AY736" s="1080"/>
      <c r="AZ736" s="118">
        <f t="shared" si="11"/>
        <v>4154</v>
      </c>
      <c r="BA736" s="3"/>
      <c r="BB736" s="3"/>
      <c r="BC736" s="3"/>
      <c r="BD736" s="3"/>
      <c r="BE736" s="204"/>
      <c r="BF736" s="294">
        <f t="shared" si="12"/>
        <v>29</v>
      </c>
      <c r="BG736" s="297">
        <f t="shared" si="13"/>
        <v>0.19463087248322147</v>
      </c>
      <c r="BH736" s="298">
        <f t="shared" si="14"/>
        <v>9.7315436241610737E-2</v>
      </c>
      <c r="BI736" s="3"/>
      <c r="BJ736" s="3"/>
      <c r="BK736" s="3"/>
      <c r="BL736" s="3"/>
      <c r="BM736" s="3"/>
      <c r="BN736" s="3"/>
      <c r="BS736" s="294">
        <f t="shared" si="15"/>
        <v>29</v>
      </c>
      <c r="BT736" s="297">
        <f t="shared" si="16"/>
        <v>0.19463087248322147</v>
      </c>
      <c r="BU736" s="298">
        <f t="shared" si="17"/>
        <v>9.7315436241610737E-2</v>
      </c>
      <c r="BV736" s="3"/>
      <c r="BW736" s="3"/>
      <c r="BX736" s="3"/>
      <c r="BY736" s="3"/>
      <c r="BZ736" s="3"/>
      <c r="CA736" s="3"/>
      <c r="CB736" s="3"/>
      <c r="CC736" s="3"/>
      <c r="CE736" s="3"/>
      <c r="CF736" s="3"/>
      <c r="CG736" s="1359">
        <f t="shared" si="39"/>
        <v>1</v>
      </c>
      <c r="CH736" s="1361"/>
      <c r="CI736" s="1342">
        <f t="shared" si="40"/>
        <v>29</v>
      </c>
      <c r="CJ736" s="1344"/>
      <c r="CK736" s="1359">
        <f t="shared" si="18"/>
        <v>0</v>
      </c>
      <c r="CL736" s="1361"/>
      <c r="CM736" s="1342">
        <f t="shared" si="19"/>
        <v>0</v>
      </c>
      <c r="CN736" s="1344"/>
      <c r="CO736" s="3"/>
      <c r="CP736" s="1339">
        <f t="shared" si="20"/>
        <v>0</v>
      </c>
      <c r="CQ736" s="1340"/>
      <c r="CR736" s="1340"/>
      <c r="CS736" s="1340"/>
      <c r="CT736" s="1341"/>
      <c r="CU736" s="1347">
        <f t="shared" si="21"/>
        <v>0</v>
      </c>
      <c r="CV736" s="1347"/>
      <c r="CW736" s="1347"/>
      <c r="CX736" s="1347"/>
      <c r="CY736" s="1347"/>
      <c r="CZ736" s="1347">
        <f t="shared" si="22"/>
        <v>0</v>
      </c>
      <c r="DA736" s="1347"/>
      <c r="DB736" s="1347"/>
      <c r="DC736" s="1347"/>
      <c r="DD736" s="1347"/>
      <c r="DE736" s="1347">
        <f t="shared" si="23"/>
        <v>29</v>
      </c>
      <c r="DF736" s="1347"/>
      <c r="DG736" s="1347"/>
      <c r="DH736" s="1347"/>
      <c r="DI736" s="1347"/>
      <c r="DJ736" s="1347">
        <f t="shared" si="24"/>
        <v>0</v>
      </c>
      <c r="DK736" s="1347"/>
      <c r="DL736" s="1347"/>
      <c r="DM736" s="1347"/>
      <c r="DN736" s="1347"/>
      <c r="DO736" s="1347">
        <f t="shared" si="25"/>
        <v>0</v>
      </c>
      <c r="DP736" s="1347"/>
      <c r="DQ736" s="1347"/>
      <c r="DR736" s="1347"/>
      <c r="DS736" s="1347"/>
      <c r="DT736" s="6"/>
      <c r="DU736" s="1366">
        <f t="shared" si="26"/>
        <v>0</v>
      </c>
      <c r="DV736" s="1366"/>
      <c r="DW736" s="1366"/>
      <c r="DX736" s="1366"/>
      <c r="DY736" s="1366"/>
      <c r="DZ736" s="1366">
        <f t="shared" si="27"/>
        <v>0</v>
      </c>
      <c r="EA736" s="1366"/>
      <c r="EB736" s="1366"/>
      <c r="EC736" s="1366"/>
      <c r="ED736" s="1366"/>
      <c r="EE736" s="1366">
        <f t="shared" si="28"/>
        <v>0</v>
      </c>
      <c r="EF736" s="1366"/>
      <c r="EG736" s="1366"/>
      <c r="EH736" s="1366"/>
      <c r="EI736" s="1366"/>
      <c r="EJ736" s="1366">
        <f t="shared" si="29"/>
        <v>0</v>
      </c>
      <c r="EK736" s="1366"/>
      <c r="EL736" s="1366"/>
      <c r="EM736" s="1366"/>
      <c r="EN736" s="1366"/>
      <c r="EO736" s="1366">
        <f t="shared" si="30"/>
        <v>0</v>
      </c>
      <c r="EP736" s="1366"/>
      <c r="EQ736" s="1366"/>
      <c r="ER736" s="1366"/>
      <c r="ES736" s="1366"/>
      <c r="ET736" s="1366">
        <f t="shared" si="31"/>
        <v>0</v>
      </c>
      <c r="EU736" s="1366"/>
      <c r="EV736" s="1366"/>
      <c r="EW736" s="1366"/>
      <c r="EX736" s="1366"/>
      <c r="EY736" s="4"/>
      <c r="EZ736" s="1359" t="str">
        <f t="shared" si="32"/>
        <v/>
      </c>
      <c r="FA736" s="1360"/>
      <c r="FB736" s="1360"/>
      <c r="FC736" s="1360"/>
      <c r="FD736" s="1361"/>
      <c r="FE736" s="1359" t="str">
        <f t="shared" si="33"/>
        <v/>
      </c>
      <c r="FF736" s="1360"/>
      <c r="FG736" s="1360"/>
      <c r="FH736" s="1360"/>
      <c r="FI736" s="1361"/>
      <c r="FJ736" s="1359" t="str">
        <f t="shared" si="34"/>
        <v/>
      </c>
      <c r="FK736" s="1360"/>
      <c r="FL736" s="1360"/>
      <c r="FM736" s="1360"/>
      <c r="FN736" s="1361"/>
      <c r="FO736" s="1359">
        <f t="shared" si="35"/>
        <v>1935</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2.9" customHeight="1">
      <c r="A737" s="4"/>
      <c r="B737" s="1362" t="s">
        <v>164</v>
      </c>
      <c r="C737" s="1363"/>
      <c r="D737" s="1363"/>
      <c r="E737" s="1363"/>
      <c r="F737" s="1364"/>
      <c r="G737" s="1590">
        <v>7</v>
      </c>
      <c r="H737" s="1591"/>
      <c r="I737" s="1591"/>
      <c r="J737" s="1592"/>
      <c r="K737" s="1594">
        <v>1076</v>
      </c>
      <c r="L737" s="1595"/>
      <c r="M737" s="1595"/>
      <c r="N737" s="1596"/>
      <c r="O737" s="1484">
        <v>2351</v>
      </c>
      <c r="P737" s="1485"/>
      <c r="Q737" s="1485"/>
      <c r="R737" s="1485"/>
      <c r="S737" s="1486"/>
      <c r="T737" s="1484">
        <v>142</v>
      </c>
      <c r="U737" s="1485"/>
      <c r="V737" s="1485"/>
      <c r="W737" s="1486"/>
      <c r="X737" s="1405">
        <f t="shared" si="10"/>
        <v>2493</v>
      </c>
      <c r="Y737" s="1406"/>
      <c r="Z737" s="1406"/>
      <c r="AA737" s="1406"/>
      <c r="AB737" s="1407"/>
      <c r="AC737" s="1597">
        <v>0.6</v>
      </c>
      <c r="AD737" s="1598"/>
      <c r="AE737" s="1598"/>
      <c r="AF737" s="1598"/>
      <c r="AG737" s="1599"/>
      <c r="AH737" s="1387">
        <f t="shared" si="38"/>
        <v>0.60014443909484838</v>
      </c>
      <c r="AI737" s="1388"/>
      <c r="AJ737" s="1389"/>
      <c r="AK737" s="1362" t="s">
        <v>590</v>
      </c>
      <c r="AL737" s="1363"/>
      <c r="AM737" s="1363"/>
      <c r="AN737" s="1363"/>
      <c r="AO737" s="1364"/>
      <c r="AP737" s="3"/>
      <c r="AQ737" s="3"/>
      <c r="AR737" s="3"/>
      <c r="AS737" s="3"/>
      <c r="AY737" s="1080"/>
      <c r="AZ737" s="118">
        <f t="shared" si="11"/>
        <v>4154</v>
      </c>
      <c r="BA737" s="3"/>
      <c r="BB737" s="3"/>
      <c r="BC737" s="3"/>
      <c r="BD737" s="3"/>
      <c r="BE737" s="204"/>
      <c r="BF737" s="294">
        <f t="shared" si="12"/>
        <v>7</v>
      </c>
      <c r="BG737" s="297">
        <f t="shared" si="13"/>
        <v>4.6979865771812082E-2</v>
      </c>
      <c r="BH737" s="298">
        <f t="shared" si="14"/>
        <v>2.8187919463087248E-2</v>
      </c>
      <c r="BI737" s="3"/>
      <c r="BJ737" s="3"/>
      <c r="BK737" s="3"/>
      <c r="BL737" s="3"/>
      <c r="BM737" s="3"/>
      <c r="BN737" s="3"/>
      <c r="BS737" s="294">
        <f t="shared" si="15"/>
        <v>7</v>
      </c>
      <c r="BT737" s="297">
        <f t="shared" si="16"/>
        <v>4.6979865771812082E-2</v>
      </c>
      <c r="BU737" s="298">
        <f t="shared" si="17"/>
        <v>2.8194705192375429E-2</v>
      </c>
      <c r="BV737" s="3"/>
      <c r="BW737" s="3"/>
      <c r="BX737" s="3"/>
      <c r="BY737" s="3"/>
      <c r="BZ737" s="3"/>
      <c r="CA737" s="3"/>
      <c r="CB737" s="3"/>
      <c r="CC737" s="3"/>
      <c r="CE737" s="3"/>
      <c r="CF737" s="3"/>
      <c r="CG737" s="1359">
        <f t="shared" si="39"/>
        <v>0</v>
      </c>
      <c r="CH737" s="1361"/>
      <c r="CI737" s="1342">
        <f t="shared" si="40"/>
        <v>0</v>
      </c>
      <c r="CJ737" s="1344"/>
      <c r="CK737" s="1359">
        <f t="shared" si="18"/>
        <v>0</v>
      </c>
      <c r="CL737" s="1361"/>
      <c r="CM737" s="1342">
        <f t="shared" si="19"/>
        <v>0</v>
      </c>
      <c r="CN737" s="1344"/>
      <c r="CO737" s="3"/>
      <c r="CP737" s="1339">
        <f t="shared" si="20"/>
        <v>0</v>
      </c>
      <c r="CQ737" s="1340"/>
      <c r="CR737" s="1340"/>
      <c r="CS737" s="1340"/>
      <c r="CT737" s="1341"/>
      <c r="CU737" s="1347">
        <f t="shared" si="21"/>
        <v>0</v>
      </c>
      <c r="CV737" s="1347"/>
      <c r="CW737" s="1347"/>
      <c r="CX737" s="1347"/>
      <c r="CY737" s="1347"/>
      <c r="CZ737" s="1347">
        <f t="shared" si="22"/>
        <v>0</v>
      </c>
      <c r="DA737" s="1347"/>
      <c r="DB737" s="1347"/>
      <c r="DC737" s="1347"/>
      <c r="DD737" s="1347"/>
      <c r="DE737" s="1347">
        <f t="shared" si="23"/>
        <v>7</v>
      </c>
      <c r="DF737" s="1347"/>
      <c r="DG737" s="1347"/>
      <c r="DH737" s="1347"/>
      <c r="DI737" s="1347"/>
      <c r="DJ737" s="1347">
        <f t="shared" si="24"/>
        <v>0</v>
      </c>
      <c r="DK737" s="1347"/>
      <c r="DL737" s="1347"/>
      <c r="DM737" s="1347"/>
      <c r="DN737" s="1347"/>
      <c r="DO737" s="1347">
        <f t="shared" si="25"/>
        <v>0</v>
      </c>
      <c r="DP737" s="1347"/>
      <c r="DQ737" s="1347"/>
      <c r="DR737" s="1347"/>
      <c r="DS737" s="1347"/>
      <c r="DT737" s="6"/>
      <c r="DU737" s="1366">
        <f t="shared" si="26"/>
        <v>0</v>
      </c>
      <c r="DV737" s="1366"/>
      <c r="DW737" s="1366"/>
      <c r="DX737" s="1366"/>
      <c r="DY737" s="1366"/>
      <c r="DZ737" s="1366">
        <f t="shared" si="27"/>
        <v>0</v>
      </c>
      <c r="EA737" s="1366"/>
      <c r="EB737" s="1366"/>
      <c r="EC737" s="1366"/>
      <c r="ED737" s="1366"/>
      <c r="EE737" s="1366">
        <f t="shared" si="28"/>
        <v>0</v>
      </c>
      <c r="EF737" s="1366"/>
      <c r="EG737" s="1366"/>
      <c r="EH737" s="1366"/>
      <c r="EI737" s="1366"/>
      <c r="EJ737" s="1366">
        <f t="shared" si="29"/>
        <v>0</v>
      </c>
      <c r="EK737" s="1366"/>
      <c r="EL737" s="1366"/>
      <c r="EM737" s="1366"/>
      <c r="EN737" s="1366"/>
      <c r="EO737" s="1366">
        <f t="shared" si="30"/>
        <v>0</v>
      </c>
      <c r="EP737" s="1366"/>
      <c r="EQ737" s="1366"/>
      <c r="ER737" s="1366"/>
      <c r="ES737" s="1366"/>
      <c r="ET737" s="1366">
        <f t="shared" si="31"/>
        <v>0</v>
      </c>
      <c r="EU737" s="1366"/>
      <c r="EV737" s="1366"/>
      <c r="EW737" s="1366"/>
      <c r="EX737" s="1366"/>
      <c r="EZ737" s="1359" t="str">
        <f t="shared" si="32"/>
        <v/>
      </c>
      <c r="FA737" s="1360"/>
      <c r="FB737" s="1360"/>
      <c r="FC737" s="1360"/>
      <c r="FD737" s="1361"/>
      <c r="FE737" s="1359" t="str">
        <f t="shared" si="33"/>
        <v/>
      </c>
      <c r="FF737" s="1360"/>
      <c r="FG737" s="1360"/>
      <c r="FH737" s="1360"/>
      <c r="FI737" s="1361"/>
      <c r="FJ737" s="1359" t="str">
        <f t="shared" si="34"/>
        <v/>
      </c>
      <c r="FK737" s="1360"/>
      <c r="FL737" s="1360"/>
      <c r="FM737" s="1360"/>
      <c r="FN737" s="1361"/>
      <c r="FO737" s="1359">
        <f t="shared" si="35"/>
        <v>2351</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2.9" customHeight="1">
      <c r="B738" s="1362"/>
      <c r="C738" s="1363"/>
      <c r="D738" s="1363"/>
      <c r="E738" s="1363"/>
      <c r="F738" s="1364"/>
      <c r="G738" s="1590"/>
      <c r="H738" s="1591"/>
      <c r="I738" s="1591"/>
      <c r="J738" s="1592"/>
      <c r="K738" s="1594"/>
      <c r="L738" s="1595"/>
      <c r="M738" s="1595"/>
      <c r="N738" s="1596"/>
      <c r="O738" s="1484"/>
      <c r="P738" s="1485"/>
      <c r="Q738" s="1485"/>
      <c r="R738" s="1485"/>
      <c r="S738" s="1486"/>
      <c r="T738" s="1484"/>
      <c r="U738" s="1485"/>
      <c r="V738" s="1485"/>
      <c r="W738" s="1486"/>
      <c r="X738" s="1405">
        <f t="shared" si="10"/>
        <v>0</v>
      </c>
      <c r="Y738" s="1406"/>
      <c r="Z738" s="1406"/>
      <c r="AA738" s="1406"/>
      <c r="AB738" s="1407"/>
      <c r="AC738" s="1597"/>
      <c r="AD738" s="1598"/>
      <c r="AE738" s="1598"/>
      <c r="AF738" s="1598"/>
      <c r="AG738" s="1599"/>
      <c r="AH738" s="1387" t="str">
        <f t="shared" si="38"/>
        <v/>
      </c>
      <c r="AI738" s="1388"/>
      <c r="AJ738" s="1389"/>
      <c r="AK738" s="1362"/>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9">
        <f t="shared" si="39"/>
        <v>0</v>
      </c>
      <c r="CH738" s="1361"/>
      <c r="CI738" s="1342">
        <f t="shared" si="40"/>
        <v>0</v>
      </c>
      <c r="CJ738" s="1344"/>
      <c r="CK738" s="1359">
        <f t="shared" si="18"/>
        <v>0</v>
      </c>
      <c r="CL738" s="1361"/>
      <c r="CM738" s="1342">
        <f t="shared" si="19"/>
        <v>0</v>
      </c>
      <c r="CN738" s="1344"/>
      <c r="CO738" s="3"/>
      <c r="CP738" s="1339">
        <f t="shared" si="20"/>
        <v>0</v>
      </c>
      <c r="CQ738" s="1340"/>
      <c r="CR738" s="1340"/>
      <c r="CS738" s="1340"/>
      <c r="CT738" s="1341"/>
      <c r="CU738" s="1347">
        <f t="shared" si="21"/>
        <v>0</v>
      </c>
      <c r="CV738" s="1347"/>
      <c r="CW738" s="1347"/>
      <c r="CX738" s="1347"/>
      <c r="CY738" s="1347"/>
      <c r="CZ738" s="1347">
        <f t="shared" si="22"/>
        <v>0</v>
      </c>
      <c r="DA738" s="1347"/>
      <c r="DB738" s="1347"/>
      <c r="DC738" s="1347"/>
      <c r="DD738" s="1347"/>
      <c r="DE738" s="1347">
        <f t="shared" si="23"/>
        <v>0</v>
      </c>
      <c r="DF738" s="1347"/>
      <c r="DG738" s="1347"/>
      <c r="DH738" s="1347"/>
      <c r="DI738" s="1347"/>
      <c r="DJ738" s="1347">
        <f t="shared" si="24"/>
        <v>0</v>
      </c>
      <c r="DK738" s="1347"/>
      <c r="DL738" s="1347"/>
      <c r="DM738" s="1347"/>
      <c r="DN738" s="1347"/>
      <c r="DO738" s="1347">
        <f t="shared" si="25"/>
        <v>0</v>
      </c>
      <c r="DP738" s="1347"/>
      <c r="DQ738" s="1347"/>
      <c r="DR738" s="1347"/>
      <c r="DS738" s="1347"/>
      <c r="DT738" s="6"/>
      <c r="DU738" s="1366">
        <f t="shared" si="26"/>
        <v>0</v>
      </c>
      <c r="DV738" s="1366"/>
      <c r="DW738" s="1366"/>
      <c r="DX738" s="1366"/>
      <c r="DY738" s="1366"/>
      <c r="DZ738" s="1366">
        <f t="shared" si="27"/>
        <v>0</v>
      </c>
      <c r="EA738" s="1366"/>
      <c r="EB738" s="1366"/>
      <c r="EC738" s="1366"/>
      <c r="ED738" s="1366"/>
      <c r="EE738" s="1366">
        <f t="shared" si="28"/>
        <v>0</v>
      </c>
      <c r="EF738" s="1366"/>
      <c r="EG738" s="1366"/>
      <c r="EH738" s="1366"/>
      <c r="EI738" s="1366"/>
      <c r="EJ738" s="1366">
        <f t="shared" si="29"/>
        <v>0</v>
      </c>
      <c r="EK738" s="1366"/>
      <c r="EL738" s="1366"/>
      <c r="EM738" s="1366"/>
      <c r="EN738" s="1366"/>
      <c r="EO738" s="1366">
        <f t="shared" si="30"/>
        <v>0</v>
      </c>
      <c r="EP738" s="1366"/>
      <c r="EQ738" s="1366"/>
      <c r="ER738" s="1366"/>
      <c r="ES738" s="1366"/>
      <c r="ET738" s="1366">
        <f t="shared" si="31"/>
        <v>0</v>
      </c>
      <c r="EU738" s="1366"/>
      <c r="EV738" s="1366"/>
      <c r="EW738" s="1366"/>
      <c r="EX738" s="1366"/>
      <c r="EZ738" s="1359" t="str">
        <f t="shared" si="32"/>
        <v/>
      </c>
      <c r="FA738" s="1360"/>
      <c r="FB738" s="1360"/>
      <c r="FC738" s="1360"/>
      <c r="FD738" s="1361"/>
      <c r="FE738" s="1359" t="str">
        <f t="shared" si="33"/>
        <v/>
      </c>
      <c r="FF738" s="1360"/>
      <c r="FG738" s="1360"/>
      <c r="FH738" s="1360"/>
      <c r="FI738" s="1361"/>
      <c r="FJ738" s="1359" t="str">
        <f t="shared" si="34"/>
        <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2.9" customHeight="1">
      <c r="B739" s="1362"/>
      <c r="C739" s="1363"/>
      <c r="D739" s="1363"/>
      <c r="E739" s="1363"/>
      <c r="F739" s="1364"/>
      <c r="G739" s="1590"/>
      <c r="H739" s="1591"/>
      <c r="I739" s="1591"/>
      <c r="J739" s="1592"/>
      <c r="K739" s="1594"/>
      <c r="L739" s="1595"/>
      <c r="M739" s="1595"/>
      <c r="N739" s="1596"/>
      <c r="O739" s="1484"/>
      <c r="P739" s="1485"/>
      <c r="Q739" s="1485"/>
      <c r="R739" s="1485"/>
      <c r="S739" s="1486"/>
      <c r="T739" s="1484"/>
      <c r="U739" s="1485"/>
      <c r="V739" s="1485"/>
      <c r="W739" s="1486"/>
      <c r="X739" s="1405">
        <f t="shared" si="10"/>
        <v>0</v>
      </c>
      <c r="Y739" s="1406"/>
      <c r="Z739" s="1406"/>
      <c r="AA739" s="1406"/>
      <c r="AB739" s="1407"/>
      <c r="AC739" s="1597"/>
      <c r="AD739" s="1598"/>
      <c r="AE739" s="1598"/>
      <c r="AF739" s="1598"/>
      <c r="AG739" s="1599"/>
      <c r="AH739" s="1387" t="str">
        <f t="shared" si="38"/>
        <v/>
      </c>
      <c r="AI739" s="1388"/>
      <c r="AJ739" s="1389"/>
      <c r="AK739" s="1362"/>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9">
        <f t="shared" si="39"/>
        <v>0</v>
      </c>
      <c r="CH739" s="1361"/>
      <c r="CI739" s="1342">
        <f t="shared" si="40"/>
        <v>0</v>
      </c>
      <c r="CJ739" s="1344"/>
      <c r="CK739" s="1359">
        <f t="shared" si="18"/>
        <v>0</v>
      </c>
      <c r="CL739" s="1361"/>
      <c r="CM739" s="1342">
        <f t="shared" si="19"/>
        <v>0</v>
      </c>
      <c r="CN739" s="1344"/>
      <c r="CO739" s="3"/>
      <c r="CP739" s="1339">
        <f t="shared" si="20"/>
        <v>0</v>
      </c>
      <c r="CQ739" s="1340"/>
      <c r="CR739" s="1340"/>
      <c r="CS739" s="1340"/>
      <c r="CT739" s="1341"/>
      <c r="CU739" s="1347">
        <f t="shared" si="21"/>
        <v>0</v>
      </c>
      <c r="CV739" s="1347"/>
      <c r="CW739" s="1347"/>
      <c r="CX739" s="1347"/>
      <c r="CY739" s="1347"/>
      <c r="CZ739" s="1347">
        <f t="shared" si="22"/>
        <v>0</v>
      </c>
      <c r="DA739" s="1347"/>
      <c r="DB739" s="1347"/>
      <c r="DC739" s="1347"/>
      <c r="DD739" s="1347"/>
      <c r="DE739" s="1347">
        <f t="shared" si="23"/>
        <v>0</v>
      </c>
      <c r="DF739" s="1347"/>
      <c r="DG739" s="1347"/>
      <c r="DH739" s="1347"/>
      <c r="DI739" s="1347"/>
      <c r="DJ739" s="1347">
        <f t="shared" si="24"/>
        <v>0</v>
      </c>
      <c r="DK739" s="1347"/>
      <c r="DL739" s="1347"/>
      <c r="DM739" s="1347"/>
      <c r="DN739" s="1347"/>
      <c r="DO739" s="1347">
        <f t="shared" si="25"/>
        <v>0</v>
      </c>
      <c r="DP739" s="1347"/>
      <c r="DQ739" s="1347"/>
      <c r="DR739" s="1347"/>
      <c r="DS739" s="1347"/>
      <c r="DT739" s="6"/>
      <c r="DU739" s="1366">
        <f t="shared" si="26"/>
        <v>0</v>
      </c>
      <c r="DV739" s="1366"/>
      <c r="DW739" s="1366"/>
      <c r="DX739" s="1366"/>
      <c r="DY739" s="1366"/>
      <c r="DZ739" s="1366">
        <f t="shared" si="27"/>
        <v>0</v>
      </c>
      <c r="EA739" s="1366"/>
      <c r="EB739" s="1366"/>
      <c r="EC739" s="1366"/>
      <c r="ED739" s="1366"/>
      <c r="EE739" s="1366">
        <f t="shared" si="28"/>
        <v>0</v>
      </c>
      <c r="EF739" s="1366"/>
      <c r="EG739" s="1366"/>
      <c r="EH739" s="1366"/>
      <c r="EI739" s="1366"/>
      <c r="EJ739" s="1366">
        <f t="shared" si="29"/>
        <v>0</v>
      </c>
      <c r="EK739" s="1366"/>
      <c r="EL739" s="1366"/>
      <c r="EM739" s="1366"/>
      <c r="EN739" s="1366"/>
      <c r="EO739" s="1366">
        <f t="shared" si="30"/>
        <v>0</v>
      </c>
      <c r="EP739" s="1366"/>
      <c r="EQ739" s="1366"/>
      <c r="ER739" s="1366"/>
      <c r="ES739" s="1366"/>
      <c r="ET739" s="1366">
        <f t="shared" si="31"/>
        <v>0</v>
      </c>
      <c r="EU739" s="1366"/>
      <c r="EV739" s="1366"/>
      <c r="EW739" s="1366"/>
      <c r="EX739" s="1366"/>
      <c r="EZ739" s="1359" t="str">
        <f t="shared" si="32"/>
        <v/>
      </c>
      <c r="FA739" s="1360"/>
      <c r="FB739" s="1360"/>
      <c r="FC739" s="1360"/>
      <c r="FD739" s="1361"/>
      <c r="FE739" s="1359" t="str">
        <f t="shared" si="33"/>
        <v/>
      </c>
      <c r="FF739" s="1360"/>
      <c r="FG739" s="1360"/>
      <c r="FH739" s="1360"/>
      <c r="FI739" s="1361"/>
      <c r="FJ739" s="1359" t="str">
        <f t="shared" si="34"/>
        <v/>
      </c>
      <c r="FK739" s="1360"/>
      <c r="FL739" s="1360"/>
      <c r="FM739" s="1360"/>
      <c r="FN739" s="1361"/>
      <c r="FO739" s="1359" t="str">
        <f t="shared" si="35"/>
        <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2.9" customHeight="1">
      <c r="B740" s="1362"/>
      <c r="C740" s="1363"/>
      <c r="D740" s="1363"/>
      <c r="E740" s="1363"/>
      <c r="F740" s="1364"/>
      <c r="G740" s="1590"/>
      <c r="H740" s="1591"/>
      <c r="I740" s="1591"/>
      <c r="J740" s="1592"/>
      <c r="K740" s="1594"/>
      <c r="L740" s="1595"/>
      <c r="M740" s="1595"/>
      <c r="N740" s="1596"/>
      <c r="O740" s="1484"/>
      <c r="P740" s="1485"/>
      <c r="Q740" s="1485"/>
      <c r="R740" s="1485"/>
      <c r="S740" s="1486"/>
      <c r="T740" s="1484"/>
      <c r="U740" s="1485"/>
      <c r="V740" s="1485"/>
      <c r="W740" s="1486"/>
      <c r="X740" s="1405">
        <f t="shared" si="10"/>
        <v>0</v>
      </c>
      <c r="Y740" s="1406"/>
      <c r="Z740" s="1406"/>
      <c r="AA740" s="1406"/>
      <c r="AB740" s="1407"/>
      <c r="AC740" s="1597"/>
      <c r="AD740" s="1598"/>
      <c r="AE740" s="1598"/>
      <c r="AF740" s="1598"/>
      <c r="AG740" s="1599"/>
      <c r="AH740" s="1387" t="str">
        <f t="shared" si="38"/>
        <v/>
      </c>
      <c r="AI740" s="1388"/>
      <c r="AJ740" s="1389"/>
      <c r="AK740" s="1362"/>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9">
        <f t="shared" si="39"/>
        <v>0</v>
      </c>
      <c r="CH740" s="1361"/>
      <c r="CI740" s="1342">
        <f t="shared" si="40"/>
        <v>0</v>
      </c>
      <c r="CJ740" s="1344"/>
      <c r="CK740" s="1359">
        <f t="shared" si="18"/>
        <v>0</v>
      </c>
      <c r="CL740" s="1361"/>
      <c r="CM740" s="1342">
        <f t="shared" si="19"/>
        <v>0</v>
      </c>
      <c r="CN740" s="1344"/>
      <c r="CO740" s="3"/>
      <c r="CP740" s="1339">
        <f t="shared" si="20"/>
        <v>0</v>
      </c>
      <c r="CQ740" s="1340"/>
      <c r="CR740" s="1340"/>
      <c r="CS740" s="1340"/>
      <c r="CT740" s="1341"/>
      <c r="CU740" s="1347">
        <f t="shared" si="21"/>
        <v>0</v>
      </c>
      <c r="CV740" s="1347"/>
      <c r="CW740" s="1347"/>
      <c r="CX740" s="1347"/>
      <c r="CY740" s="1347"/>
      <c r="CZ740" s="1347">
        <f t="shared" si="22"/>
        <v>0</v>
      </c>
      <c r="DA740" s="1347"/>
      <c r="DB740" s="1347"/>
      <c r="DC740" s="1347"/>
      <c r="DD740" s="1347"/>
      <c r="DE740" s="1347">
        <f t="shared" si="23"/>
        <v>0</v>
      </c>
      <c r="DF740" s="1347"/>
      <c r="DG740" s="1347"/>
      <c r="DH740" s="1347"/>
      <c r="DI740" s="1347"/>
      <c r="DJ740" s="1347">
        <f t="shared" si="24"/>
        <v>0</v>
      </c>
      <c r="DK740" s="1347"/>
      <c r="DL740" s="1347"/>
      <c r="DM740" s="1347"/>
      <c r="DN740" s="1347"/>
      <c r="DO740" s="1347">
        <f t="shared" si="25"/>
        <v>0</v>
      </c>
      <c r="DP740" s="1347"/>
      <c r="DQ740" s="1347"/>
      <c r="DR740" s="1347"/>
      <c r="DS740" s="1347"/>
      <c r="DT740" s="6"/>
      <c r="DU740" s="1366">
        <f t="shared" si="26"/>
        <v>0</v>
      </c>
      <c r="DV740" s="1366"/>
      <c r="DW740" s="1366"/>
      <c r="DX740" s="1366"/>
      <c r="DY740" s="1366"/>
      <c r="DZ740" s="1366">
        <f t="shared" si="27"/>
        <v>0</v>
      </c>
      <c r="EA740" s="1366"/>
      <c r="EB740" s="1366"/>
      <c r="EC740" s="1366"/>
      <c r="ED740" s="1366"/>
      <c r="EE740" s="1366">
        <f t="shared" si="28"/>
        <v>0</v>
      </c>
      <c r="EF740" s="1366"/>
      <c r="EG740" s="1366"/>
      <c r="EH740" s="1366"/>
      <c r="EI740" s="1366"/>
      <c r="EJ740" s="1366">
        <f t="shared" si="29"/>
        <v>0</v>
      </c>
      <c r="EK740" s="1366"/>
      <c r="EL740" s="1366"/>
      <c r="EM740" s="1366"/>
      <c r="EN740" s="1366"/>
      <c r="EO740" s="1366">
        <f t="shared" si="30"/>
        <v>0</v>
      </c>
      <c r="EP740" s="1366"/>
      <c r="EQ740" s="1366"/>
      <c r="ER740" s="1366"/>
      <c r="ES740" s="1366"/>
      <c r="ET740" s="1366">
        <f t="shared" si="31"/>
        <v>0</v>
      </c>
      <c r="EU740" s="1366"/>
      <c r="EV740" s="1366"/>
      <c r="EW740" s="1366"/>
      <c r="EX740" s="1366"/>
      <c r="EZ740" s="1359" t="str">
        <f t="shared" si="32"/>
        <v/>
      </c>
      <c r="FA740" s="1360"/>
      <c r="FB740" s="1360"/>
      <c r="FC740" s="1360"/>
      <c r="FD740" s="1361"/>
      <c r="FE740" s="1359" t="str">
        <f t="shared" si="33"/>
        <v/>
      </c>
      <c r="FF740" s="1360"/>
      <c r="FG740" s="1360"/>
      <c r="FH740" s="1360"/>
      <c r="FI740" s="1361"/>
      <c r="FJ740" s="1359" t="str">
        <f t="shared" si="34"/>
        <v/>
      </c>
      <c r="FK740" s="1360"/>
      <c r="FL740" s="1360"/>
      <c r="FM740" s="1360"/>
      <c r="FN740" s="1361"/>
      <c r="FO740" s="1359" t="str">
        <f t="shared" si="35"/>
        <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2.9" customHeight="1">
      <c r="B741" s="1362"/>
      <c r="C741" s="1363"/>
      <c r="D741" s="1363"/>
      <c r="E741" s="1363"/>
      <c r="F741" s="1364"/>
      <c r="G741" s="1590"/>
      <c r="H741" s="1591"/>
      <c r="I741" s="1591"/>
      <c r="J741" s="1592"/>
      <c r="K741" s="1594"/>
      <c r="L741" s="1595"/>
      <c r="M741" s="1595"/>
      <c r="N741" s="1596"/>
      <c r="O741" s="1484"/>
      <c r="P741" s="1485"/>
      <c r="Q741" s="1485"/>
      <c r="R741" s="1485"/>
      <c r="S741" s="1486"/>
      <c r="T741" s="1484"/>
      <c r="U741" s="1485"/>
      <c r="V741" s="1485"/>
      <c r="W741" s="1486"/>
      <c r="X741" s="1405">
        <f t="shared" si="10"/>
        <v>0</v>
      </c>
      <c r="Y741" s="1406"/>
      <c r="Z741" s="1406"/>
      <c r="AA741" s="1406"/>
      <c r="AB741" s="1407"/>
      <c r="AC741" s="1597"/>
      <c r="AD741" s="1598"/>
      <c r="AE741" s="1598"/>
      <c r="AF741" s="1598"/>
      <c r="AG741" s="1599"/>
      <c r="AH741" s="1387" t="str">
        <f t="shared" si="38"/>
        <v/>
      </c>
      <c r="AI741" s="1388"/>
      <c r="AJ741" s="1389"/>
      <c r="AK741" s="1362"/>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9">
        <f t="shared" si="39"/>
        <v>0</v>
      </c>
      <c r="CH741" s="1361"/>
      <c r="CI741" s="1342">
        <f t="shared" si="40"/>
        <v>0</v>
      </c>
      <c r="CJ741" s="1344"/>
      <c r="CK741" s="1359">
        <f t="shared" si="18"/>
        <v>0</v>
      </c>
      <c r="CL741" s="1361"/>
      <c r="CM741" s="1342">
        <f t="shared" si="19"/>
        <v>0</v>
      </c>
      <c r="CN741" s="1344"/>
      <c r="CO741" s="3"/>
      <c r="CP741" s="1339">
        <f t="shared" si="20"/>
        <v>0</v>
      </c>
      <c r="CQ741" s="1340"/>
      <c r="CR741" s="1340"/>
      <c r="CS741" s="1340"/>
      <c r="CT741" s="1341"/>
      <c r="CU741" s="1347">
        <f t="shared" si="21"/>
        <v>0</v>
      </c>
      <c r="CV741" s="1347"/>
      <c r="CW741" s="1347"/>
      <c r="CX741" s="1347"/>
      <c r="CY741" s="1347"/>
      <c r="CZ741" s="1347">
        <f t="shared" si="22"/>
        <v>0</v>
      </c>
      <c r="DA741" s="1347"/>
      <c r="DB741" s="1347"/>
      <c r="DC741" s="1347"/>
      <c r="DD741" s="1347"/>
      <c r="DE741" s="1347">
        <f t="shared" si="23"/>
        <v>0</v>
      </c>
      <c r="DF741" s="1347"/>
      <c r="DG741" s="1347"/>
      <c r="DH741" s="1347"/>
      <c r="DI741" s="1347"/>
      <c r="DJ741" s="1347">
        <f t="shared" si="24"/>
        <v>0</v>
      </c>
      <c r="DK741" s="1347"/>
      <c r="DL741" s="1347"/>
      <c r="DM741" s="1347"/>
      <c r="DN741" s="1347"/>
      <c r="DO741" s="1347">
        <f t="shared" si="25"/>
        <v>0</v>
      </c>
      <c r="DP741" s="1347"/>
      <c r="DQ741" s="1347"/>
      <c r="DR741" s="1347"/>
      <c r="DS741" s="1347"/>
      <c r="DT741" s="6"/>
      <c r="DU741" s="1366">
        <f t="shared" si="26"/>
        <v>0</v>
      </c>
      <c r="DV741" s="1366"/>
      <c r="DW741" s="1366"/>
      <c r="DX741" s="1366"/>
      <c r="DY741" s="1366"/>
      <c r="DZ741" s="1366">
        <f t="shared" si="27"/>
        <v>0</v>
      </c>
      <c r="EA741" s="1366"/>
      <c r="EB741" s="1366"/>
      <c r="EC741" s="1366"/>
      <c r="ED741" s="1366"/>
      <c r="EE741" s="1366">
        <f t="shared" si="28"/>
        <v>0</v>
      </c>
      <c r="EF741" s="1366"/>
      <c r="EG741" s="1366"/>
      <c r="EH741" s="1366"/>
      <c r="EI741" s="1366"/>
      <c r="EJ741" s="1366">
        <f t="shared" si="29"/>
        <v>0</v>
      </c>
      <c r="EK741" s="1366"/>
      <c r="EL741" s="1366"/>
      <c r="EM741" s="1366"/>
      <c r="EN741" s="1366"/>
      <c r="EO741" s="1366">
        <f t="shared" si="30"/>
        <v>0</v>
      </c>
      <c r="EP741" s="1366"/>
      <c r="EQ741" s="1366"/>
      <c r="ER741" s="1366"/>
      <c r="ES741" s="1366"/>
      <c r="ET741" s="1366">
        <f t="shared" si="31"/>
        <v>0</v>
      </c>
      <c r="EU741" s="1366"/>
      <c r="EV741" s="1366"/>
      <c r="EW741" s="1366"/>
      <c r="EX741" s="1366"/>
      <c r="EZ741" s="1359" t="str">
        <f t="shared" si="32"/>
        <v/>
      </c>
      <c r="FA741" s="1360"/>
      <c r="FB741" s="1360"/>
      <c r="FC741" s="1360"/>
      <c r="FD741" s="1361"/>
      <c r="FE741" s="1359" t="str">
        <f t="shared" si="33"/>
        <v/>
      </c>
      <c r="FF741" s="1360"/>
      <c r="FG741" s="1360"/>
      <c r="FH741" s="1360"/>
      <c r="FI741" s="1361"/>
      <c r="FJ741" s="1359" t="str">
        <f t="shared" si="34"/>
        <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2.9" customHeight="1">
      <c r="B742" s="1362"/>
      <c r="C742" s="1363"/>
      <c r="D742" s="1363"/>
      <c r="E742" s="1363"/>
      <c r="F742" s="1364"/>
      <c r="G742" s="1590"/>
      <c r="H742" s="1591"/>
      <c r="I742" s="1591"/>
      <c r="J742" s="1592"/>
      <c r="K742" s="1594"/>
      <c r="L742" s="1595"/>
      <c r="M742" s="1595"/>
      <c r="N742" s="1596"/>
      <c r="O742" s="1484"/>
      <c r="P742" s="1485"/>
      <c r="Q742" s="1485"/>
      <c r="R742" s="1485"/>
      <c r="S742" s="1486"/>
      <c r="T742" s="1484"/>
      <c r="U742" s="1485"/>
      <c r="V742" s="1485"/>
      <c r="W742" s="1486"/>
      <c r="X742" s="1405">
        <f t="shared" si="10"/>
        <v>0</v>
      </c>
      <c r="Y742" s="1406"/>
      <c r="Z742" s="1406"/>
      <c r="AA742" s="1406"/>
      <c r="AB742" s="1407"/>
      <c r="AC742" s="1597"/>
      <c r="AD742" s="1598"/>
      <c r="AE742" s="1598"/>
      <c r="AF742" s="1598"/>
      <c r="AG742" s="1599"/>
      <c r="AH742" s="1387" t="str">
        <f t="shared" si="38"/>
        <v/>
      </c>
      <c r="AI742" s="1388"/>
      <c r="AJ742" s="1389"/>
      <c r="AK742" s="1362"/>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9">
        <f t="shared" si="39"/>
        <v>0</v>
      </c>
      <c r="CH742" s="1361"/>
      <c r="CI742" s="1342">
        <f t="shared" si="40"/>
        <v>0</v>
      </c>
      <c r="CJ742" s="1344"/>
      <c r="CK742" s="1359">
        <f t="shared" si="18"/>
        <v>0</v>
      </c>
      <c r="CL742" s="1361"/>
      <c r="CM742" s="1342">
        <f t="shared" si="19"/>
        <v>0</v>
      </c>
      <c r="CN742" s="1344"/>
      <c r="CO742" s="3"/>
      <c r="CP742" s="1339">
        <f t="shared" si="20"/>
        <v>0</v>
      </c>
      <c r="CQ742" s="1340"/>
      <c r="CR742" s="1340"/>
      <c r="CS742" s="1340"/>
      <c r="CT742" s="1341"/>
      <c r="CU742" s="1347">
        <f t="shared" si="21"/>
        <v>0</v>
      </c>
      <c r="CV742" s="1347"/>
      <c r="CW742" s="1347"/>
      <c r="CX742" s="1347"/>
      <c r="CY742" s="1347"/>
      <c r="CZ742" s="1347">
        <f t="shared" si="22"/>
        <v>0</v>
      </c>
      <c r="DA742" s="1347"/>
      <c r="DB742" s="1347"/>
      <c r="DC742" s="1347"/>
      <c r="DD742" s="1347"/>
      <c r="DE742" s="1347">
        <f t="shared" si="23"/>
        <v>0</v>
      </c>
      <c r="DF742" s="1347"/>
      <c r="DG742" s="1347"/>
      <c r="DH742" s="1347"/>
      <c r="DI742" s="1347"/>
      <c r="DJ742" s="1347">
        <f t="shared" si="24"/>
        <v>0</v>
      </c>
      <c r="DK742" s="1347"/>
      <c r="DL742" s="1347"/>
      <c r="DM742" s="1347"/>
      <c r="DN742" s="1347"/>
      <c r="DO742" s="1347">
        <f t="shared" si="25"/>
        <v>0</v>
      </c>
      <c r="DP742" s="1347"/>
      <c r="DQ742" s="1347"/>
      <c r="DR742" s="1347"/>
      <c r="DS742" s="1347"/>
      <c r="DT742" s="6"/>
      <c r="DU742" s="1366">
        <f t="shared" si="26"/>
        <v>0</v>
      </c>
      <c r="DV742" s="1366"/>
      <c r="DW742" s="1366"/>
      <c r="DX742" s="1366"/>
      <c r="DY742" s="1366"/>
      <c r="DZ742" s="1366">
        <f t="shared" si="27"/>
        <v>0</v>
      </c>
      <c r="EA742" s="1366"/>
      <c r="EB742" s="1366"/>
      <c r="EC742" s="1366"/>
      <c r="ED742" s="1366"/>
      <c r="EE742" s="1366">
        <f t="shared" si="28"/>
        <v>0</v>
      </c>
      <c r="EF742" s="1366"/>
      <c r="EG742" s="1366"/>
      <c r="EH742" s="1366"/>
      <c r="EI742" s="1366"/>
      <c r="EJ742" s="1366">
        <f t="shared" si="29"/>
        <v>0</v>
      </c>
      <c r="EK742" s="1366"/>
      <c r="EL742" s="1366"/>
      <c r="EM742" s="1366"/>
      <c r="EN742" s="1366"/>
      <c r="EO742" s="1366">
        <f t="shared" si="30"/>
        <v>0</v>
      </c>
      <c r="EP742" s="1366"/>
      <c r="EQ742" s="1366"/>
      <c r="ER742" s="1366"/>
      <c r="ES742" s="1366"/>
      <c r="ET742" s="1366">
        <f t="shared" si="31"/>
        <v>0</v>
      </c>
      <c r="EU742" s="1366"/>
      <c r="EV742" s="1366"/>
      <c r="EW742" s="1366"/>
      <c r="EX742" s="1366"/>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t="str">
        <f t="shared" si="35"/>
        <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2.9" customHeight="1">
      <c r="B743" s="1362"/>
      <c r="C743" s="1363"/>
      <c r="D743" s="1363"/>
      <c r="E743" s="1363"/>
      <c r="F743" s="1364"/>
      <c r="G743" s="1590"/>
      <c r="H743" s="1591"/>
      <c r="I743" s="1591"/>
      <c r="J743" s="1592"/>
      <c r="K743" s="1594"/>
      <c r="L743" s="1595"/>
      <c r="M743" s="1595"/>
      <c r="N743" s="1596"/>
      <c r="O743" s="1484"/>
      <c r="P743" s="1485"/>
      <c r="Q743" s="1485"/>
      <c r="R743" s="1485"/>
      <c r="S743" s="1486"/>
      <c r="T743" s="1484"/>
      <c r="U743" s="1485"/>
      <c r="V743" s="1485"/>
      <c r="W743" s="1486"/>
      <c r="X743" s="1405">
        <f t="shared" si="10"/>
        <v>0</v>
      </c>
      <c r="Y743" s="1406"/>
      <c r="Z743" s="1406"/>
      <c r="AA743" s="1406"/>
      <c r="AB743" s="1407"/>
      <c r="AC743" s="1597"/>
      <c r="AD743" s="1598"/>
      <c r="AE743" s="1598"/>
      <c r="AF743" s="1598"/>
      <c r="AG743" s="1599"/>
      <c r="AH743" s="1387" t="str">
        <f t="shared" si="38"/>
        <v/>
      </c>
      <c r="AI743" s="1388"/>
      <c r="AJ743" s="1389"/>
      <c r="AK743" s="1362"/>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39"/>
        <v>0</v>
      </c>
      <c r="CH743" s="1361"/>
      <c r="CI743" s="1342">
        <f t="shared" si="40"/>
        <v>0</v>
      </c>
      <c r="CJ743" s="1344"/>
      <c r="CK743" s="1359">
        <f t="shared" si="18"/>
        <v>0</v>
      </c>
      <c r="CL743" s="1361"/>
      <c r="CM743" s="1342">
        <f t="shared" si="19"/>
        <v>0</v>
      </c>
      <c r="CN743" s="1344"/>
      <c r="CO743" s="3"/>
      <c r="CP743" s="1339">
        <f t="shared" si="20"/>
        <v>0</v>
      </c>
      <c r="CQ743" s="1340"/>
      <c r="CR743" s="1340"/>
      <c r="CS743" s="1340"/>
      <c r="CT743" s="1341"/>
      <c r="CU743" s="1347">
        <f t="shared" si="21"/>
        <v>0</v>
      </c>
      <c r="CV743" s="1347"/>
      <c r="CW743" s="1347"/>
      <c r="CX743" s="1347"/>
      <c r="CY743" s="1347"/>
      <c r="CZ743" s="1347">
        <f t="shared" si="22"/>
        <v>0</v>
      </c>
      <c r="DA743" s="1347"/>
      <c r="DB743" s="1347"/>
      <c r="DC743" s="1347"/>
      <c r="DD743" s="1347"/>
      <c r="DE743" s="1347">
        <f t="shared" si="23"/>
        <v>0</v>
      </c>
      <c r="DF743" s="1347"/>
      <c r="DG743" s="1347"/>
      <c r="DH743" s="1347"/>
      <c r="DI743" s="1347"/>
      <c r="DJ743" s="1347">
        <f t="shared" si="24"/>
        <v>0</v>
      </c>
      <c r="DK743" s="1347"/>
      <c r="DL743" s="1347"/>
      <c r="DM743" s="1347"/>
      <c r="DN743" s="1347"/>
      <c r="DO743" s="1347">
        <f t="shared" si="25"/>
        <v>0</v>
      </c>
      <c r="DP743" s="1347"/>
      <c r="DQ743" s="1347"/>
      <c r="DR743" s="1347"/>
      <c r="DS743" s="1347"/>
      <c r="DT743" s="6"/>
      <c r="DU743" s="1366">
        <f t="shared" si="26"/>
        <v>0</v>
      </c>
      <c r="DV743" s="1366"/>
      <c r="DW743" s="1366"/>
      <c r="DX743" s="1366"/>
      <c r="DY743" s="1366"/>
      <c r="DZ743" s="1366">
        <f t="shared" si="27"/>
        <v>0</v>
      </c>
      <c r="EA743" s="1366"/>
      <c r="EB743" s="1366"/>
      <c r="EC743" s="1366"/>
      <c r="ED743" s="1366"/>
      <c r="EE743" s="1366">
        <f t="shared" si="28"/>
        <v>0</v>
      </c>
      <c r="EF743" s="1366"/>
      <c r="EG743" s="1366"/>
      <c r="EH743" s="1366"/>
      <c r="EI743" s="1366"/>
      <c r="EJ743" s="1366">
        <f t="shared" si="29"/>
        <v>0</v>
      </c>
      <c r="EK743" s="1366"/>
      <c r="EL743" s="1366"/>
      <c r="EM743" s="1366"/>
      <c r="EN743" s="1366"/>
      <c r="EO743" s="1366">
        <f t="shared" si="30"/>
        <v>0</v>
      </c>
      <c r="EP743" s="1366"/>
      <c r="EQ743" s="1366"/>
      <c r="ER743" s="1366"/>
      <c r="ES743" s="1366"/>
      <c r="ET743" s="1366">
        <f t="shared" si="31"/>
        <v>0</v>
      </c>
      <c r="EU743" s="1366"/>
      <c r="EV743" s="1366"/>
      <c r="EW743" s="1366"/>
      <c r="EX743" s="1366"/>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2.9" customHeight="1">
      <c r="B744" s="1362"/>
      <c r="C744" s="1363"/>
      <c r="D744" s="1363"/>
      <c r="E744" s="1363"/>
      <c r="F744" s="1364"/>
      <c r="G744" s="1590"/>
      <c r="H744" s="1591"/>
      <c r="I744" s="1591"/>
      <c r="J744" s="1592"/>
      <c r="K744" s="1594"/>
      <c r="L744" s="1595"/>
      <c r="M744" s="1595"/>
      <c r="N744" s="1596"/>
      <c r="O744" s="1484"/>
      <c r="P744" s="1485"/>
      <c r="Q744" s="1485"/>
      <c r="R744" s="1485"/>
      <c r="S744" s="1486"/>
      <c r="T744" s="1484"/>
      <c r="U744" s="1485"/>
      <c r="V744" s="1485"/>
      <c r="W744" s="1486"/>
      <c r="X744" s="1405">
        <f t="shared" si="10"/>
        <v>0</v>
      </c>
      <c r="Y744" s="1406"/>
      <c r="Z744" s="1406"/>
      <c r="AA744" s="1406"/>
      <c r="AB744" s="1407"/>
      <c r="AC744" s="1597"/>
      <c r="AD744" s="1598"/>
      <c r="AE744" s="1598"/>
      <c r="AF744" s="1598"/>
      <c r="AG744" s="1599"/>
      <c r="AH744" s="1387" t="str">
        <f t="shared" si="38"/>
        <v/>
      </c>
      <c r="AI744" s="1388"/>
      <c r="AJ744" s="1389"/>
      <c r="AK744" s="1362"/>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39"/>
        <v>0</v>
      </c>
      <c r="CH744" s="1361"/>
      <c r="CI744" s="1342">
        <f t="shared" si="40"/>
        <v>0</v>
      </c>
      <c r="CJ744" s="1344"/>
      <c r="CK744" s="1359">
        <f t="shared" si="18"/>
        <v>0</v>
      </c>
      <c r="CL744" s="1361"/>
      <c r="CM744" s="1342">
        <f t="shared" si="19"/>
        <v>0</v>
      </c>
      <c r="CN744" s="1344"/>
      <c r="CO744" s="3"/>
      <c r="CP744" s="1339">
        <f t="shared" si="20"/>
        <v>0</v>
      </c>
      <c r="CQ744" s="1340"/>
      <c r="CR744" s="1340"/>
      <c r="CS744" s="1340"/>
      <c r="CT744" s="1341"/>
      <c r="CU744" s="1347">
        <f t="shared" si="21"/>
        <v>0</v>
      </c>
      <c r="CV744" s="1347"/>
      <c r="CW744" s="1347"/>
      <c r="CX744" s="1347"/>
      <c r="CY744" s="1347"/>
      <c r="CZ744" s="1347">
        <f t="shared" si="22"/>
        <v>0</v>
      </c>
      <c r="DA744" s="1347"/>
      <c r="DB744" s="1347"/>
      <c r="DC744" s="1347"/>
      <c r="DD744" s="1347"/>
      <c r="DE744" s="1347">
        <f t="shared" si="23"/>
        <v>0</v>
      </c>
      <c r="DF744" s="1347"/>
      <c r="DG744" s="1347"/>
      <c r="DH744" s="1347"/>
      <c r="DI744" s="1347"/>
      <c r="DJ744" s="1347">
        <f t="shared" si="24"/>
        <v>0</v>
      </c>
      <c r="DK744" s="1347"/>
      <c r="DL744" s="1347"/>
      <c r="DM744" s="1347"/>
      <c r="DN744" s="1347"/>
      <c r="DO744" s="1347">
        <f t="shared" si="25"/>
        <v>0</v>
      </c>
      <c r="DP744" s="1347"/>
      <c r="DQ744" s="1347"/>
      <c r="DR744" s="1347"/>
      <c r="DS744" s="1347"/>
      <c r="DT744" s="6"/>
      <c r="DU744" s="1366">
        <f t="shared" si="26"/>
        <v>0</v>
      </c>
      <c r="DV744" s="1366"/>
      <c r="DW744" s="1366"/>
      <c r="DX744" s="1366"/>
      <c r="DY744" s="1366"/>
      <c r="DZ744" s="1366">
        <f t="shared" si="27"/>
        <v>0</v>
      </c>
      <c r="EA744" s="1366"/>
      <c r="EB744" s="1366"/>
      <c r="EC744" s="1366"/>
      <c r="ED744" s="1366"/>
      <c r="EE744" s="1366">
        <f t="shared" si="28"/>
        <v>0</v>
      </c>
      <c r="EF744" s="1366"/>
      <c r="EG744" s="1366"/>
      <c r="EH744" s="1366"/>
      <c r="EI744" s="1366"/>
      <c r="EJ744" s="1366">
        <f t="shared" si="29"/>
        <v>0</v>
      </c>
      <c r="EK744" s="1366"/>
      <c r="EL744" s="1366"/>
      <c r="EM744" s="1366"/>
      <c r="EN744" s="1366"/>
      <c r="EO744" s="1366">
        <f t="shared" si="30"/>
        <v>0</v>
      </c>
      <c r="EP744" s="1366"/>
      <c r="EQ744" s="1366"/>
      <c r="ER744" s="1366"/>
      <c r="ES744" s="1366"/>
      <c r="ET744" s="1366">
        <f t="shared" si="31"/>
        <v>0</v>
      </c>
      <c r="EU744" s="1366"/>
      <c r="EV744" s="1366"/>
      <c r="EW744" s="1366"/>
      <c r="EX744" s="1366"/>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2.9" customHeight="1">
      <c r="B745" s="1362"/>
      <c r="C745" s="1363"/>
      <c r="D745" s="1363"/>
      <c r="E745" s="1363"/>
      <c r="F745" s="1364"/>
      <c r="G745" s="1590"/>
      <c r="H745" s="1591"/>
      <c r="I745" s="1591"/>
      <c r="J745" s="1592"/>
      <c r="K745" s="1594"/>
      <c r="L745" s="1595"/>
      <c r="M745" s="1595"/>
      <c r="N745" s="1596"/>
      <c r="O745" s="1484"/>
      <c r="P745" s="1485"/>
      <c r="Q745" s="1485"/>
      <c r="R745" s="1485"/>
      <c r="S745" s="1486"/>
      <c r="T745" s="1484"/>
      <c r="U745" s="1485"/>
      <c r="V745" s="1485"/>
      <c r="W745" s="1486"/>
      <c r="X745" s="1405">
        <f t="shared" si="10"/>
        <v>0</v>
      </c>
      <c r="Y745" s="1406"/>
      <c r="Z745" s="1406"/>
      <c r="AA745" s="1406"/>
      <c r="AB745" s="1407"/>
      <c r="AC745" s="1597"/>
      <c r="AD745" s="1598"/>
      <c r="AE745" s="1598"/>
      <c r="AF745" s="1598"/>
      <c r="AG745" s="1599"/>
      <c r="AH745" s="1387" t="str">
        <f t="shared" si="38"/>
        <v/>
      </c>
      <c r="AI745" s="1388"/>
      <c r="AJ745" s="1389"/>
      <c r="AK745" s="1362"/>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39"/>
        <v>0</v>
      </c>
      <c r="CH745" s="1361"/>
      <c r="CI745" s="1342">
        <f t="shared" si="40"/>
        <v>0</v>
      </c>
      <c r="CJ745" s="1344"/>
      <c r="CK745" s="1359">
        <f t="shared" si="18"/>
        <v>0</v>
      </c>
      <c r="CL745" s="1361"/>
      <c r="CM745" s="1342">
        <f t="shared" si="19"/>
        <v>0</v>
      </c>
      <c r="CN745" s="1344"/>
      <c r="CO745" s="3"/>
      <c r="CP745" s="1339">
        <f t="shared" si="20"/>
        <v>0</v>
      </c>
      <c r="CQ745" s="1340"/>
      <c r="CR745" s="1340"/>
      <c r="CS745" s="1340"/>
      <c r="CT745" s="1341"/>
      <c r="CU745" s="1347">
        <f t="shared" si="21"/>
        <v>0</v>
      </c>
      <c r="CV745" s="1347"/>
      <c r="CW745" s="1347"/>
      <c r="CX745" s="1347"/>
      <c r="CY745" s="1347"/>
      <c r="CZ745" s="1347">
        <f t="shared" si="22"/>
        <v>0</v>
      </c>
      <c r="DA745" s="1347"/>
      <c r="DB745" s="1347"/>
      <c r="DC745" s="1347"/>
      <c r="DD745" s="1347"/>
      <c r="DE745" s="1347">
        <f t="shared" si="23"/>
        <v>0</v>
      </c>
      <c r="DF745" s="1347"/>
      <c r="DG745" s="1347"/>
      <c r="DH745" s="1347"/>
      <c r="DI745" s="1347"/>
      <c r="DJ745" s="1347">
        <f t="shared" si="24"/>
        <v>0</v>
      </c>
      <c r="DK745" s="1347"/>
      <c r="DL745" s="1347"/>
      <c r="DM745" s="1347"/>
      <c r="DN745" s="1347"/>
      <c r="DO745" s="1347">
        <f t="shared" si="25"/>
        <v>0</v>
      </c>
      <c r="DP745" s="1347"/>
      <c r="DQ745" s="1347"/>
      <c r="DR745" s="1347"/>
      <c r="DS745" s="1347"/>
      <c r="DT745" s="6"/>
      <c r="DU745" s="1366">
        <f t="shared" si="26"/>
        <v>0</v>
      </c>
      <c r="DV745" s="1366"/>
      <c r="DW745" s="1366"/>
      <c r="DX745" s="1366"/>
      <c r="DY745" s="1366"/>
      <c r="DZ745" s="1366">
        <f t="shared" si="27"/>
        <v>0</v>
      </c>
      <c r="EA745" s="1366"/>
      <c r="EB745" s="1366"/>
      <c r="EC745" s="1366"/>
      <c r="ED745" s="1366"/>
      <c r="EE745" s="1366">
        <f t="shared" si="28"/>
        <v>0</v>
      </c>
      <c r="EF745" s="1366"/>
      <c r="EG745" s="1366"/>
      <c r="EH745" s="1366"/>
      <c r="EI745" s="1366"/>
      <c r="EJ745" s="1366">
        <f t="shared" si="29"/>
        <v>0</v>
      </c>
      <c r="EK745" s="1366"/>
      <c r="EL745" s="1366"/>
      <c r="EM745" s="1366"/>
      <c r="EN745" s="1366"/>
      <c r="EO745" s="1366">
        <f t="shared" si="30"/>
        <v>0</v>
      </c>
      <c r="EP745" s="1366"/>
      <c r="EQ745" s="1366"/>
      <c r="ER745" s="1366"/>
      <c r="ES745" s="1366"/>
      <c r="ET745" s="1366">
        <f t="shared" si="31"/>
        <v>0</v>
      </c>
      <c r="EU745" s="1366"/>
      <c r="EV745" s="1366"/>
      <c r="EW745" s="1366"/>
      <c r="EX745" s="1366"/>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2.9" customHeight="1">
      <c r="B746" s="1362"/>
      <c r="C746" s="1363"/>
      <c r="D746" s="1363"/>
      <c r="E746" s="1363"/>
      <c r="F746" s="1364"/>
      <c r="G746" s="1590"/>
      <c r="H746" s="1591"/>
      <c r="I746" s="1591"/>
      <c r="J746" s="1592"/>
      <c r="K746" s="1594"/>
      <c r="L746" s="1595"/>
      <c r="M746" s="1595"/>
      <c r="N746" s="1596"/>
      <c r="O746" s="1484"/>
      <c r="P746" s="1485"/>
      <c r="Q746" s="1485"/>
      <c r="R746" s="1485"/>
      <c r="S746" s="1486"/>
      <c r="T746" s="1484"/>
      <c r="U746" s="1485"/>
      <c r="V746" s="1485"/>
      <c r="W746" s="1486"/>
      <c r="X746" s="1405">
        <f t="shared" si="10"/>
        <v>0</v>
      </c>
      <c r="Y746" s="1406"/>
      <c r="Z746" s="1406"/>
      <c r="AA746" s="1406"/>
      <c r="AB746" s="1407"/>
      <c r="AC746" s="1597"/>
      <c r="AD746" s="1598"/>
      <c r="AE746" s="1598"/>
      <c r="AF746" s="1598"/>
      <c r="AG746" s="1599"/>
      <c r="AH746" s="1387" t="str">
        <f t="shared" si="38"/>
        <v/>
      </c>
      <c r="AI746" s="1388"/>
      <c r="AJ746" s="1389"/>
      <c r="AK746" s="1362"/>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39"/>
        <v>0</v>
      </c>
      <c r="CH746" s="1361"/>
      <c r="CI746" s="1342">
        <f t="shared" si="40"/>
        <v>0</v>
      </c>
      <c r="CJ746" s="1344"/>
      <c r="CK746" s="1359">
        <f t="shared" si="18"/>
        <v>0</v>
      </c>
      <c r="CL746" s="1361"/>
      <c r="CM746" s="1342">
        <f t="shared" si="19"/>
        <v>0</v>
      </c>
      <c r="CN746" s="1344"/>
      <c r="CO746" s="3"/>
      <c r="CP746" s="1339">
        <f t="shared" si="20"/>
        <v>0</v>
      </c>
      <c r="CQ746" s="1340"/>
      <c r="CR746" s="1340"/>
      <c r="CS746" s="1340"/>
      <c r="CT746" s="1341"/>
      <c r="CU746" s="1347">
        <f t="shared" si="21"/>
        <v>0</v>
      </c>
      <c r="CV746" s="1347"/>
      <c r="CW746" s="1347"/>
      <c r="CX746" s="1347"/>
      <c r="CY746" s="1347"/>
      <c r="CZ746" s="1347">
        <f t="shared" si="22"/>
        <v>0</v>
      </c>
      <c r="DA746" s="1347"/>
      <c r="DB746" s="1347"/>
      <c r="DC746" s="1347"/>
      <c r="DD746" s="1347"/>
      <c r="DE746" s="1347">
        <f t="shared" si="23"/>
        <v>0</v>
      </c>
      <c r="DF746" s="1347"/>
      <c r="DG746" s="1347"/>
      <c r="DH746" s="1347"/>
      <c r="DI746" s="1347"/>
      <c r="DJ746" s="1347">
        <f t="shared" si="24"/>
        <v>0</v>
      </c>
      <c r="DK746" s="1347"/>
      <c r="DL746" s="1347"/>
      <c r="DM746" s="1347"/>
      <c r="DN746" s="1347"/>
      <c r="DO746" s="1347">
        <f t="shared" si="25"/>
        <v>0</v>
      </c>
      <c r="DP746" s="1347"/>
      <c r="DQ746" s="1347"/>
      <c r="DR746" s="1347"/>
      <c r="DS746" s="1347"/>
      <c r="DT746" s="6"/>
      <c r="DU746" s="1366">
        <f t="shared" si="26"/>
        <v>0</v>
      </c>
      <c r="DV746" s="1366"/>
      <c r="DW746" s="1366"/>
      <c r="DX746" s="1366"/>
      <c r="DY746" s="1366"/>
      <c r="DZ746" s="1366">
        <f t="shared" si="27"/>
        <v>0</v>
      </c>
      <c r="EA746" s="1366"/>
      <c r="EB746" s="1366"/>
      <c r="EC746" s="1366"/>
      <c r="ED746" s="1366"/>
      <c r="EE746" s="1366">
        <f t="shared" si="28"/>
        <v>0</v>
      </c>
      <c r="EF746" s="1366"/>
      <c r="EG746" s="1366"/>
      <c r="EH746" s="1366"/>
      <c r="EI746" s="1366"/>
      <c r="EJ746" s="1366">
        <f t="shared" si="29"/>
        <v>0</v>
      </c>
      <c r="EK746" s="1366"/>
      <c r="EL746" s="1366"/>
      <c r="EM746" s="1366"/>
      <c r="EN746" s="1366"/>
      <c r="EO746" s="1366">
        <f t="shared" si="30"/>
        <v>0</v>
      </c>
      <c r="EP746" s="1366"/>
      <c r="EQ746" s="1366"/>
      <c r="ER746" s="1366"/>
      <c r="ES746" s="1366"/>
      <c r="ET746" s="1366">
        <f t="shared" si="31"/>
        <v>0</v>
      </c>
      <c r="EU746" s="1366"/>
      <c r="EV746" s="1366"/>
      <c r="EW746" s="1366"/>
      <c r="EX746" s="1366"/>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2.9" customHeight="1">
      <c r="B747" s="1362"/>
      <c r="C747" s="1363"/>
      <c r="D747" s="1363"/>
      <c r="E747" s="1363"/>
      <c r="F747" s="1364"/>
      <c r="G747" s="1590"/>
      <c r="H747" s="1591"/>
      <c r="I747" s="1591"/>
      <c r="J747" s="1592"/>
      <c r="K747" s="1594"/>
      <c r="L747" s="1595"/>
      <c r="M747" s="1595"/>
      <c r="N747" s="1596"/>
      <c r="O747" s="1484"/>
      <c r="P747" s="1485"/>
      <c r="Q747" s="1485"/>
      <c r="R747" s="1485"/>
      <c r="S747" s="1486"/>
      <c r="T747" s="1484"/>
      <c r="U747" s="1485"/>
      <c r="V747" s="1485"/>
      <c r="W747" s="1486"/>
      <c r="X747" s="1405">
        <f t="shared" si="10"/>
        <v>0</v>
      </c>
      <c r="Y747" s="1406"/>
      <c r="Z747" s="1406"/>
      <c r="AA747" s="1406"/>
      <c r="AB747" s="1407"/>
      <c r="AC747" s="1597"/>
      <c r="AD747" s="1598"/>
      <c r="AE747" s="1598"/>
      <c r="AF747" s="1598"/>
      <c r="AG747" s="1599"/>
      <c r="AH747" s="1387" t="str">
        <f t="shared" si="38"/>
        <v/>
      </c>
      <c r="AI747" s="1388"/>
      <c r="AJ747" s="1389"/>
      <c r="AK747" s="1362"/>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39"/>
        <v>0</v>
      </c>
      <c r="CH747" s="1361"/>
      <c r="CI747" s="1342">
        <f t="shared" si="40"/>
        <v>0</v>
      </c>
      <c r="CJ747" s="1344"/>
      <c r="CK747" s="1359">
        <f t="shared" si="18"/>
        <v>0</v>
      </c>
      <c r="CL747" s="1361"/>
      <c r="CM747" s="1342">
        <f t="shared" si="19"/>
        <v>0</v>
      </c>
      <c r="CN747" s="1344"/>
      <c r="CO747" s="3"/>
      <c r="CP747" s="1339">
        <f t="shared" si="20"/>
        <v>0</v>
      </c>
      <c r="CQ747" s="1340"/>
      <c r="CR747" s="1340"/>
      <c r="CS747" s="1340"/>
      <c r="CT747" s="1341"/>
      <c r="CU747" s="1347">
        <f t="shared" si="21"/>
        <v>0</v>
      </c>
      <c r="CV747" s="1347"/>
      <c r="CW747" s="1347"/>
      <c r="CX747" s="1347"/>
      <c r="CY747" s="1347"/>
      <c r="CZ747" s="1347">
        <f t="shared" si="22"/>
        <v>0</v>
      </c>
      <c r="DA747" s="1347"/>
      <c r="DB747" s="1347"/>
      <c r="DC747" s="1347"/>
      <c r="DD747" s="1347"/>
      <c r="DE747" s="1347">
        <f t="shared" si="23"/>
        <v>0</v>
      </c>
      <c r="DF747" s="1347"/>
      <c r="DG747" s="1347"/>
      <c r="DH747" s="1347"/>
      <c r="DI747" s="1347"/>
      <c r="DJ747" s="1347">
        <f t="shared" si="24"/>
        <v>0</v>
      </c>
      <c r="DK747" s="1347"/>
      <c r="DL747" s="1347"/>
      <c r="DM747" s="1347"/>
      <c r="DN747" s="1347"/>
      <c r="DO747" s="1347">
        <f t="shared" si="25"/>
        <v>0</v>
      </c>
      <c r="DP747" s="1347"/>
      <c r="DQ747" s="1347"/>
      <c r="DR747" s="1347"/>
      <c r="DS747" s="1347"/>
      <c r="DT747" s="6"/>
      <c r="DU747" s="1366">
        <f t="shared" si="26"/>
        <v>0</v>
      </c>
      <c r="DV747" s="1366"/>
      <c r="DW747" s="1366"/>
      <c r="DX747" s="1366"/>
      <c r="DY747" s="1366"/>
      <c r="DZ747" s="1366">
        <f t="shared" si="27"/>
        <v>0</v>
      </c>
      <c r="EA747" s="1366"/>
      <c r="EB747" s="1366"/>
      <c r="EC747" s="1366"/>
      <c r="ED747" s="1366"/>
      <c r="EE747" s="1366">
        <f t="shared" si="28"/>
        <v>0</v>
      </c>
      <c r="EF747" s="1366"/>
      <c r="EG747" s="1366"/>
      <c r="EH747" s="1366"/>
      <c r="EI747" s="1366"/>
      <c r="EJ747" s="1366">
        <f t="shared" si="29"/>
        <v>0</v>
      </c>
      <c r="EK747" s="1366"/>
      <c r="EL747" s="1366"/>
      <c r="EM747" s="1366"/>
      <c r="EN747" s="1366"/>
      <c r="EO747" s="1366">
        <f t="shared" si="30"/>
        <v>0</v>
      </c>
      <c r="EP747" s="1366"/>
      <c r="EQ747" s="1366"/>
      <c r="ER747" s="1366"/>
      <c r="ES747" s="1366"/>
      <c r="ET747" s="1366">
        <f t="shared" si="31"/>
        <v>0</v>
      </c>
      <c r="EU747" s="1366"/>
      <c r="EV747" s="1366"/>
      <c r="EW747" s="1366"/>
      <c r="EX747" s="1366"/>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2.9" customHeight="1">
      <c r="B748" s="1362"/>
      <c r="C748" s="1363"/>
      <c r="D748" s="1363"/>
      <c r="E748" s="1363"/>
      <c r="F748" s="1364"/>
      <c r="G748" s="1590"/>
      <c r="H748" s="1591"/>
      <c r="I748" s="1591"/>
      <c r="J748" s="1592"/>
      <c r="K748" s="1594"/>
      <c r="L748" s="1595"/>
      <c r="M748" s="1595"/>
      <c r="N748" s="1596"/>
      <c r="O748" s="1484"/>
      <c r="P748" s="1485"/>
      <c r="Q748" s="1485"/>
      <c r="R748" s="1485"/>
      <c r="S748" s="1486"/>
      <c r="T748" s="1484"/>
      <c r="U748" s="1485"/>
      <c r="V748" s="1485"/>
      <c r="W748" s="1486"/>
      <c r="X748" s="1405">
        <f t="shared" si="10"/>
        <v>0</v>
      </c>
      <c r="Y748" s="1406"/>
      <c r="Z748" s="1406"/>
      <c r="AA748" s="1406"/>
      <c r="AB748" s="1407"/>
      <c r="AC748" s="1597"/>
      <c r="AD748" s="1598"/>
      <c r="AE748" s="1598"/>
      <c r="AF748" s="1598"/>
      <c r="AG748" s="1599"/>
      <c r="AH748" s="1387" t="str">
        <f t="shared" si="38"/>
        <v/>
      </c>
      <c r="AI748" s="1388"/>
      <c r="AJ748" s="1389"/>
      <c r="AK748" s="1362"/>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39"/>
        <v>0</v>
      </c>
      <c r="CH748" s="1361"/>
      <c r="CI748" s="1342">
        <f t="shared" si="40"/>
        <v>0</v>
      </c>
      <c r="CJ748" s="1344"/>
      <c r="CK748" s="1359">
        <f t="shared" si="18"/>
        <v>0</v>
      </c>
      <c r="CL748" s="1361"/>
      <c r="CM748" s="1342">
        <f t="shared" si="19"/>
        <v>0</v>
      </c>
      <c r="CN748" s="1344"/>
      <c r="CO748" s="3"/>
      <c r="CP748" s="1339">
        <f t="shared" si="20"/>
        <v>0</v>
      </c>
      <c r="CQ748" s="1340"/>
      <c r="CR748" s="1340"/>
      <c r="CS748" s="1340"/>
      <c r="CT748" s="1341"/>
      <c r="CU748" s="1347">
        <f t="shared" si="21"/>
        <v>0</v>
      </c>
      <c r="CV748" s="1347"/>
      <c r="CW748" s="1347"/>
      <c r="CX748" s="1347"/>
      <c r="CY748" s="1347"/>
      <c r="CZ748" s="1347">
        <f t="shared" si="22"/>
        <v>0</v>
      </c>
      <c r="DA748" s="1347"/>
      <c r="DB748" s="1347"/>
      <c r="DC748" s="1347"/>
      <c r="DD748" s="1347"/>
      <c r="DE748" s="1347">
        <f t="shared" si="23"/>
        <v>0</v>
      </c>
      <c r="DF748" s="1347"/>
      <c r="DG748" s="1347"/>
      <c r="DH748" s="1347"/>
      <c r="DI748" s="1347"/>
      <c r="DJ748" s="1347">
        <f t="shared" si="24"/>
        <v>0</v>
      </c>
      <c r="DK748" s="1347"/>
      <c r="DL748" s="1347"/>
      <c r="DM748" s="1347"/>
      <c r="DN748" s="1347"/>
      <c r="DO748" s="1347">
        <f t="shared" si="25"/>
        <v>0</v>
      </c>
      <c r="DP748" s="1347"/>
      <c r="DQ748" s="1347"/>
      <c r="DR748" s="1347"/>
      <c r="DS748" s="1347"/>
      <c r="DT748" s="6"/>
      <c r="DU748" s="1366">
        <f t="shared" si="26"/>
        <v>0</v>
      </c>
      <c r="DV748" s="1366"/>
      <c r="DW748" s="1366"/>
      <c r="DX748" s="1366"/>
      <c r="DY748" s="1366"/>
      <c r="DZ748" s="1366">
        <f t="shared" si="27"/>
        <v>0</v>
      </c>
      <c r="EA748" s="1366"/>
      <c r="EB748" s="1366"/>
      <c r="EC748" s="1366"/>
      <c r="ED748" s="1366"/>
      <c r="EE748" s="1366">
        <f t="shared" si="28"/>
        <v>0</v>
      </c>
      <c r="EF748" s="1366"/>
      <c r="EG748" s="1366"/>
      <c r="EH748" s="1366"/>
      <c r="EI748" s="1366"/>
      <c r="EJ748" s="1366">
        <f t="shared" si="29"/>
        <v>0</v>
      </c>
      <c r="EK748" s="1366"/>
      <c r="EL748" s="1366"/>
      <c r="EM748" s="1366"/>
      <c r="EN748" s="1366"/>
      <c r="EO748" s="1366">
        <f t="shared" si="30"/>
        <v>0</v>
      </c>
      <c r="EP748" s="1366"/>
      <c r="EQ748" s="1366"/>
      <c r="ER748" s="1366"/>
      <c r="ES748" s="1366"/>
      <c r="ET748" s="1366">
        <f t="shared" si="31"/>
        <v>0</v>
      </c>
      <c r="EU748" s="1366"/>
      <c r="EV748" s="1366"/>
      <c r="EW748" s="1366"/>
      <c r="EX748" s="1366"/>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2.9" customHeight="1">
      <c r="B749" s="1362"/>
      <c r="C749" s="1363"/>
      <c r="D749" s="1363"/>
      <c r="E749" s="1363"/>
      <c r="F749" s="1364"/>
      <c r="G749" s="1590"/>
      <c r="H749" s="1591"/>
      <c r="I749" s="1591"/>
      <c r="J749" s="1592"/>
      <c r="K749" s="1594"/>
      <c r="L749" s="1595"/>
      <c r="M749" s="1595"/>
      <c r="N749" s="1596"/>
      <c r="O749" s="1484"/>
      <c r="P749" s="1485"/>
      <c r="Q749" s="1485"/>
      <c r="R749" s="1485"/>
      <c r="S749" s="1486"/>
      <c r="T749" s="1484"/>
      <c r="U749" s="1485"/>
      <c r="V749" s="1485"/>
      <c r="W749" s="1486"/>
      <c r="X749" s="1405">
        <f t="shared" si="10"/>
        <v>0</v>
      </c>
      <c r="Y749" s="1406"/>
      <c r="Z749" s="1406"/>
      <c r="AA749" s="1406"/>
      <c r="AB749" s="1407"/>
      <c r="AC749" s="1597"/>
      <c r="AD749" s="1598"/>
      <c r="AE749" s="1598"/>
      <c r="AF749" s="1598"/>
      <c r="AG749" s="1599"/>
      <c r="AH749" s="1387" t="str">
        <f t="shared" si="38"/>
        <v/>
      </c>
      <c r="AI749" s="1388"/>
      <c r="AJ749" s="1389"/>
      <c r="AK749" s="1362"/>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39"/>
        <v>0</v>
      </c>
      <c r="CH749" s="1361"/>
      <c r="CI749" s="1342">
        <f t="shared" si="40"/>
        <v>0</v>
      </c>
      <c r="CJ749" s="1344"/>
      <c r="CK749" s="1359">
        <f t="shared" si="18"/>
        <v>0</v>
      </c>
      <c r="CL749" s="1361"/>
      <c r="CM749" s="1342">
        <f t="shared" si="19"/>
        <v>0</v>
      </c>
      <c r="CN749" s="1344"/>
      <c r="CO749" s="3"/>
      <c r="CP749" s="1339">
        <f t="shared" si="20"/>
        <v>0</v>
      </c>
      <c r="CQ749" s="1340"/>
      <c r="CR749" s="1340"/>
      <c r="CS749" s="1340"/>
      <c r="CT749" s="1341"/>
      <c r="CU749" s="1347">
        <f t="shared" si="21"/>
        <v>0</v>
      </c>
      <c r="CV749" s="1347"/>
      <c r="CW749" s="1347"/>
      <c r="CX749" s="1347"/>
      <c r="CY749" s="1347"/>
      <c r="CZ749" s="1347">
        <f t="shared" si="22"/>
        <v>0</v>
      </c>
      <c r="DA749" s="1347"/>
      <c r="DB749" s="1347"/>
      <c r="DC749" s="1347"/>
      <c r="DD749" s="1347"/>
      <c r="DE749" s="1347">
        <f t="shared" si="23"/>
        <v>0</v>
      </c>
      <c r="DF749" s="1347"/>
      <c r="DG749" s="1347"/>
      <c r="DH749" s="1347"/>
      <c r="DI749" s="1347"/>
      <c r="DJ749" s="1347">
        <f t="shared" si="24"/>
        <v>0</v>
      </c>
      <c r="DK749" s="1347"/>
      <c r="DL749" s="1347"/>
      <c r="DM749" s="1347"/>
      <c r="DN749" s="1347"/>
      <c r="DO749" s="1347">
        <f t="shared" si="25"/>
        <v>0</v>
      </c>
      <c r="DP749" s="1347"/>
      <c r="DQ749" s="1347"/>
      <c r="DR749" s="1347"/>
      <c r="DS749" s="1347"/>
      <c r="DT749" s="6"/>
      <c r="DU749" s="1366">
        <f t="shared" si="26"/>
        <v>0</v>
      </c>
      <c r="DV749" s="1366"/>
      <c r="DW749" s="1366"/>
      <c r="DX749" s="1366"/>
      <c r="DY749" s="1366"/>
      <c r="DZ749" s="1366">
        <f t="shared" si="27"/>
        <v>0</v>
      </c>
      <c r="EA749" s="1366"/>
      <c r="EB749" s="1366"/>
      <c r="EC749" s="1366"/>
      <c r="ED749" s="1366"/>
      <c r="EE749" s="1366">
        <f t="shared" si="28"/>
        <v>0</v>
      </c>
      <c r="EF749" s="1366"/>
      <c r="EG749" s="1366"/>
      <c r="EH749" s="1366"/>
      <c r="EI749" s="1366"/>
      <c r="EJ749" s="1366">
        <f t="shared" si="29"/>
        <v>0</v>
      </c>
      <c r="EK749" s="1366"/>
      <c r="EL749" s="1366"/>
      <c r="EM749" s="1366"/>
      <c r="EN749" s="1366"/>
      <c r="EO749" s="1366">
        <f t="shared" si="30"/>
        <v>0</v>
      </c>
      <c r="EP749" s="1366"/>
      <c r="EQ749" s="1366"/>
      <c r="ER749" s="1366"/>
      <c r="ES749" s="1366"/>
      <c r="ET749" s="1366">
        <f t="shared" si="31"/>
        <v>0</v>
      </c>
      <c r="EU749" s="1366"/>
      <c r="EV749" s="1366"/>
      <c r="EW749" s="1366"/>
      <c r="EX749" s="1366"/>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2.9" customHeight="1">
      <c r="B750" s="1362"/>
      <c r="C750" s="1363"/>
      <c r="D750" s="1363"/>
      <c r="E750" s="1363"/>
      <c r="F750" s="1364"/>
      <c r="G750" s="1590"/>
      <c r="H750" s="1591"/>
      <c r="I750" s="1591"/>
      <c r="J750" s="1592"/>
      <c r="K750" s="1594"/>
      <c r="L750" s="1595"/>
      <c r="M750" s="1595"/>
      <c r="N750" s="1596"/>
      <c r="O750" s="1484"/>
      <c r="P750" s="1485"/>
      <c r="Q750" s="1485"/>
      <c r="R750" s="1485"/>
      <c r="S750" s="1486"/>
      <c r="T750" s="1484"/>
      <c r="U750" s="1485"/>
      <c r="V750" s="1485"/>
      <c r="W750" s="1486"/>
      <c r="X750" s="1405">
        <f t="shared" ref="X750:X759" si="41">O750+T750</f>
        <v>0</v>
      </c>
      <c r="Y750" s="1406"/>
      <c r="Z750" s="1406"/>
      <c r="AA750" s="1406"/>
      <c r="AB750" s="1407"/>
      <c r="AC750" s="1597"/>
      <c r="AD750" s="1598"/>
      <c r="AE750" s="1598"/>
      <c r="AF750" s="1598"/>
      <c r="AG750" s="1599"/>
      <c r="AH750" s="1387" t="str">
        <f t="shared" si="38"/>
        <v/>
      </c>
      <c r="AI750" s="1388"/>
      <c r="AJ750" s="1389"/>
      <c r="AK750" s="1362"/>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39"/>
        <v>0</v>
      </c>
      <c r="CH750" s="1361"/>
      <c r="CI750" s="1342">
        <f t="shared" si="40"/>
        <v>0</v>
      </c>
      <c r="CJ750" s="1344"/>
      <c r="CK750" s="1359">
        <f t="shared" si="18"/>
        <v>0</v>
      </c>
      <c r="CL750" s="1361"/>
      <c r="CM750" s="1342">
        <f t="shared" si="19"/>
        <v>0</v>
      </c>
      <c r="CN750" s="1344"/>
      <c r="CO750" s="3"/>
      <c r="CP750" s="1339">
        <f t="shared" si="20"/>
        <v>0</v>
      </c>
      <c r="CQ750" s="1340"/>
      <c r="CR750" s="1340"/>
      <c r="CS750" s="1340"/>
      <c r="CT750" s="1341"/>
      <c r="CU750" s="1347">
        <f t="shared" si="21"/>
        <v>0</v>
      </c>
      <c r="CV750" s="1347"/>
      <c r="CW750" s="1347"/>
      <c r="CX750" s="1347"/>
      <c r="CY750" s="1347"/>
      <c r="CZ750" s="1347">
        <f t="shared" si="22"/>
        <v>0</v>
      </c>
      <c r="DA750" s="1347"/>
      <c r="DB750" s="1347"/>
      <c r="DC750" s="1347"/>
      <c r="DD750" s="1347"/>
      <c r="DE750" s="1347">
        <f t="shared" si="23"/>
        <v>0</v>
      </c>
      <c r="DF750" s="1347"/>
      <c r="DG750" s="1347"/>
      <c r="DH750" s="1347"/>
      <c r="DI750" s="1347"/>
      <c r="DJ750" s="1347">
        <f t="shared" si="24"/>
        <v>0</v>
      </c>
      <c r="DK750" s="1347"/>
      <c r="DL750" s="1347"/>
      <c r="DM750" s="1347"/>
      <c r="DN750" s="1347"/>
      <c r="DO750" s="1347">
        <f t="shared" si="25"/>
        <v>0</v>
      </c>
      <c r="DP750" s="1347"/>
      <c r="DQ750" s="1347"/>
      <c r="DR750" s="1347"/>
      <c r="DS750" s="1347"/>
      <c r="DT750" s="6"/>
      <c r="DU750" s="1366">
        <f t="shared" si="26"/>
        <v>0</v>
      </c>
      <c r="DV750" s="1366"/>
      <c r="DW750" s="1366"/>
      <c r="DX750" s="1366"/>
      <c r="DY750" s="1366"/>
      <c r="DZ750" s="1366">
        <f t="shared" si="27"/>
        <v>0</v>
      </c>
      <c r="EA750" s="1366"/>
      <c r="EB750" s="1366"/>
      <c r="EC750" s="1366"/>
      <c r="ED750" s="1366"/>
      <c r="EE750" s="1366">
        <f t="shared" si="28"/>
        <v>0</v>
      </c>
      <c r="EF750" s="1366"/>
      <c r="EG750" s="1366"/>
      <c r="EH750" s="1366"/>
      <c r="EI750" s="1366"/>
      <c r="EJ750" s="1366">
        <f t="shared" si="29"/>
        <v>0</v>
      </c>
      <c r="EK750" s="1366"/>
      <c r="EL750" s="1366"/>
      <c r="EM750" s="1366"/>
      <c r="EN750" s="1366"/>
      <c r="EO750" s="1366">
        <f t="shared" si="30"/>
        <v>0</v>
      </c>
      <c r="EP750" s="1366"/>
      <c r="EQ750" s="1366"/>
      <c r="ER750" s="1366"/>
      <c r="ES750" s="1366"/>
      <c r="ET750" s="1366">
        <f t="shared" si="31"/>
        <v>0</v>
      </c>
      <c r="EU750" s="1366"/>
      <c r="EV750" s="1366"/>
      <c r="EW750" s="1366"/>
      <c r="EX750" s="1366"/>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2.9" customHeight="1">
      <c r="A751"/>
      <c r="B751" s="1362"/>
      <c r="C751" s="1363"/>
      <c r="D751" s="1363"/>
      <c r="E751" s="1363"/>
      <c r="F751" s="1364"/>
      <c r="G751" s="1590"/>
      <c r="H751" s="1591"/>
      <c r="I751" s="1591"/>
      <c r="J751" s="1592"/>
      <c r="K751" s="1594"/>
      <c r="L751" s="1595"/>
      <c r="M751" s="1595"/>
      <c r="N751" s="1596"/>
      <c r="O751" s="1484"/>
      <c r="P751" s="1485"/>
      <c r="Q751" s="1485"/>
      <c r="R751" s="1485"/>
      <c r="S751" s="1486"/>
      <c r="T751" s="1484"/>
      <c r="U751" s="1485"/>
      <c r="V751" s="1485"/>
      <c r="W751" s="1486"/>
      <c r="X751" s="1405">
        <f t="shared" si="41"/>
        <v>0</v>
      </c>
      <c r="Y751" s="1406"/>
      <c r="Z751" s="1406"/>
      <c r="AA751" s="1406"/>
      <c r="AB751" s="1407"/>
      <c r="AC751" s="1597"/>
      <c r="AD751" s="1598"/>
      <c r="AE751" s="1598"/>
      <c r="AF751" s="1598"/>
      <c r="AG751" s="1599"/>
      <c r="AH751" s="1387" t="str">
        <f t="shared" si="38"/>
        <v/>
      </c>
      <c r="AI751" s="1388"/>
      <c r="AJ751" s="1389"/>
      <c r="AK751" s="1362"/>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39"/>
        <v>0</v>
      </c>
      <c r="CH751" s="1361"/>
      <c r="CI751" s="1342">
        <f t="shared" si="40"/>
        <v>0</v>
      </c>
      <c r="CJ751" s="1344"/>
      <c r="CK751" s="1359">
        <f t="shared" si="18"/>
        <v>0</v>
      </c>
      <c r="CL751" s="1361"/>
      <c r="CM751" s="1342">
        <f t="shared" si="19"/>
        <v>0</v>
      </c>
      <c r="CN751" s="1344"/>
      <c r="CP751" s="1339">
        <f t="shared" si="20"/>
        <v>0</v>
      </c>
      <c r="CQ751" s="1340"/>
      <c r="CR751" s="1340"/>
      <c r="CS751" s="1340"/>
      <c r="CT751" s="1341"/>
      <c r="CU751" s="1347">
        <f t="shared" si="21"/>
        <v>0</v>
      </c>
      <c r="CV751" s="1347"/>
      <c r="CW751" s="1347"/>
      <c r="CX751" s="1347"/>
      <c r="CY751" s="1347"/>
      <c r="CZ751" s="1347">
        <f t="shared" si="22"/>
        <v>0</v>
      </c>
      <c r="DA751" s="1347"/>
      <c r="DB751" s="1347"/>
      <c r="DC751" s="1347"/>
      <c r="DD751" s="1347"/>
      <c r="DE751" s="1347">
        <f t="shared" si="23"/>
        <v>0</v>
      </c>
      <c r="DF751" s="1347"/>
      <c r="DG751" s="1347"/>
      <c r="DH751" s="1347"/>
      <c r="DI751" s="1347"/>
      <c r="DJ751" s="1347">
        <f t="shared" si="24"/>
        <v>0</v>
      </c>
      <c r="DK751" s="1347"/>
      <c r="DL751" s="1347"/>
      <c r="DM751" s="1347"/>
      <c r="DN751" s="1347"/>
      <c r="DO751" s="1347">
        <f t="shared" si="25"/>
        <v>0</v>
      </c>
      <c r="DP751" s="1347"/>
      <c r="DQ751" s="1347"/>
      <c r="DR751" s="1347"/>
      <c r="DS751" s="1347"/>
      <c r="DT751" s="6"/>
      <c r="DU751" s="1366">
        <f t="shared" si="26"/>
        <v>0</v>
      </c>
      <c r="DV751" s="1366"/>
      <c r="DW751" s="1366"/>
      <c r="DX751" s="1366"/>
      <c r="DY751" s="1366"/>
      <c r="DZ751" s="1366">
        <f t="shared" si="27"/>
        <v>0</v>
      </c>
      <c r="EA751" s="1366"/>
      <c r="EB751" s="1366"/>
      <c r="EC751" s="1366"/>
      <c r="ED751" s="1366"/>
      <c r="EE751" s="1366">
        <f t="shared" si="28"/>
        <v>0</v>
      </c>
      <c r="EF751" s="1366"/>
      <c r="EG751" s="1366"/>
      <c r="EH751" s="1366"/>
      <c r="EI751" s="1366"/>
      <c r="EJ751" s="1366">
        <f t="shared" si="29"/>
        <v>0</v>
      </c>
      <c r="EK751" s="1366"/>
      <c r="EL751" s="1366"/>
      <c r="EM751" s="1366"/>
      <c r="EN751" s="1366"/>
      <c r="EO751" s="1366">
        <f t="shared" si="30"/>
        <v>0</v>
      </c>
      <c r="EP751" s="1366"/>
      <c r="EQ751" s="1366"/>
      <c r="ER751" s="1366"/>
      <c r="ES751" s="1366"/>
      <c r="ET751" s="1366">
        <f t="shared" si="31"/>
        <v>0</v>
      </c>
      <c r="EU751" s="1366"/>
      <c r="EV751" s="1366"/>
      <c r="EW751" s="1366"/>
      <c r="EX751" s="1366"/>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2.9" customHeight="1">
      <c r="B752" s="1362"/>
      <c r="C752" s="1363"/>
      <c r="D752" s="1363"/>
      <c r="E752" s="1363"/>
      <c r="F752" s="1364"/>
      <c r="G752" s="1590"/>
      <c r="H752" s="1591"/>
      <c r="I752" s="1591"/>
      <c r="J752" s="1592"/>
      <c r="K752" s="1594"/>
      <c r="L752" s="1595"/>
      <c r="M752" s="1595"/>
      <c r="N752" s="1596"/>
      <c r="O752" s="1484"/>
      <c r="P752" s="1485"/>
      <c r="Q752" s="1485"/>
      <c r="R752" s="1485"/>
      <c r="S752" s="1486"/>
      <c r="T752" s="1484"/>
      <c r="U752" s="1485"/>
      <c r="V752" s="1485"/>
      <c r="W752" s="1486"/>
      <c r="X752" s="1405">
        <f t="shared" si="41"/>
        <v>0</v>
      </c>
      <c r="Y752" s="1406"/>
      <c r="Z752" s="1406"/>
      <c r="AA752" s="1406"/>
      <c r="AB752" s="1407"/>
      <c r="AC752" s="1597"/>
      <c r="AD752" s="1598"/>
      <c r="AE752" s="1598"/>
      <c r="AF752" s="1598"/>
      <c r="AG752" s="1599"/>
      <c r="AH752" s="1387" t="str">
        <f t="shared" si="38"/>
        <v/>
      </c>
      <c r="AI752" s="1388"/>
      <c r="AJ752" s="1389"/>
      <c r="AK752" s="1362"/>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39"/>
        <v>0</v>
      </c>
      <c r="CH752" s="1361"/>
      <c r="CI752" s="1342">
        <f t="shared" si="40"/>
        <v>0</v>
      </c>
      <c r="CJ752" s="1344"/>
      <c r="CK752" s="1359">
        <f t="shared" si="18"/>
        <v>0</v>
      </c>
      <c r="CL752" s="1361"/>
      <c r="CM752" s="1342">
        <f t="shared" si="19"/>
        <v>0</v>
      </c>
      <c r="CN752" s="1344"/>
      <c r="CO752" s="3"/>
      <c r="CP752" s="1339">
        <f t="shared" si="20"/>
        <v>0</v>
      </c>
      <c r="CQ752" s="1340"/>
      <c r="CR752" s="1340"/>
      <c r="CS752" s="1340"/>
      <c r="CT752" s="1341"/>
      <c r="CU752" s="1347">
        <f t="shared" si="21"/>
        <v>0</v>
      </c>
      <c r="CV752" s="1347"/>
      <c r="CW752" s="1347"/>
      <c r="CX752" s="1347"/>
      <c r="CY752" s="1347"/>
      <c r="CZ752" s="1347">
        <f t="shared" si="22"/>
        <v>0</v>
      </c>
      <c r="DA752" s="1347"/>
      <c r="DB752" s="1347"/>
      <c r="DC752" s="1347"/>
      <c r="DD752" s="1347"/>
      <c r="DE752" s="1347">
        <f t="shared" si="23"/>
        <v>0</v>
      </c>
      <c r="DF752" s="1347"/>
      <c r="DG752" s="1347"/>
      <c r="DH752" s="1347"/>
      <c r="DI752" s="1347"/>
      <c r="DJ752" s="1347">
        <f t="shared" si="24"/>
        <v>0</v>
      </c>
      <c r="DK752" s="1347"/>
      <c r="DL752" s="1347"/>
      <c r="DM752" s="1347"/>
      <c r="DN752" s="1347"/>
      <c r="DO752" s="1347">
        <f t="shared" si="25"/>
        <v>0</v>
      </c>
      <c r="DP752" s="1347"/>
      <c r="DQ752" s="1347"/>
      <c r="DR752" s="1347"/>
      <c r="DS752" s="1347"/>
      <c r="DT752" s="6"/>
      <c r="DU752" s="1366">
        <f t="shared" si="26"/>
        <v>0</v>
      </c>
      <c r="DV752" s="1366"/>
      <c r="DW752" s="1366"/>
      <c r="DX752" s="1366"/>
      <c r="DY752" s="1366"/>
      <c r="DZ752" s="1366">
        <f t="shared" si="27"/>
        <v>0</v>
      </c>
      <c r="EA752" s="1366"/>
      <c r="EB752" s="1366"/>
      <c r="EC752" s="1366"/>
      <c r="ED752" s="1366"/>
      <c r="EE752" s="1366">
        <f t="shared" si="28"/>
        <v>0</v>
      </c>
      <c r="EF752" s="1366"/>
      <c r="EG752" s="1366"/>
      <c r="EH752" s="1366"/>
      <c r="EI752" s="1366"/>
      <c r="EJ752" s="1366">
        <f t="shared" si="29"/>
        <v>0</v>
      </c>
      <c r="EK752" s="1366"/>
      <c r="EL752" s="1366"/>
      <c r="EM752" s="1366"/>
      <c r="EN752" s="1366"/>
      <c r="EO752" s="1366">
        <f t="shared" si="30"/>
        <v>0</v>
      </c>
      <c r="EP752" s="1366"/>
      <c r="EQ752" s="1366"/>
      <c r="ER752" s="1366"/>
      <c r="ES752" s="1366"/>
      <c r="ET752" s="1366">
        <f t="shared" si="31"/>
        <v>0</v>
      </c>
      <c r="EU752" s="1366"/>
      <c r="EV752" s="1366"/>
      <c r="EW752" s="1366"/>
      <c r="EX752" s="1366"/>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2.9" customHeight="1">
      <c r="B753" s="1362"/>
      <c r="C753" s="1363"/>
      <c r="D753" s="1363"/>
      <c r="E753" s="1363"/>
      <c r="F753" s="1364"/>
      <c r="G753" s="1590"/>
      <c r="H753" s="1591"/>
      <c r="I753" s="1591"/>
      <c r="J753" s="1592"/>
      <c r="K753" s="1594"/>
      <c r="L753" s="1595"/>
      <c r="M753" s="1595"/>
      <c r="N753" s="1596"/>
      <c r="O753" s="1484"/>
      <c r="P753" s="1485"/>
      <c r="Q753" s="1485"/>
      <c r="R753" s="1485"/>
      <c r="S753" s="1486"/>
      <c r="T753" s="1484"/>
      <c r="U753" s="1485"/>
      <c r="V753" s="1485"/>
      <c r="W753" s="1486"/>
      <c r="X753" s="1405">
        <f t="shared" si="41"/>
        <v>0</v>
      </c>
      <c r="Y753" s="1406"/>
      <c r="Z753" s="1406"/>
      <c r="AA753" s="1406"/>
      <c r="AB753" s="1407"/>
      <c r="AC753" s="1597"/>
      <c r="AD753" s="1598"/>
      <c r="AE753" s="1598"/>
      <c r="AF753" s="1598"/>
      <c r="AG753" s="1599"/>
      <c r="AH753" s="1387" t="str">
        <f t="shared" si="38"/>
        <v/>
      </c>
      <c r="AI753" s="1388"/>
      <c r="AJ753" s="1389"/>
      <c r="AK753" s="1362"/>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39"/>
        <v>0</v>
      </c>
      <c r="CH753" s="1361"/>
      <c r="CI753" s="1342">
        <f t="shared" si="40"/>
        <v>0</v>
      </c>
      <c r="CJ753" s="1344"/>
      <c r="CK753" s="1359">
        <f t="shared" si="18"/>
        <v>0</v>
      </c>
      <c r="CL753" s="1361"/>
      <c r="CM753" s="1342">
        <f t="shared" si="19"/>
        <v>0</v>
      </c>
      <c r="CN753" s="1344"/>
      <c r="CO753" s="3"/>
      <c r="CP753" s="1339">
        <f t="shared" si="20"/>
        <v>0</v>
      </c>
      <c r="CQ753" s="1340"/>
      <c r="CR753" s="1340"/>
      <c r="CS753" s="1340"/>
      <c r="CT753" s="1341"/>
      <c r="CU753" s="1347">
        <f t="shared" si="21"/>
        <v>0</v>
      </c>
      <c r="CV753" s="1347"/>
      <c r="CW753" s="1347"/>
      <c r="CX753" s="1347"/>
      <c r="CY753" s="1347"/>
      <c r="CZ753" s="1347">
        <f t="shared" si="22"/>
        <v>0</v>
      </c>
      <c r="DA753" s="1347"/>
      <c r="DB753" s="1347"/>
      <c r="DC753" s="1347"/>
      <c r="DD753" s="1347"/>
      <c r="DE753" s="1347">
        <f t="shared" si="23"/>
        <v>0</v>
      </c>
      <c r="DF753" s="1347"/>
      <c r="DG753" s="1347"/>
      <c r="DH753" s="1347"/>
      <c r="DI753" s="1347"/>
      <c r="DJ753" s="1347">
        <f t="shared" si="24"/>
        <v>0</v>
      </c>
      <c r="DK753" s="1347"/>
      <c r="DL753" s="1347"/>
      <c r="DM753" s="1347"/>
      <c r="DN753" s="1347"/>
      <c r="DO753" s="1347">
        <f t="shared" si="25"/>
        <v>0</v>
      </c>
      <c r="DP753" s="1347"/>
      <c r="DQ753" s="1347"/>
      <c r="DR753" s="1347"/>
      <c r="DS753" s="1347"/>
      <c r="DT753" s="6"/>
      <c r="DU753" s="1366">
        <f t="shared" si="26"/>
        <v>0</v>
      </c>
      <c r="DV753" s="1366"/>
      <c r="DW753" s="1366"/>
      <c r="DX753" s="1366"/>
      <c r="DY753" s="1366"/>
      <c r="DZ753" s="1366">
        <f t="shared" si="27"/>
        <v>0</v>
      </c>
      <c r="EA753" s="1366"/>
      <c r="EB753" s="1366"/>
      <c r="EC753" s="1366"/>
      <c r="ED753" s="1366"/>
      <c r="EE753" s="1366">
        <f t="shared" si="28"/>
        <v>0</v>
      </c>
      <c r="EF753" s="1366"/>
      <c r="EG753" s="1366"/>
      <c r="EH753" s="1366"/>
      <c r="EI753" s="1366"/>
      <c r="EJ753" s="1366">
        <f t="shared" si="29"/>
        <v>0</v>
      </c>
      <c r="EK753" s="1366"/>
      <c r="EL753" s="1366"/>
      <c r="EM753" s="1366"/>
      <c r="EN753" s="1366"/>
      <c r="EO753" s="1366">
        <f t="shared" si="30"/>
        <v>0</v>
      </c>
      <c r="EP753" s="1366"/>
      <c r="EQ753" s="1366"/>
      <c r="ER753" s="1366"/>
      <c r="ES753" s="1366"/>
      <c r="ET753" s="1366">
        <f t="shared" si="31"/>
        <v>0</v>
      </c>
      <c r="EU753" s="1366"/>
      <c r="EV753" s="1366"/>
      <c r="EW753" s="1366"/>
      <c r="EX753" s="1366"/>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2.9" customHeight="1">
      <c r="B754" s="1362"/>
      <c r="C754" s="1363"/>
      <c r="D754" s="1363"/>
      <c r="E754" s="1363"/>
      <c r="F754" s="1364"/>
      <c r="G754" s="1590"/>
      <c r="H754" s="1591"/>
      <c r="I754" s="1591"/>
      <c r="J754" s="1592"/>
      <c r="K754" s="1594"/>
      <c r="L754" s="1595"/>
      <c r="M754" s="1595"/>
      <c r="N754" s="1596"/>
      <c r="O754" s="1484"/>
      <c r="P754" s="1485"/>
      <c r="Q754" s="1485"/>
      <c r="R754" s="1485"/>
      <c r="S754" s="1486"/>
      <c r="T754" s="1484"/>
      <c r="U754" s="1485"/>
      <c r="V754" s="1485"/>
      <c r="W754" s="1486"/>
      <c r="X754" s="1405">
        <f t="shared" si="41"/>
        <v>0</v>
      </c>
      <c r="Y754" s="1406"/>
      <c r="Z754" s="1406"/>
      <c r="AA754" s="1406"/>
      <c r="AB754" s="1407"/>
      <c r="AC754" s="1597"/>
      <c r="AD754" s="1598"/>
      <c r="AE754" s="1598"/>
      <c r="AF754" s="1598"/>
      <c r="AG754" s="1599"/>
      <c r="AH754" s="1387" t="str">
        <f t="shared" si="38"/>
        <v/>
      </c>
      <c r="AI754" s="1388"/>
      <c r="AJ754" s="1389"/>
      <c r="AK754" s="1362"/>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39"/>
        <v>0</v>
      </c>
      <c r="CH754" s="1361"/>
      <c r="CI754" s="1342">
        <f t="shared" si="40"/>
        <v>0</v>
      </c>
      <c r="CJ754" s="1344"/>
      <c r="CK754" s="1359">
        <f t="shared" si="18"/>
        <v>0</v>
      </c>
      <c r="CL754" s="1361"/>
      <c r="CM754" s="1342">
        <f t="shared" si="19"/>
        <v>0</v>
      </c>
      <c r="CN754" s="1344"/>
      <c r="CO754" s="3"/>
      <c r="CP754" s="1339">
        <f t="shared" si="20"/>
        <v>0</v>
      </c>
      <c r="CQ754" s="1340"/>
      <c r="CR754" s="1340"/>
      <c r="CS754" s="1340"/>
      <c r="CT754" s="1341"/>
      <c r="CU754" s="1347">
        <f t="shared" si="21"/>
        <v>0</v>
      </c>
      <c r="CV754" s="1347"/>
      <c r="CW754" s="1347"/>
      <c r="CX754" s="1347"/>
      <c r="CY754" s="1347"/>
      <c r="CZ754" s="1347">
        <f t="shared" si="22"/>
        <v>0</v>
      </c>
      <c r="DA754" s="1347"/>
      <c r="DB754" s="1347"/>
      <c r="DC754" s="1347"/>
      <c r="DD754" s="1347"/>
      <c r="DE754" s="1347">
        <f t="shared" si="23"/>
        <v>0</v>
      </c>
      <c r="DF754" s="1347"/>
      <c r="DG754" s="1347"/>
      <c r="DH754" s="1347"/>
      <c r="DI754" s="1347"/>
      <c r="DJ754" s="1347">
        <f t="shared" si="24"/>
        <v>0</v>
      </c>
      <c r="DK754" s="1347"/>
      <c r="DL754" s="1347"/>
      <c r="DM754" s="1347"/>
      <c r="DN754" s="1347"/>
      <c r="DO754" s="1347">
        <f t="shared" si="25"/>
        <v>0</v>
      </c>
      <c r="DP754" s="1347"/>
      <c r="DQ754" s="1347"/>
      <c r="DR754" s="1347"/>
      <c r="DS754" s="1347"/>
      <c r="DT754" s="6"/>
      <c r="DU754" s="1366">
        <f t="shared" si="26"/>
        <v>0</v>
      </c>
      <c r="DV754" s="1366"/>
      <c r="DW754" s="1366"/>
      <c r="DX754" s="1366"/>
      <c r="DY754" s="1366"/>
      <c r="DZ754" s="1366">
        <f t="shared" si="27"/>
        <v>0</v>
      </c>
      <c r="EA754" s="1366"/>
      <c r="EB754" s="1366"/>
      <c r="EC754" s="1366"/>
      <c r="ED754" s="1366"/>
      <c r="EE754" s="1366">
        <f t="shared" si="28"/>
        <v>0</v>
      </c>
      <c r="EF754" s="1366"/>
      <c r="EG754" s="1366"/>
      <c r="EH754" s="1366"/>
      <c r="EI754" s="1366"/>
      <c r="EJ754" s="1366">
        <f t="shared" si="29"/>
        <v>0</v>
      </c>
      <c r="EK754" s="1366"/>
      <c r="EL754" s="1366"/>
      <c r="EM754" s="1366"/>
      <c r="EN754" s="1366"/>
      <c r="EO754" s="1366">
        <f t="shared" si="30"/>
        <v>0</v>
      </c>
      <c r="EP754" s="1366"/>
      <c r="EQ754" s="1366"/>
      <c r="ER754" s="1366"/>
      <c r="ES754" s="1366"/>
      <c r="ET754" s="1366">
        <f t="shared" si="31"/>
        <v>0</v>
      </c>
      <c r="EU754" s="1366"/>
      <c r="EV754" s="1366"/>
      <c r="EW754" s="1366"/>
      <c r="EX754" s="1366"/>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2.9" customHeight="1">
      <c r="B755" s="1362"/>
      <c r="C755" s="1363"/>
      <c r="D755" s="1363"/>
      <c r="E755" s="1363"/>
      <c r="F755" s="1364"/>
      <c r="G755" s="1590"/>
      <c r="H755" s="1591"/>
      <c r="I755" s="1591"/>
      <c r="J755" s="1592"/>
      <c r="K755" s="1594"/>
      <c r="L755" s="1595"/>
      <c r="M755" s="1595"/>
      <c r="N755" s="1596"/>
      <c r="O755" s="1484"/>
      <c r="P755" s="1485"/>
      <c r="Q755" s="1485"/>
      <c r="R755" s="1485"/>
      <c r="S755" s="1486"/>
      <c r="T755" s="1484"/>
      <c r="U755" s="1485"/>
      <c r="V755" s="1485"/>
      <c r="W755" s="1486"/>
      <c r="X755" s="1405">
        <f t="shared" si="41"/>
        <v>0</v>
      </c>
      <c r="Y755" s="1406"/>
      <c r="Z755" s="1406"/>
      <c r="AA755" s="1406"/>
      <c r="AB755" s="1407"/>
      <c r="AC755" s="1597"/>
      <c r="AD755" s="1598"/>
      <c r="AE755" s="1598"/>
      <c r="AF755" s="1598"/>
      <c r="AG755" s="1599"/>
      <c r="AH755" s="1387" t="str">
        <f t="shared" si="38"/>
        <v/>
      </c>
      <c r="AI755" s="1388"/>
      <c r="AJ755" s="1389"/>
      <c r="AK755" s="1362"/>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39"/>
        <v>0</v>
      </c>
      <c r="CH755" s="1361"/>
      <c r="CI755" s="1342">
        <f t="shared" si="40"/>
        <v>0</v>
      </c>
      <c r="CJ755" s="1344"/>
      <c r="CK755" s="1359">
        <f t="shared" si="18"/>
        <v>0</v>
      </c>
      <c r="CL755" s="1361"/>
      <c r="CM755" s="1342">
        <f t="shared" si="19"/>
        <v>0</v>
      </c>
      <c r="CN755" s="1344"/>
      <c r="CO755" s="3"/>
      <c r="CP755" s="1339">
        <f t="shared" si="20"/>
        <v>0</v>
      </c>
      <c r="CQ755" s="1340"/>
      <c r="CR755" s="1340"/>
      <c r="CS755" s="1340"/>
      <c r="CT755" s="1341"/>
      <c r="CU755" s="1347">
        <f t="shared" si="21"/>
        <v>0</v>
      </c>
      <c r="CV755" s="1347"/>
      <c r="CW755" s="1347"/>
      <c r="CX755" s="1347"/>
      <c r="CY755" s="1347"/>
      <c r="CZ755" s="1347">
        <f t="shared" si="22"/>
        <v>0</v>
      </c>
      <c r="DA755" s="1347"/>
      <c r="DB755" s="1347"/>
      <c r="DC755" s="1347"/>
      <c r="DD755" s="1347"/>
      <c r="DE755" s="1347">
        <f t="shared" si="23"/>
        <v>0</v>
      </c>
      <c r="DF755" s="1347"/>
      <c r="DG755" s="1347"/>
      <c r="DH755" s="1347"/>
      <c r="DI755" s="1347"/>
      <c r="DJ755" s="1347">
        <f t="shared" si="24"/>
        <v>0</v>
      </c>
      <c r="DK755" s="1347"/>
      <c r="DL755" s="1347"/>
      <c r="DM755" s="1347"/>
      <c r="DN755" s="1347"/>
      <c r="DO755" s="1347">
        <f t="shared" si="25"/>
        <v>0</v>
      </c>
      <c r="DP755" s="1347"/>
      <c r="DQ755" s="1347"/>
      <c r="DR755" s="1347"/>
      <c r="DS755" s="1347"/>
      <c r="DT755" s="6"/>
      <c r="DU755" s="1366">
        <f t="shared" si="26"/>
        <v>0</v>
      </c>
      <c r="DV755" s="1366"/>
      <c r="DW755" s="1366"/>
      <c r="DX755" s="1366"/>
      <c r="DY755" s="1366"/>
      <c r="DZ755" s="1366">
        <f t="shared" si="27"/>
        <v>0</v>
      </c>
      <c r="EA755" s="1366"/>
      <c r="EB755" s="1366"/>
      <c r="EC755" s="1366"/>
      <c r="ED755" s="1366"/>
      <c r="EE755" s="1366">
        <f t="shared" si="28"/>
        <v>0</v>
      </c>
      <c r="EF755" s="1366"/>
      <c r="EG755" s="1366"/>
      <c r="EH755" s="1366"/>
      <c r="EI755" s="1366"/>
      <c r="EJ755" s="1366">
        <f t="shared" si="29"/>
        <v>0</v>
      </c>
      <c r="EK755" s="1366"/>
      <c r="EL755" s="1366"/>
      <c r="EM755" s="1366"/>
      <c r="EN755" s="1366"/>
      <c r="EO755" s="1366">
        <f t="shared" si="30"/>
        <v>0</v>
      </c>
      <c r="EP755" s="1366"/>
      <c r="EQ755" s="1366"/>
      <c r="ER755" s="1366"/>
      <c r="ES755" s="1366"/>
      <c r="ET755" s="1366">
        <f t="shared" si="31"/>
        <v>0</v>
      </c>
      <c r="EU755" s="1366"/>
      <c r="EV755" s="1366"/>
      <c r="EW755" s="1366"/>
      <c r="EX755" s="1366"/>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2.9" customHeight="1">
      <c r="A756"/>
      <c r="B756" s="1362"/>
      <c r="C756" s="1363"/>
      <c r="D756" s="1363"/>
      <c r="E756" s="1363"/>
      <c r="F756" s="1364"/>
      <c r="G756" s="1590"/>
      <c r="H756" s="1591"/>
      <c r="I756" s="1591"/>
      <c r="J756" s="1592"/>
      <c r="K756" s="1594"/>
      <c r="L756" s="1595"/>
      <c r="M756" s="1595"/>
      <c r="N756" s="1596"/>
      <c r="O756" s="1484"/>
      <c r="P756" s="1485"/>
      <c r="Q756" s="1485"/>
      <c r="R756" s="1485"/>
      <c r="S756" s="1486"/>
      <c r="T756" s="1484"/>
      <c r="U756" s="1485"/>
      <c r="V756" s="1485"/>
      <c r="W756" s="1486"/>
      <c r="X756" s="1405">
        <f t="shared" si="41"/>
        <v>0</v>
      </c>
      <c r="Y756" s="1406"/>
      <c r="Z756" s="1406"/>
      <c r="AA756" s="1406"/>
      <c r="AB756" s="1407"/>
      <c r="AC756" s="1597"/>
      <c r="AD756" s="1598"/>
      <c r="AE756" s="1598"/>
      <c r="AF756" s="1598"/>
      <c r="AG756" s="1599"/>
      <c r="AH756" s="1387" t="str">
        <f t="shared" si="38"/>
        <v/>
      </c>
      <c r="AI756" s="1388"/>
      <c r="AJ756" s="1389"/>
      <c r="AK756" s="1362"/>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39"/>
        <v>0</v>
      </c>
      <c r="CH756" s="1361"/>
      <c r="CI756" s="1342">
        <f t="shared" si="40"/>
        <v>0</v>
      </c>
      <c r="CJ756" s="1344"/>
      <c r="CK756" s="1359">
        <f t="shared" si="18"/>
        <v>0</v>
      </c>
      <c r="CL756" s="1361"/>
      <c r="CM756" s="1342">
        <f t="shared" si="19"/>
        <v>0</v>
      </c>
      <c r="CN756" s="1344"/>
      <c r="CP756" s="1339">
        <f t="shared" si="20"/>
        <v>0</v>
      </c>
      <c r="CQ756" s="1340"/>
      <c r="CR756" s="1340"/>
      <c r="CS756" s="1340"/>
      <c r="CT756" s="1341"/>
      <c r="CU756" s="1347">
        <f t="shared" si="21"/>
        <v>0</v>
      </c>
      <c r="CV756" s="1347"/>
      <c r="CW756" s="1347"/>
      <c r="CX756" s="1347"/>
      <c r="CY756" s="1347"/>
      <c r="CZ756" s="1347">
        <f t="shared" si="22"/>
        <v>0</v>
      </c>
      <c r="DA756" s="1347"/>
      <c r="DB756" s="1347"/>
      <c r="DC756" s="1347"/>
      <c r="DD756" s="1347"/>
      <c r="DE756" s="1347">
        <f t="shared" si="23"/>
        <v>0</v>
      </c>
      <c r="DF756" s="1347"/>
      <c r="DG756" s="1347"/>
      <c r="DH756" s="1347"/>
      <c r="DI756" s="1347"/>
      <c r="DJ756" s="1347">
        <f t="shared" si="24"/>
        <v>0</v>
      </c>
      <c r="DK756" s="1347"/>
      <c r="DL756" s="1347"/>
      <c r="DM756" s="1347"/>
      <c r="DN756" s="1347"/>
      <c r="DO756" s="1347">
        <f t="shared" si="25"/>
        <v>0</v>
      </c>
      <c r="DP756" s="1347"/>
      <c r="DQ756" s="1347"/>
      <c r="DR756" s="1347"/>
      <c r="DS756" s="1347"/>
      <c r="DT756" s="6"/>
      <c r="DU756" s="1366">
        <f t="shared" si="26"/>
        <v>0</v>
      </c>
      <c r="DV756" s="1366"/>
      <c r="DW756" s="1366"/>
      <c r="DX756" s="1366"/>
      <c r="DY756" s="1366"/>
      <c r="DZ756" s="1366">
        <f t="shared" si="27"/>
        <v>0</v>
      </c>
      <c r="EA756" s="1366"/>
      <c r="EB756" s="1366"/>
      <c r="EC756" s="1366"/>
      <c r="ED756" s="1366"/>
      <c r="EE756" s="1366">
        <f t="shared" si="28"/>
        <v>0</v>
      </c>
      <c r="EF756" s="1366"/>
      <c r="EG756" s="1366"/>
      <c r="EH756" s="1366"/>
      <c r="EI756" s="1366"/>
      <c r="EJ756" s="1366">
        <f t="shared" si="29"/>
        <v>0</v>
      </c>
      <c r="EK756" s="1366"/>
      <c r="EL756" s="1366"/>
      <c r="EM756" s="1366"/>
      <c r="EN756" s="1366"/>
      <c r="EO756" s="1366">
        <f t="shared" si="30"/>
        <v>0</v>
      </c>
      <c r="EP756" s="1366"/>
      <c r="EQ756" s="1366"/>
      <c r="ER756" s="1366"/>
      <c r="ES756" s="1366"/>
      <c r="ET756" s="1366">
        <f t="shared" si="31"/>
        <v>0</v>
      </c>
      <c r="EU756" s="1366"/>
      <c r="EV756" s="1366"/>
      <c r="EW756" s="1366"/>
      <c r="EX756" s="1366"/>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2.9" customHeight="1">
      <c r="A757"/>
      <c r="B757" s="1362"/>
      <c r="C757" s="1363"/>
      <c r="D757" s="1363"/>
      <c r="E757" s="1363"/>
      <c r="F757" s="1364"/>
      <c r="G757" s="1590"/>
      <c r="H757" s="1591"/>
      <c r="I757" s="1591"/>
      <c r="J757" s="1592"/>
      <c r="K757" s="1594"/>
      <c r="L757" s="1595"/>
      <c r="M757" s="1595"/>
      <c r="N757" s="1596"/>
      <c r="O757" s="1484"/>
      <c r="P757" s="1485"/>
      <c r="Q757" s="1485"/>
      <c r="R757" s="1485"/>
      <c r="S757" s="1486"/>
      <c r="T757" s="1484"/>
      <c r="U757" s="1485"/>
      <c r="V757" s="1485"/>
      <c r="W757" s="1486"/>
      <c r="X757" s="1405">
        <f t="shared" si="41"/>
        <v>0</v>
      </c>
      <c r="Y757" s="1406"/>
      <c r="Z757" s="1406"/>
      <c r="AA757" s="1406"/>
      <c r="AB757" s="1407"/>
      <c r="AC757" s="1597"/>
      <c r="AD757" s="1598"/>
      <c r="AE757" s="1598"/>
      <c r="AF757" s="1598"/>
      <c r="AG757" s="1599"/>
      <c r="AH757" s="1387" t="str">
        <f t="shared" si="38"/>
        <v/>
      </c>
      <c r="AI757" s="1388"/>
      <c r="AJ757" s="1389"/>
      <c r="AK757" s="1362"/>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39"/>
        <v>0</v>
      </c>
      <c r="CH757" s="1361"/>
      <c r="CI757" s="1342">
        <f t="shared" si="40"/>
        <v>0</v>
      </c>
      <c r="CJ757" s="1344"/>
      <c r="CK757" s="1359">
        <f t="shared" si="18"/>
        <v>0</v>
      </c>
      <c r="CL757" s="1361"/>
      <c r="CM757" s="1342">
        <f t="shared" si="19"/>
        <v>0</v>
      </c>
      <c r="CN757" s="1344"/>
      <c r="CP757" s="1339">
        <f t="shared" si="20"/>
        <v>0</v>
      </c>
      <c r="CQ757" s="1340"/>
      <c r="CR757" s="1340"/>
      <c r="CS757" s="1340"/>
      <c r="CT757" s="1341"/>
      <c r="CU757" s="1347">
        <f t="shared" si="21"/>
        <v>0</v>
      </c>
      <c r="CV757" s="1347"/>
      <c r="CW757" s="1347"/>
      <c r="CX757" s="1347"/>
      <c r="CY757" s="1347"/>
      <c r="CZ757" s="1347">
        <f t="shared" si="22"/>
        <v>0</v>
      </c>
      <c r="DA757" s="1347"/>
      <c r="DB757" s="1347"/>
      <c r="DC757" s="1347"/>
      <c r="DD757" s="1347"/>
      <c r="DE757" s="1347">
        <f t="shared" si="23"/>
        <v>0</v>
      </c>
      <c r="DF757" s="1347"/>
      <c r="DG757" s="1347"/>
      <c r="DH757" s="1347"/>
      <c r="DI757" s="1347"/>
      <c r="DJ757" s="1347">
        <f t="shared" si="24"/>
        <v>0</v>
      </c>
      <c r="DK757" s="1347"/>
      <c r="DL757" s="1347"/>
      <c r="DM757" s="1347"/>
      <c r="DN757" s="1347"/>
      <c r="DO757" s="1347">
        <f t="shared" si="25"/>
        <v>0</v>
      </c>
      <c r="DP757" s="1347"/>
      <c r="DQ757" s="1347"/>
      <c r="DR757" s="1347"/>
      <c r="DS757" s="1347"/>
      <c r="DT757" s="6"/>
      <c r="DU757" s="1366">
        <f t="shared" si="26"/>
        <v>0</v>
      </c>
      <c r="DV757" s="1366"/>
      <c r="DW757" s="1366"/>
      <c r="DX757" s="1366"/>
      <c r="DY757" s="1366"/>
      <c r="DZ757" s="1366">
        <f t="shared" si="27"/>
        <v>0</v>
      </c>
      <c r="EA757" s="1366"/>
      <c r="EB757" s="1366"/>
      <c r="EC757" s="1366"/>
      <c r="ED757" s="1366"/>
      <c r="EE757" s="1366">
        <f t="shared" si="28"/>
        <v>0</v>
      </c>
      <c r="EF757" s="1366"/>
      <c r="EG757" s="1366"/>
      <c r="EH757" s="1366"/>
      <c r="EI757" s="1366"/>
      <c r="EJ757" s="1366">
        <f t="shared" si="29"/>
        <v>0</v>
      </c>
      <c r="EK757" s="1366"/>
      <c r="EL757" s="1366"/>
      <c r="EM757" s="1366"/>
      <c r="EN757" s="1366"/>
      <c r="EO757" s="1366">
        <f t="shared" si="30"/>
        <v>0</v>
      </c>
      <c r="EP757" s="1366"/>
      <c r="EQ757" s="1366"/>
      <c r="ER757" s="1366"/>
      <c r="ES757" s="1366"/>
      <c r="ET757" s="1366">
        <f t="shared" si="31"/>
        <v>0</v>
      </c>
      <c r="EU757" s="1366"/>
      <c r="EV757" s="1366"/>
      <c r="EW757" s="1366"/>
      <c r="EX757" s="1366"/>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2.9" customHeight="1">
      <c r="A758"/>
      <c r="B758" s="1362"/>
      <c r="C758" s="1363"/>
      <c r="D758" s="1363"/>
      <c r="E758" s="1363"/>
      <c r="F758" s="1364"/>
      <c r="G758" s="1590"/>
      <c r="H758" s="1591"/>
      <c r="I758" s="1591"/>
      <c r="J758" s="1592"/>
      <c r="K758" s="1594"/>
      <c r="L758" s="1595"/>
      <c r="M758" s="1595"/>
      <c r="N758" s="1596"/>
      <c r="O758" s="1484"/>
      <c r="P758" s="1485"/>
      <c r="Q758" s="1485"/>
      <c r="R758" s="1485"/>
      <c r="S758" s="1486"/>
      <c r="T758" s="1484"/>
      <c r="U758" s="1485"/>
      <c r="V758" s="1485"/>
      <c r="W758" s="1486"/>
      <c r="X758" s="1405">
        <f t="shared" si="41"/>
        <v>0</v>
      </c>
      <c r="Y758" s="1406"/>
      <c r="Z758" s="1406"/>
      <c r="AA758" s="1406"/>
      <c r="AB758" s="1407"/>
      <c r="AC758" s="1597"/>
      <c r="AD758" s="1598"/>
      <c r="AE758" s="1598"/>
      <c r="AF758" s="1598"/>
      <c r="AG758" s="1599"/>
      <c r="AH758" s="1387" t="str">
        <f t="shared" si="38"/>
        <v/>
      </c>
      <c r="AI758" s="1388"/>
      <c r="AJ758" s="1389"/>
      <c r="AK758" s="1362"/>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39"/>
        <v>0</v>
      </c>
      <c r="CH758" s="1361"/>
      <c r="CI758" s="1342">
        <f t="shared" si="40"/>
        <v>0</v>
      </c>
      <c r="CJ758" s="1344"/>
      <c r="CK758" s="1359">
        <f t="shared" si="18"/>
        <v>0</v>
      </c>
      <c r="CL758" s="1361"/>
      <c r="CM758" s="1342">
        <f t="shared" si="19"/>
        <v>0</v>
      </c>
      <c r="CN758" s="1344"/>
      <c r="CP758" s="1339">
        <f t="shared" si="20"/>
        <v>0</v>
      </c>
      <c r="CQ758" s="1340"/>
      <c r="CR758" s="1340"/>
      <c r="CS758" s="1340"/>
      <c r="CT758" s="1341"/>
      <c r="CU758" s="1347">
        <f t="shared" si="21"/>
        <v>0</v>
      </c>
      <c r="CV758" s="1347"/>
      <c r="CW758" s="1347"/>
      <c r="CX758" s="1347"/>
      <c r="CY758" s="1347"/>
      <c r="CZ758" s="1347">
        <f t="shared" si="22"/>
        <v>0</v>
      </c>
      <c r="DA758" s="1347"/>
      <c r="DB758" s="1347"/>
      <c r="DC758" s="1347"/>
      <c r="DD758" s="1347"/>
      <c r="DE758" s="1347">
        <f t="shared" si="23"/>
        <v>0</v>
      </c>
      <c r="DF758" s="1347"/>
      <c r="DG758" s="1347"/>
      <c r="DH758" s="1347"/>
      <c r="DI758" s="1347"/>
      <c r="DJ758" s="1347">
        <f t="shared" si="24"/>
        <v>0</v>
      </c>
      <c r="DK758" s="1347"/>
      <c r="DL758" s="1347"/>
      <c r="DM758" s="1347"/>
      <c r="DN758" s="1347"/>
      <c r="DO758" s="1347">
        <f t="shared" si="25"/>
        <v>0</v>
      </c>
      <c r="DP758" s="1347"/>
      <c r="DQ758" s="1347"/>
      <c r="DR758" s="1347"/>
      <c r="DS758" s="1347"/>
      <c r="DT758" s="6"/>
      <c r="DU758" s="1366">
        <f t="shared" si="26"/>
        <v>0</v>
      </c>
      <c r="DV758" s="1366"/>
      <c r="DW758" s="1366"/>
      <c r="DX758" s="1366"/>
      <c r="DY758" s="1366"/>
      <c r="DZ758" s="1366">
        <f t="shared" si="27"/>
        <v>0</v>
      </c>
      <c r="EA758" s="1366"/>
      <c r="EB758" s="1366"/>
      <c r="EC758" s="1366"/>
      <c r="ED758" s="1366"/>
      <c r="EE758" s="1366">
        <f t="shared" si="28"/>
        <v>0</v>
      </c>
      <c r="EF758" s="1366"/>
      <c r="EG758" s="1366"/>
      <c r="EH758" s="1366"/>
      <c r="EI758" s="1366"/>
      <c r="EJ758" s="1366">
        <f t="shared" si="29"/>
        <v>0</v>
      </c>
      <c r="EK758" s="1366"/>
      <c r="EL758" s="1366"/>
      <c r="EM758" s="1366"/>
      <c r="EN758" s="1366"/>
      <c r="EO758" s="1366">
        <f t="shared" si="30"/>
        <v>0</v>
      </c>
      <c r="EP758" s="1366"/>
      <c r="EQ758" s="1366"/>
      <c r="ER758" s="1366"/>
      <c r="ES758" s="1366"/>
      <c r="ET758" s="1366">
        <f t="shared" si="31"/>
        <v>0</v>
      </c>
      <c r="EU758" s="1366"/>
      <c r="EV758" s="1366"/>
      <c r="EW758" s="1366"/>
      <c r="EX758" s="1366"/>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2.9" customHeight="1">
      <c r="A759"/>
      <c r="B759" s="1362"/>
      <c r="C759" s="1363"/>
      <c r="D759" s="1363"/>
      <c r="E759" s="1363"/>
      <c r="F759" s="1364"/>
      <c r="G759" s="1590"/>
      <c r="H759" s="1591"/>
      <c r="I759" s="1591"/>
      <c r="J759" s="1592"/>
      <c r="K759" s="1594"/>
      <c r="L759" s="1595"/>
      <c r="M759" s="1595"/>
      <c r="N759" s="1596"/>
      <c r="O759" s="1484"/>
      <c r="P759" s="1485"/>
      <c r="Q759" s="1485"/>
      <c r="R759" s="1485"/>
      <c r="S759" s="1486"/>
      <c r="T759" s="1484"/>
      <c r="U759" s="1485"/>
      <c r="V759" s="1485"/>
      <c r="W759" s="1486"/>
      <c r="X759" s="1405">
        <f t="shared" si="41"/>
        <v>0</v>
      </c>
      <c r="Y759" s="1406"/>
      <c r="Z759" s="1406"/>
      <c r="AA759" s="1406"/>
      <c r="AB759" s="1407"/>
      <c r="AC759" s="1597"/>
      <c r="AD759" s="1598"/>
      <c r="AE759" s="1598"/>
      <c r="AF759" s="1598"/>
      <c r="AG759" s="1599"/>
      <c r="AH759" s="1387" t="str">
        <f t="shared" si="38"/>
        <v/>
      </c>
      <c r="AI759" s="1388"/>
      <c r="AJ759" s="1389"/>
      <c r="AK759" s="1362"/>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39"/>
        <v>0</v>
      </c>
      <c r="CH759" s="1361"/>
      <c r="CI759" s="1342">
        <f t="shared" si="40"/>
        <v>0</v>
      </c>
      <c r="CJ759" s="1344"/>
      <c r="CK759" s="1359">
        <f t="shared" si="18"/>
        <v>0</v>
      </c>
      <c r="CL759" s="1361"/>
      <c r="CM759" s="1342">
        <f t="shared" si="19"/>
        <v>0</v>
      </c>
      <c r="CN759" s="1344"/>
      <c r="CP759" s="1339">
        <f t="shared" si="20"/>
        <v>0</v>
      </c>
      <c r="CQ759" s="1340"/>
      <c r="CR759" s="1340"/>
      <c r="CS759" s="1340"/>
      <c r="CT759" s="1341"/>
      <c r="CU759" s="1347">
        <f t="shared" si="21"/>
        <v>0</v>
      </c>
      <c r="CV759" s="1347"/>
      <c r="CW759" s="1347"/>
      <c r="CX759" s="1347"/>
      <c r="CY759" s="1347"/>
      <c r="CZ759" s="1347">
        <f t="shared" si="22"/>
        <v>0</v>
      </c>
      <c r="DA759" s="1347"/>
      <c r="DB759" s="1347"/>
      <c r="DC759" s="1347"/>
      <c r="DD759" s="1347"/>
      <c r="DE759" s="1347">
        <f t="shared" si="23"/>
        <v>0</v>
      </c>
      <c r="DF759" s="1347"/>
      <c r="DG759" s="1347"/>
      <c r="DH759" s="1347"/>
      <c r="DI759" s="1347"/>
      <c r="DJ759" s="1347">
        <f t="shared" si="24"/>
        <v>0</v>
      </c>
      <c r="DK759" s="1347"/>
      <c r="DL759" s="1347"/>
      <c r="DM759" s="1347"/>
      <c r="DN759" s="1347"/>
      <c r="DO759" s="1347">
        <f t="shared" si="25"/>
        <v>0</v>
      </c>
      <c r="DP759" s="1347"/>
      <c r="DQ759" s="1347"/>
      <c r="DR759" s="1347"/>
      <c r="DS759" s="1347"/>
      <c r="DT759" s="6"/>
      <c r="DU759" s="1366">
        <f t="shared" si="26"/>
        <v>0</v>
      </c>
      <c r="DV759" s="1366"/>
      <c r="DW759" s="1366"/>
      <c r="DX759" s="1366"/>
      <c r="DY759" s="1366"/>
      <c r="DZ759" s="1366">
        <f t="shared" si="27"/>
        <v>0</v>
      </c>
      <c r="EA759" s="1366"/>
      <c r="EB759" s="1366"/>
      <c r="EC759" s="1366"/>
      <c r="ED759" s="1366"/>
      <c r="EE759" s="1366">
        <f t="shared" si="28"/>
        <v>0</v>
      </c>
      <c r="EF759" s="1366"/>
      <c r="EG759" s="1366"/>
      <c r="EH759" s="1366"/>
      <c r="EI759" s="1366"/>
      <c r="EJ759" s="1366">
        <f t="shared" si="29"/>
        <v>0</v>
      </c>
      <c r="EK759" s="1366"/>
      <c r="EL759" s="1366"/>
      <c r="EM759" s="1366"/>
      <c r="EN759" s="1366"/>
      <c r="EO759" s="1366">
        <f t="shared" si="30"/>
        <v>0</v>
      </c>
      <c r="EP759" s="1366"/>
      <c r="EQ759" s="1366"/>
      <c r="ER759" s="1366"/>
      <c r="ES759" s="1366"/>
      <c r="ET759" s="1366">
        <f t="shared" si="31"/>
        <v>0</v>
      </c>
      <c r="EU759" s="1366"/>
      <c r="EV759" s="1366"/>
      <c r="EW759" s="1366"/>
      <c r="EX759" s="1366"/>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2.9" customHeight="1">
      <c r="A760"/>
      <c r="B760" s="1362"/>
      <c r="C760" s="1363"/>
      <c r="D760" s="1363"/>
      <c r="E760" s="1363"/>
      <c r="F760" s="1364"/>
      <c r="G760" s="1590"/>
      <c r="H760" s="1591"/>
      <c r="I760" s="1591"/>
      <c r="J760" s="1592"/>
      <c r="K760" s="1594"/>
      <c r="L760" s="1595"/>
      <c r="M760" s="1595"/>
      <c r="N760" s="1596"/>
      <c r="O760" s="1484"/>
      <c r="P760" s="1485"/>
      <c r="Q760" s="1485"/>
      <c r="R760" s="1485"/>
      <c r="S760" s="1486"/>
      <c r="T760" s="1484"/>
      <c r="U760" s="1485"/>
      <c r="V760" s="1485"/>
      <c r="W760" s="1486"/>
      <c r="X760" s="1405">
        <f>O760+T760</f>
        <v>0</v>
      </c>
      <c r="Y760" s="1406"/>
      <c r="Z760" s="1406"/>
      <c r="AA760" s="1406"/>
      <c r="AB760" s="1407"/>
      <c r="AC760" s="1597"/>
      <c r="AD760" s="1598"/>
      <c r="AE760" s="1598"/>
      <c r="AF760" s="1598"/>
      <c r="AG760" s="1599"/>
      <c r="AH760" s="1387" t="str">
        <f t="shared" si="38"/>
        <v/>
      </c>
      <c r="AI760" s="1388"/>
      <c r="AJ760" s="1389"/>
      <c r="AK760" s="1362"/>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39"/>
        <v>0</v>
      </c>
      <c r="CH760" s="1361"/>
      <c r="CI760" s="1342">
        <f t="shared" si="40"/>
        <v>0</v>
      </c>
      <c r="CJ760" s="1344"/>
      <c r="CK760" s="1359">
        <f t="shared" si="18"/>
        <v>0</v>
      </c>
      <c r="CL760" s="1361"/>
      <c r="CM760" s="1342">
        <f t="shared" si="19"/>
        <v>0</v>
      </c>
      <c r="CN760" s="1344"/>
      <c r="CP760" s="1339">
        <f t="shared" si="20"/>
        <v>0</v>
      </c>
      <c r="CQ760" s="1340"/>
      <c r="CR760" s="1340"/>
      <c r="CS760" s="1340"/>
      <c r="CT760" s="1341"/>
      <c r="CU760" s="1347">
        <f t="shared" si="21"/>
        <v>0</v>
      </c>
      <c r="CV760" s="1347"/>
      <c r="CW760" s="1347"/>
      <c r="CX760" s="1347"/>
      <c r="CY760" s="1347"/>
      <c r="CZ760" s="1347">
        <f t="shared" si="22"/>
        <v>0</v>
      </c>
      <c r="DA760" s="1347"/>
      <c r="DB760" s="1347"/>
      <c r="DC760" s="1347"/>
      <c r="DD760" s="1347"/>
      <c r="DE760" s="1347">
        <f t="shared" si="23"/>
        <v>0</v>
      </c>
      <c r="DF760" s="1347"/>
      <c r="DG760" s="1347"/>
      <c r="DH760" s="1347"/>
      <c r="DI760" s="1347"/>
      <c r="DJ760" s="1347">
        <f t="shared" si="24"/>
        <v>0</v>
      </c>
      <c r="DK760" s="1347"/>
      <c r="DL760" s="1347"/>
      <c r="DM760" s="1347"/>
      <c r="DN760" s="1347"/>
      <c r="DO760" s="1347">
        <f t="shared" si="25"/>
        <v>0</v>
      </c>
      <c r="DP760" s="1347"/>
      <c r="DQ760" s="1347"/>
      <c r="DR760" s="1347"/>
      <c r="DS760" s="1347"/>
      <c r="DT760" s="6"/>
      <c r="DU760" s="1366">
        <f t="shared" si="26"/>
        <v>0</v>
      </c>
      <c r="DV760" s="1366"/>
      <c r="DW760" s="1366"/>
      <c r="DX760" s="1366"/>
      <c r="DY760" s="1366"/>
      <c r="DZ760" s="1366">
        <f t="shared" si="27"/>
        <v>0</v>
      </c>
      <c r="EA760" s="1366"/>
      <c r="EB760" s="1366"/>
      <c r="EC760" s="1366"/>
      <c r="ED760" s="1366"/>
      <c r="EE760" s="1366">
        <f t="shared" si="28"/>
        <v>0</v>
      </c>
      <c r="EF760" s="1366"/>
      <c r="EG760" s="1366"/>
      <c r="EH760" s="1366"/>
      <c r="EI760" s="1366"/>
      <c r="EJ760" s="1366">
        <f t="shared" si="29"/>
        <v>0</v>
      </c>
      <c r="EK760" s="1366"/>
      <c r="EL760" s="1366"/>
      <c r="EM760" s="1366"/>
      <c r="EN760" s="1366"/>
      <c r="EO760" s="1366">
        <f t="shared" si="30"/>
        <v>0</v>
      </c>
      <c r="EP760" s="1366"/>
      <c r="EQ760" s="1366"/>
      <c r="ER760" s="1366"/>
      <c r="ES760" s="1366"/>
      <c r="ET760" s="1366">
        <f t="shared" si="31"/>
        <v>0</v>
      </c>
      <c r="EU760" s="1366"/>
      <c r="EV760" s="1366"/>
      <c r="EW760" s="1366"/>
      <c r="EX760" s="1366"/>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2.9" customHeight="1">
      <c r="A761"/>
      <c r="B761" s="1428" t="s">
        <v>125</v>
      </c>
      <c r="C761" s="1429"/>
      <c r="D761" s="1429"/>
      <c r="E761" s="1429"/>
      <c r="F761" s="1431"/>
      <c r="G761" s="1716">
        <f>SUM(G726:G760)</f>
        <v>149</v>
      </c>
      <c r="H761" s="1717"/>
      <c r="I761" s="1717"/>
      <c r="J761" s="1718"/>
      <c r="K761" s="898" t="s">
        <v>124</v>
      </c>
      <c r="L761" s="5"/>
      <c r="M761" s="5"/>
      <c r="N761" s="46"/>
      <c r="O761" s="1405">
        <f>SUMPRODUCT(G726:G760,O726:O760)</f>
        <v>208717</v>
      </c>
      <c r="P761" s="1406"/>
      <c r="Q761" s="1406"/>
      <c r="R761" s="1406"/>
      <c r="S761" s="1407"/>
      <c r="T761"/>
      <c r="U761"/>
      <c r="V761"/>
      <c r="W761"/>
      <c r="X761" s="900" t="s">
        <v>898</v>
      </c>
      <c r="Y761" s="899"/>
      <c r="Z761" s="899"/>
      <c r="AA761" s="899"/>
      <c r="AB761" s="901"/>
      <c r="AC761" s="1614">
        <f>BH761</f>
        <v>0.41208053691275154</v>
      </c>
      <c r="AD761" s="1615"/>
      <c r="AE761" s="1615"/>
      <c r="AF761" s="1615"/>
      <c r="AG761" s="1616"/>
      <c r="AH761" s="1614">
        <f>IFERROR(BU761,"")</f>
        <v>0.41211645405785891</v>
      </c>
      <c r="AI761" s="1615"/>
      <c r="AJ761" s="1616"/>
      <c r="AK761"/>
      <c r="AL761"/>
      <c r="AM761"/>
      <c r="AN761"/>
      <c r="AO761"/>
      <c r="AP761" s="205"/>
      <c r="AQ761" s="205"/>
      <c r="AR761" s="205"/>
      <c r="AS761" s="205"/>
      <c r="AT761"/>
      <c r="AU761"/>
      <c r="AV761"/>
      <c r="AW761"/>
      <c r="AX761"/>
      <c r="AY761"/>
      <c r="AZ761" s="34"/>
      <c r="BA761" s="34"/>
      <c r="BB761" s="34"/>
      <c r="BC761" s="34"/>
      <c r="BE761" s="290" t="s">
        <v>897</v>
      </c>
      <c r="BF761" s="299">
        <f>SUM(BF726:BF760)</f>
        <v>149</v>
      </c>
      <c r="BG761" s="300">
        <f>SUM(BG726:BG760)</f>
        <v>1</v>
      </c>
      <c r="BH761" s="300">
        <f>SUM(BH726:BH760)</f>
        <v>0.41208053691275154</v>
      </c>
      <c r="BI761"/>
      <c r="BJ761"/>
      <c r="BK761"/>
      <c r="BL761"/>
      <c r="BO761"/>
      <c r="BP761"/>
      <c r="BQ761"/>
      <c r="BR761"/>
      <c r="BS761" s="855">
        <f>SUM(BS726:BS760)</f>
        <v>149</v>
      </c>
      <c r="BT761" s="300">
        <f>SUM(BT726:BT760)</f>
        <v>1</v>
      </c>
      <c r="BU761" s="300">
        <f>SUM(BU726:BU760)</f>
        <v>0.41211645405785891</v>
      </c>
      <c r="CI761" s="1359">
        <f>SUM(CI726:CJ760)</f>
        <v>58</v>
      </c>
      <c r="CJ761" s="1361"/>
      <c r="CM761" s="1359">
        <f>SUM(CM726:CN760)</f>
        <v>74</v>
      </c>
      <c r="CN761" s="1361"/>
      <c r="CP761" s="1359">
        <f>SUM(CP726:CT760)</f>
        <v>22</v>
      </c>
      <c r="CQ761" s="1360"/>
      <c r="CR761" s="1360"/>
      <c r="CS761" s="1360"/>
      <c r="CT761" s="1361"/>
      <c r="CU761" s="1365">
        <f>SUM(CU726:CY760)</f>
        <v>10</v>
      </c>
      <c r="CV761" s="1365"/>
      <c r="CW761" s="1365"/>
      <c r="CX761" s="1365"/>
      <c r="CY761" s="1365"/>
      <c r="CZ761" s="1365">
        <f>SUM(CZ726:DD760)</f>
        <v>68</v>
      </c>
      <c r="DA761" s="1365"/>
      <c r="DB761" s="1365"/>
      <c r="DC761" s="1365"/>
      <c r="DD761" s="1365"/>
      <c r="DE761" s="1365">
        <f>SUM(DE726:DI760)</f>
        <v>49</v>
      </c>
      <c r="DF761" s="1365"/>
      <c r="DG761" s="1365"/>
      <c r="DH761" s="1365"/>
      <c r="DI761" s="1365"/>
      <c r="DJ761" s="1365">
        <f>SUM(DJ726:DN760)</f>
        <v>0</v>
      </c>
      <c r="DK761" s="1365"/>
      <c r="DL761" s="1365"/>
      <c r="DM761" s="1365"/>
      <c r="DN761" s="1365"/>
      <c r="DO761" s="1365">
        <f>SUM(DO726:DS760)</f>
        <v>0</v>
      </c>
      <c r="DP761" s="1365"/>
      <c r="DQ761" s="1365"/>
      <c r="DR761" s="1365"/>
      <c r="DS761" s="1365"/>
      <c r="DT761" s="354"/>
      <c r="DU761" s="1365">
        <f>SUM(DU726:DY760)</f>
        <v>20</v>
      </c>
      <c r="DV761" s="1365"/>
      <c r="DW761" s="1365"/>
      <c r="DX761" s="1365"/>
      <c r="DY761" s="1365"/>
      <c r="DZ761" s="1365">
        <f>SUM(DZ726:ED760)</f>
        <v>8</v>
      </c>
      <c r="EA761" s="1365"/>
      <c r="EB761" s="1365"/>
      <c r="EC761" s="1365"/>
      <c r="ED761" s="1365"/>
      <c r="EE761" s="1365">
        <f>SUM(EE726:EI760)</f>
        <v>33</v>
      </c>
      <c r="EF761" s="1365"/>
      <c r="EG761" s="1365"/>
      <c r="EH761" s="1365"/>
      <c r="EI761" s="1365"/>
      <c r="EJ761" s="1365">
        <f>SUM(EJ726:EN760)</f>
        <v>13</v>
      </c>
      <c r="EK761" s="1365"/>
      <c r="EL761" s="1365"/>
      <c r="EM761" s="1365"/>
      <c r="EN761" s="1365"/>
      <c r="EO761" s="1365">
        <f>SUM(EO726:ES760)</f>
        <v>0</v>
      </c>
      <c r="EP761" s="1365"/>
      <c r="EQ761" s="1365"/>
      <c r="ER761" s="1365"/>
      <c r="ES761" s="1365"/>
      <c r="ET761" s="1365">
        <f>SUM(ET726:EX760)</f>
        <v>0</v>
      </c>
      <c r="EU761" s="1365"/>
      <c r="EV761" s="1365"/>
      <c r="EW761" s="1365"/>
      <c r="EX761" s="1365"/>
      <c r="EY761"/>
      <c r="EZ761" s="1365">
        <f>SUM(EZ726:FD760)</f>
        <v>3714</v>
      </c>
      <c r="FA761" s="1365"/>
      <c r="FB761" s="1365"/>
      <c r="FC761" s="1365"/>
      <c r="FD761" s="1365"/>
      <c r="FE761" s="1365">
        <f>SUM(FE726:FI760)</f>
        <v>3952</v>
      </c>
      <c r="FF761" s="1365"/>
      <c r="FG761" s="1365"/>
      <c r="FH761" s="1365"/>
      <c r="FI761" s="1365"/>
      <c r="FJ761" s="1365">
        <f>SUM(FJ726:FN760)</f>
        <v>4696</v>
      </c>
      <c r="FK761" s="1365"/>
      <c r="FL761" s="1365"/>
      <c r="FM761" s="1365"/>
      <c r="FN761" s="1365"/>
      <c r="FO761" s="1365">
        <f>SUM(FO726:FS760)</f>
        <v>5390</v>
      </c>
      <c r="FP761" s="1365"/>
      <c r="FQ761" s="1365"/>
      <c r="FR761" s="1365"/>
      <c r="FS761" s="1365"/>
      <c r="FT761" s="1365">
        <f>SUM(FT726:FX760)</f>
        <v>0</v>
      </c>
      <c r="FU761" s="1365"/>
      <c r="FV761" s="1365"/>
      <c r="FW761" s="1365"/>
      <c r="FX761" s="1365"/>
      <c r="FY761" s="1365">
        <f>SUM(FY726:GC760)</f>
        <v>0</v>
      </c>
      <c r="FZ761" s="1365"/>
      <c r="GA761" s="1365"/>
      <c r="GB761" s="1365"/>
      <c r="GC761" s="1365"/>
    </row>
    <row r="762" spans="1:185" s="3" customFormat="1" ht="12.9" customHeight="1">
      <c r="A762"/>
      <c r="B762" s="1621" t="s">
        <v>1865</v>
      </c>
      <c r="C762" s="1621"/>
      <c r="D762" s="1621"/>
      <c r="E762" s="1621"/>
      <c r="F762" s="1621"/>
      <c r="G762" s="1621"/>
      <c r="H762" s="1621"/>
      <c r="I762" s="1621"/>
      <c r="J762" s="1621"/>
      <c r="K762" s="1621"/>
      <c r="L762" s="1621"/>
      <c r="M762" s="1621"/>
      <c r="N762" s="1621"/>
      <c r="O762" s="1621"/>
      <c r="P762" s="1621"/>
      <c r="Q762" s="1621"/>
      <c r="R762" s="1621"/>
      <c r="S762" s="1621"/>
      <c r="T762" s="1621"/>
      <c r="U762" s="1621"/>
      <c r="V762" s="1621"/>
      <c r="W762" s="1621"/>
      <c r="X762" s="1621"/>
      <c r="Y762" s="1621"/>
      <c r="Z762" s="1621"/>
      <c r="AA762" s="1621"/>
      <c r="AB762" s="1621"/>
      <c r="AC762" s="1621"/>
      <c r="AD762" s="1621"/>
      <c r="AE762" s="1621"/>
      <c r="AF762" s="1621"/>
      <c r="AG762" s="1621"/>
      <c r="AH762" s="1621"/>
      <c r="AI762"/>
      <c r="AJ762"/>
      <c r="AK762"/>
      <c r="AT762"/>
      <c r="AU762"/>
      <c r="AV762"/>
      <c r="AW762"/>
      <c r="AX762"/>
      <c r="AY762"/>
      <c r="CD762"/>
      <c r="DN762" s="56" t="s">
        <v>1833</v>
      </c>
      <c r="DO762" s="1359">
        <f>CP761+CU761+CZ761+DE761+DJ761+DO761</f>
        <v>149</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621"/>
      <c r="C763" s="1621"/>
      <c r="D763" s="1621"/>
      <c r="E763" s="1621"/>
      <c r="F763" s="1621"/>
      <c r="G763" s="1621"/>
      <c r="H763" s="1621"/>
      <c r="I763" s="1621"/>
      <c r="J763" s="1621"/>
      <c r="K763" s="1621"/>
      <c r="L763" s="1621"/>
      <c r="M763" s="1621"/>
      <c r="N763" s="1621"/>
      <c r="O763" s="1621"/>
      <c r="P763" s="1621"/>
      <c r="Q763" s="1621"/>
      <c r="R763" s="1621"/>
      <c r="S763" s="1621"/>
      <c r="T763" s="1621"/>
      <c r="U763" s="1621"/>
      <c r="V763" s="1621"/>
      <c r="W763" s="1621"/>
      <c r="X763" s="1621"/>
      <c r="Y763" s="1621"/>
      <c r="Z763" s="1621"/>
      <c r="AA763" s="1621"/>
      <c r="AB763" s="1621"/>
      <c r="AC763" s="1621"/>
      <c r="AD763" s="1621"/>
      <c r="AE763" s="1621"/>
      <c r="AF763" s="1621"/>
      <c r="AG763" s="1621"/>
      <c r="AH763" s="162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22</v>
      </c>
      <c r="CU763" s="3"/>
      <c r="CV763" s="3"/>
      <c r="CW763" s="3"/>
      <c r="CX763" s="3"/>
      <c r="CY763" s="857">
        <f>CU761*1</f>
        <v>10</v>
      </c>
      <c r="CZ763" s="3"/>
      <c r="DA763" s="3"/>
      <c r="DB763" s="3"/>
      <c r="DC763" s="3"/>
      <c r="DD763" s="857">
        <f>CZ761*2</f>
        <v>136</v>
      </c>
      <c r="DE763" s="3"/>
      <c r="DF763" s="3"/>
      <c r="DG763" s="3"/>
      <c r="DH763" s="3"/>
      <c r="DI763" s="857">
        <f>DE761*3</f>
        <v>147</v>
      </c>
      <c r="DJ763" s="3"/>
      <c r="DK763" s="3"/>
      <c r="DL763" s="3"/>
      <c r="DM763" s="3"/>
      <c r="DN763" s="857">
        <f>DJ761*4</f>
        <v>0</v>
      </c>
      <c r="DO763" s="3"/>
      <c r="DP763" s="3"/>
      <c r="DQ763" s="3"/>
      <c r="DR763" s="3"/>
      <c r="DS763" s="857">
        <f>DO761*5</f>
        <v>0</v>
      </c>
      <c r="DU763" s="857">
        <f>CT763+CY763+DD763+DI763+DN763+DS763</f>
        <v>315</v>
      </c>
      <c r="DV763" s="57" t="s">
        <v>1835</v>
      </c>
      <c r="DW763" s="3"/>
      <c r="DX763" s="3"/>
      <c r="DY763" s="3"/>
      <c r="DZ763" s="3"/>
      <c r="EA763" s="3"/>
      <c r="EB763" s="3"/>
      <c r="EC763" s="3"/>
      <c r="ED763" s="3"/>
      <c r="EE763" s="3"/>
      <c r="EF763" s="3"/>
      <c r="EG763" s="3"/>
      <c r="EH763" s="3"/>
    </row>
    <row r="764" spans="1:185" ht="12.9" customHeight="1">
      <c r="A764" s="3"/>
      <c r="B764" s="3"/>
      <c r="C764" s="118" t="s">
        <v>1863</v>
      </c>
      <c r="D764" s="1027"/>
      <c r="E764" s="1027"/>
      <c r="F764" s="1027"/>
      <c r="G764" s="1028"/>
      <c r="H764" s="1028"/>
      <c r="I764" s="1028"/>
      <c r="J764" s="1028"/>
      <c r="K764" s="1027"/>
      <c r="L764" s="1027"/>
      <c r="M764" s="1027"/>
      <c r="N764" s="1027"/>
      <c r="O764" s="1365">
        <f>DU763</f>
        <v>315</v>
      </c>
      <c r="P764" s="1365"/>
      <c r="Q764" s="1365"/>
      <c r="R764" s="1365"/>
      <c r="S764" s="965"/>
      <c r="T764" s="965"/>
      <c r="U764" s="118" t="s">
        <v>1864</v>
      </c>
      <c r="V764" s="1027"/>
      <c r="W764" s="1027"/>
      <c r="X764" s="1027"/>
      <c r="Y764" s="1028"/>
      <c r="Z764" s="1028"/>
      <c r="AA764" s="1028"/>
      <c r="AB764" s="1028"/>
      <c r="AC764" s="1027"/>
      <c r="AD764" s="1027"/>
      <c r="AE764" s="1027"/>
      <c r="AF764" s="1027"/>
      <c r="AG764" s="1845">
        <v>0</v>
      </c>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9" t="s">
        <v>590</v>
      </c>
      <c r="AE767" s="1719"/>
      <c r="AF767" s="171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272" t="s">
        <v>2044</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272" t="s">
        <v>2045</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601" t="s">
        <v>388</v>
      </c>
      <c r="K777" s="1373"/>
      <c r="L777" s="1373"/>
      <c r="M777" s="1373"/>
      <c r="N777" s="1374"/>
      <c r="O777" s="1618" t="s">
        <v>284</v>
      </c>
      <c r="P777" s="1618"/>
      <c r="Q777" s="1618"/>
      <c r="R777" s="1618"/>
      <c r="S777" s="1618"/>
      <c r="T777" s="1602" t="s">
        <v>1666</v>
      </c>
      <c r="U777" s="1603"/>
      <c r="V777" s="1603"/>
      <c r="W777" s="1604"/>
      <c r="X777" s="1601" t="s">
        <v>446</v>
      </c>
      <c r="Y777" s="1373"/>
      <c r="Z777" s="1373"/>
      <c r="AA777" s="1373"/>
      <c r="AB777" s="1374"/>
      <c r="AC777" s="1601" t="s">
        <v>285</v>
      </c>
      <c r="AD777" s="1373"/>
      <c r="AE777" s="1373"/>
      <c r="AF777" s="1373"/>
      <c r="AG777" s="137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375"/>
      <c r="K778" s="1376"/>
      <c r="L778" s="1376"/>
      <c r="M778" s="1376"/>
      <c r="N778" s="1377"/>
      <c r="O778" s="1618"/>
      <c r="P778" s="1618"/>
      <c r="Q778" s="1618"/>
      <c r="R778" s="1618"/>
      <c r="S778" s="1618"/>
      <c r="T778" s="1605"/>
      <c r="U778" s="1606"/>
      <c r="V778" s="1606"/>
      <c r="W778" s="1607"/>
      <c r="X778" s="1375"/>
      <c r="Y778" s="1376"/>
      <c r="Z778" s="1376"/>
      <c r="AA778" s="1376"/>
      <c r="AB778" s="1377"/>
      <c r="AC778" s="1375"/>
      <c r="AD778" s="1376"/>
      <c r="AE778" s="1376"/>
      <c r="AF778" s="1376"/>
      <c r="AG778" s="137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375"/>
      <c r="K779" s="1376"/>
      <c r="L779" s="1376"/>
      <c r="M779" s="1376"/>
      <c r="N779" s="1377"/>
      <c r="O779" s="1618"/>
      <c r="P779" s="1618"/>
      <c r="Q779" s="1618"/>
      <c r="R779" s="1618"/>
      <c r="S779" s="1618"/>
      <c r="T779" s="1605"/>
      <c r="U779" s="1606"/>
      <c r="V779" s="1606"/>
      <c r="W779" s="1607"/>
      <c r="X779" s="1375"/>
      <c r="Y779" s="1376"/>
      <c r="Z779" s="1376"/>
      <c r="AA779" s="1376"/>
      <c r="AB779" s="1377"/>
      <c r="AC779" s="1375"/>
      <c r="AD779" s="1376"/>
      <c r="AE779" s="1376"/>
      <c r="AF779" s="1376"/>
      <c r="AG779" s="137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378"/>
      <c r="K780" s="1379"/>
      <c r="L780" s="1379"/>
      <c r="M780" s="1379"/>
      <c r="N780" s="1380"/>
      <c r="O780" s="1618"/>
      <c r="P780" s="1618"/>
      <c r="Q780" s="1618"/>
      <c r="R780" s="1618"/>
      <c r="S780" s="1618"/>
      <c r="T780" s="1608"/>
      <c r="U780" s="1609"/>
      <c r="V780" s="1609"/>
      <c r="W780" s="1610"/>
      <c r="X780" s="1378"/>
      <c r="Y780" s="1379"/>
      <c r="Z780" s="1379"/>
      <c r="AA780" s="1379"/>
      <c r="AB780" s="1380"/>
      <c r="AC780" s="1378"/>
      <c r="AD780" s="1379"/>
      <c r="AE780" s="1379"/>
      <c r="AF780" s="1379"/>
      <c r="AG780" s="138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62" t="s">
        <v>163</v>
      </c>
      <c r="K781" s="1363"/>
      <c r="L781" s="1363"/>
      <c r="M781" s="1363"/>
      <c r="N781" s="1364"/>
      <c r="O781" s="1516">
        <v>1</v>
      </c>
      <c r="P781" s="1516"/>
      <c r="Q781" s="1516"/>
      <c r="R781" s="1516"/>
      <c r="S781" s="1516"/>
      <c r="T781" s="1594">
        <v>792</v>
      </c>
      <c r="U781" s="1595"/>
      <c r="V781" s="1595"/>
      <c r="W781" s="1596"/>
      <c r="X781" s="1484"/>
      <c r="Y781" s="1485"/>
      <c r="Z781" s="1485"/>
      <c r="AA781" s="1485"/>
      <c r="AB781" s="1486"/>
      <c r="AC781" s="1405">
        <f>X781*O781</f>
        <v>0</v>
      </c>
      <c r="AD781" s="1406"/>
      <c r="AE781" s="1406"/>
      <c r="AF781" s="1406"/>
      <c r="AG781" s="140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47">
        <f>IF(J781="1 Bedroom",O781,0)</f>
        <v>0</v>
      </c>
      <c r="CV781" s="1347"/>
      <c r="CW781" s="1347"/>
      <c r="CX781" s="1347"/>
      <c r="CY781" s="1347"/>
      <c r="CZ781" s="1347">
        <f>IF(J781="2 Bedrooms",O781,0)</f>
        <v>1</v>
      </c>
      <c r="DA781" s="1347"/>
      <c r="DB781" s="1347"/>
      <c r="DC781" s="1347"/>
      <c r="DD781" s="1347"/>
      <c r="DE781" s="1347">
        <f>IF(J781="3 Bedrooms",O781,0)</f>
        <v>0</v>
      </c>
      <c r="DF781" s="1347"/>
      <c r="DG781" s="1347"/>
      <c r="DH781" s="1347"/>
      <c r="DI781" s="1347"/>
      <c r="DJ781" s="1347">
        <f>IF(J781="4 Bedrooms",O781,0)</f>
        <v>0</v>
      </c>
      <c r="DK781" s="1347"/>
      <c r="DL781" s="1347"/>
      <c r="DM781" s="1347"/>
      <c r="DN781" s="1347"/>
      <c r="DO781" s="1347">
        <f>IF(J781="5 Bedrooms",O781,0)</f>
        <v>0</v>
      </c>
      <c r="DP781" s="1347"/>
      <c r="DQ781" s="1347"/>
      <c r="DR781" s="1347"/>
      <c r="DS781" s="1347"/>
      <c r="DT781" s="6"/>
      <c r="DU781" s="3"/>
      <c r="DV781" s="3"/>
    </row>
    <row r="782" spans="1:159" ht="12.9" customHeight="1">
      <c r="J782" s="1362"/>
      <c r="K782" s="1363"/>
      <c r="L782" s="1363"/>
      <c r="M782" s="1363"/>
      <c r="N782" s="1364"/>
      <c r="O782" s="1516"/>
      <c r="P782" s="1516"/>
      <c r="Q782" s="1516"/>
      <c r="R782" s="1516"/>
      <c r="S782" s="1516"/>
      <c r="T782" s="1594"/>
      <c r="U782" s="1595"/>
      <c r="V782" s="1595"/>
      <c r="W782" s="1596"/>
      <c r="X782" s="1484"/>
      <c r="Y782" s="1485"/>
      <c r="Z782" s="1485"/>
      <c r="AA782" s="1485"/>
      <c r="AB782" s="1486"/>
      <c r="AC782" s="1405">
        <f>X782*O782</f>
        <v>0</v>
      </c>
      <c r="AD782" s="1406"/>
      <c r="AE782" s="1406"/>
      <c r="AF782" s="1406"/>
      <c r="AG782" s="140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47">
        <f>IF(J782="1 Bedroom",O782,0)</f>
        <v>0</v>
      </c>
      <c r="CV782" s="1347"/>
      <c r="CW782" s="1347"/>
      <c r="CX782" s="1347"/>
      <c r="CY782" s="1347"/>
      <c r="CZ782" s="1347">
        <f>IF(J782="2 Bedrooms",O782,0)</f>
        <v>0</v>
      </c>
      <c r="DA782" s="1347"/>
      <c r="DB782" s="1347"/>
      <c r="DC782" s="1347"/>
      <c r="DD782" s="1347"/>
      <c r="DE782" s="1347">
        <f>IF(J782="3 Bedrooms",O782,0)</f>
        <v>0</v>
      </c>
      <c r="DF782" s="1347"/>
      <c r="DG782" s="1347"/>
      <c r="DH782" s="1347"/>
      <c r="DI782" s="1347"/>
      <c r="DJ782" s="1347">
        <f>IF(J782="4 Bedrooms",O782,0)</f>
        <v>0</v>
      </c>
      <c r="DK782" s="1347"/>
      <c r="DL782" s="1347"/>
      <c r="DM782" s="1347"/>
      <c r="DN782" s="1347"/>
      <c r="DO782" s="1347">
        <f>IF(J782="5 Bedrooms",O782,0)</f>
        <v>0</v>
      </c>
      <c r="DP782" s="1347"/>
      <c r="DQ782" s="1347"/>
      <c r="DR782" s="1347"/>
      <c r="DS782" s="1347"/>
      <c r="DT782" s="6"/>
      <c r="DU782" s="3"/>
      <c r="DV782" s="3"/>
    </row>
    <row r="783" spans="1:159" ht="12.9" customHeight="1">
      <c r="J783" s="1362"/>
      <c r="K783" s="1363"/>
      <c r="L783" s="1363"/>
      <c r="M783" s="1363"/>
      <c r="N783" s="1364"/>
      <c r="O783" s="1516"/>
      <c r="P783" s="1516"/>
      <c r="Q783" s="1516"/>
      <c r="R783" s="1516"/>
      <c r="S783" s="1516"/>
      <c r="T783" s="1594"/>
      <c r="U783" s="1595"/>
      <c r="V783" s="1595"/>
      <c r="W783" s="1596"/>
      <c r="X783" s="1484"/>
      <c r="Y783" s="1485"/>
      <c r="Z783" s="1485"/>
      <c r="AA783" s="1485"/>
      <c r="AB783" s="1486"/>
      <c r="AC783" s="1405">
        <f>X783*O783</f>
        <v>0</v>
      </c>
      <c r="AD783" s="1406"/>
      <c r="AE783" s="1406"/>
      <c r="AF783" s="1406"/>
      <c r="AG783" s="140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47">
        <f>IF(J783="1 Bedroom",O783,0)</f>
        <v>0</v>
      </c>
      <c r="CV783" s="1347"/>
      <c r="CW783" s="1347"/>
      <c r="CX783" s="1347"/>
      <c r="CY783" s="1347"/>
      <c r="CZ783" s="1347">
        <f>IF(J783="2 Bedrooms",O783,0)</f>
        <v>0</v>
      </c>
      <c r="DA783" s="1347"/>
      <c r="DB783" s="1347"/>
      <c r="DC783" s="1347"/>
      <c r="DD783" s="1347"/>
      <c r="DE783" s="1347">
        <f>IF(J783="3 Bedrooms",O783,0)</f>
        <v>0</v>
      </c>
      <c r="DF783" s="1347"/>
      <c r="DG783" s="1347"/>
      <c r="DH783" s="1347"/>
      <c r="DI783" s="1347"/>
      <c r="DJ783" s="1347">
        <f>IF(J783="4 Bedrooms",O783,0)</f>
        <v>0</v>
      </c>
      <c r="DK783" s="1347"/>
      <c r="DL783" s="1347"/>
      <c r="DM783" s="1347"/>
      <c r="DN783" s="1347"/>
      <c r="DO783" s="1347">
        <f>IF(J783="5 Bedrooms",O783,0)</f>
        <v>0</v>
      </c>
      <c r="DP783" s="1347"/>
      <c r="DQ783" s="1347"/>
      <c r="DR783" s="1347"/>
      <c r="DS783" s="1347"/>
      <c r="DT783" s="1007"/>
    </row>
    <row r="784" spans="1:159" ht="12.9" customHeight="1">
      <c r="J784" s="1362"/>
      <c r="K784" s="1363"/>
      <c r="L784" s="1363"/>
      <c r="M784" s="1363"/>
      <c r="N784" s="1364"/>
      <c r="O784" s="1516"/>
      <c r="P784" s="1516"/>
      <c r="Q784" s="1516"/>
      <c r="R784" s="1516"/>
      <c r="S784" s="1516"/>
      <c r="T784" s="1594"/>
      <c r="U784" s="1595"/>
      <c r="V784" s="1595"/>
      <c r="W784" s="1596"/>
      <c r="X784" s="1484"/>
      <c r="Y784" s="1485"/>
      <c r="Z784" s="1485"/>
      <c r="AA784" s="1485"/>
      <c r="AB784" s="1486"/>
      <c r="AC784" s="1405">
        <f>X784*O784</f>
        <v>0</v>
      </c>
      <c r="AD784" s="1406"/>
      <c r="AE784" s="1406"/>
      <c r="AF784" s="1406"/>
      <c r="AG784" s="140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47">
        <f>IF(J784="1 Bedroom",O784,0)</f>
        <v>0</v>
      </c>
      <c r="CV784" s="1347"/>
      <c r="CW784" s="1347"/>
      <c r="CX784" s="1347"/>
      <c r="CY784" s="1347"/>
      <c r="CZ784" s="1347">
        <f>IF(J784="2 Bedrooms",O784,0)</f>
        <v>0</v>
      </c>
      <c r="DA784" s="1347"/>
      <c r="DB784" s="1347"/>
      <c r="DC784" s="1347"/>
      <c r="DD784" s="1347"/>
      <c r="DE784" s="1347">
        <f>IF(J784="3 Bedrooms",O784,0)</f>
        <v>0</v>
      </c>
      <c r="DF784" s="1347"/>
      <c r="DG784" s="1347"/>
      <c r="DH784" s="1347"/>
      <c r="DI784" s="1347"/>
      <c r="DJ784" s="1347">
        <f>IF(J784="4 Bedrooms",O784,0)</f>
        <v>0</v>
      </c>
      <c r="DK784" s="1347"/>
      <c r="DL784" s="1347"/>
      <c r="DM784" s="1347"/>
      <c r="DN784" s="1347"/>
      <c r="DO784" s="1347">
        <f>IF(J784="5 Bedrooms",O784,0)</f>
        <v>0</v>
      </c>
      <c r="DP784" s="1347"/>
      <c r="DQ784" s="1347"/>
      <c r="DR784" s="1347"/>
      <c r="DS784" s="1347"/>
    </row>
    <row r="785" spans="1:154" ht="12.9" customHeight="1">
      <c r="J785" s="1428" t="s">
        <v>125</v>
      </c>
      <c r="K785" s="1429"/>
      <c r="L785" s="1429"/>
      <c r="M785" s="1429"/>
      <c r="N785" s="1431"/>
      <c r="O785" s="1342">
        <f>SUM(O781:S784)</f>
        <v>1</v>
      </c>
      <c r="P785" s="1343"/>
      <c r="Q785" s="1343"/>
      <c r="R785" s="1343"/>
      <c r="S785" s="1344"/>
      <c r="X785" s="1428" t="s">
        <v>124</v>
      </c>
      <c r="Y785" s="1429"/>
      <c r="Z785" s="1429"/>
      <c r="AA785" s="1429"/>
      <c r="AB785" s="1431"/>
      <c r="AC785" s="1405">
        <f>SUM(AC781:AG784)</f>
        <v>0</v>
      </c>
      <c r="AD785" s="1406"/>
      <c r="AE785" s="1406"/>
      <c r="AF785" s="1406"/>
      <c r="AG785" s="140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6">
        <f>SUM(CU781:CY784)</f>
        <v>0</v>
      </c>
      <c r="CV785" s="1357"/>
      <c r="CW785" s="1357"/>
      <c r="CX785" s="1357"/>
      <c r="CY785" s="1358"/>
      <c r="CZ785" s="1356">
        <f>SUM(CZ781:DD784)</f>
        <v>1</v>
      </c>
      <c r="DA785" s="1357"/>
      <c r="DB785" s="1357"/>
      <c r="DC785" s="1357"/>
      <c r="DD785" s="1358"/>
      <c r="DE785" s="1356">
        <f>SUM(DE781:DI784)</f>
        <v>0</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1</v>
      </c>
      <c r="DV785" s="57" t="s">
        <v>1832</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1834</v>
      </c>
    </row>
    <row r="787" spans="1:154" ht="12.9" customHeight="1">
      <c r="B787" s="56"/>
      <c r="C787" s="56"/>
      <c r="D787" s="56"/>
      <c r="E787" s="56"/>
      <c r="F787" s="56"/>
      <c r="G787" s="6"/>
      <c r="H787" s="6"/>
      <c r="I787" s="6"/>
      <c r="J787" s="1392" t="s">
        <v>667</v>
      </c>
      <c r="K787" s="1392"/>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601" t="s">
        <v>388</v>
      </c>
      <c r="K791" s="1373"/>
      <c r="L791" s="1373"/>
      <c r="M791" s="1373"/>
      <c r="N791" s="1374"/>
      <c r="O791" s="1618" t="s">
        <v>284</v>
      </c>
      <c r="P791" s="1618"/>
      <c r="Q791" s="1618"/>
      <c r="R791" s="1618"/>
      <c r="S791" s="1618"/>
      <c r="T791" s="1602" t="s">
        <v>1666</v>
      </c>
      <c r="U791" s="1603"/>
      <c r="V791" s="1603"/>
      <c r="W791" s="1604"/>
      <c r="X791" s="1601" t="s">
        <v>446</v>
      </c>
      <c r="Y791" s="1373"/>
      <c r="Z791" s="1373"/>
      <c r="AA791" s="1373"/>
      <c r="AB791" s="1374"/>
      <c r="AC791" s="1601" t="s">
        <v>285</v>
      </c>
      <c r="AD791" s="1373"/>
      <c r="AE791" s="1373"/>
      <c r="AF791" s="1373"/>
      <c r="AG791" s="137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375"/>
      <c r="K792" s="1376"/>
      <c r="L792" s="1376"/>
      <c r="M792" s="1376"/>
      <c r="N792" s="1377"/>
      <c r="O792" s="1618"/>
      <c r="P792" s="1618"/>
      <c r="Q792" s="1618"/>
      <c r="R792" s="1618"/>
      <c r="S792" s="1618"/>
      <c r="T792" s="1605"/>
      <c r="U792" s="1606"/>
      <c r="V792" s="1606"/>
      <c r="W792" s="1607"/>
      <c r="X792" s="1375"/>
      <c r="Y792" s="1376"/>
      <c r="Z792" s="1376"/>
      <c r="AA792" s="1376"/>
      <c r="AB792" s="1377"/>
      <c r="AC792" s="1375"/>
      <c r="AD792" s="1376"/>
      <c r="AE792" s="1376"/>
      <c r="AF792" s="1376"/>
      <c r="AG792" s="137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375"/>
      <c r="K793" s="1376"/>
      <c r="L793" s="1376"/>
      <c r="M793" s="1376"/>
      <c r="N793" s="1377"/>
      <c r="O793" s="1618"/>
      <c r="P793" s="1618"/>
      <c r="Q793" s="1618"/>
      <c r="R793" s="1618"/>
      <c r="S793" s="1618"/>
      <c r="T793" s="1605"/>
      <c r="U793" s="1606"/>
      <c r="V793" s="1606"/>
      <c r="W793" s="1607"/>
      <c r="X793" s="1375"/>
      <c r="Y793" s="1376"/>
      <c r="Z793" s="1376"/>
      <c r="AA793" s="1376"/>
      <c r="AB793" s="1377"/>
      <c r="AC793" s="1375"/>
      <c r="AD793" s="1376"/>
      <c r="AE793" s="1376"/>
      <c r="AF793" s="1376"/>
      <c r="AG793" s="137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378"/>
      <c r="K794" s="1379"/>
      <c r="L794" s="1379"/>
      <c r="M794" s="1379"/>
      <c r="N794" s="1380"/>
      <c r="O794" s="1618"/>
      <c r="P794" s="1618"/>
      <c r="Q794" s="1618"/>
      <c r="R794" s="1618"/>
      <c r="S794" s="1618"/>
      <c r="T794" s="1608"/>
      <c r="U794" s="1609"/>
      <c r="V794" s="1609"/>
      <c r="W794" s="1610"/>
      <c r="X794" s="1378"/>
      <c r="Y794" s="1379"/>
      <c r="Z794" s="1379"/>
      <c r="AA794" s="1379"/>
      <c r="AB794" s="1380"/>
      <c r="AC794" s="1378"/>
      <c r="AD794" s="1379"/>
      <c r="AE794" s="1379"/>
      <c r="AF794" s="1379"/>
      <c r="AG794" s="138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 customHeight="1">
      <c r="J795" s="1362"/>
      <c r="K795" s="1363"/>
      <c r="L795" s="1363"/>
      <c r="M795" s="1363"/>
      <c r="N795" s="1364"/>
      <c r="O795" s="1516"/>
      <c r="P795" s="1516"/>
      <c r="Q795" s="1516"/>
      <c r="R795" s="1516"/>
      <c r="S795" s="1516"/>
      <c r="T795" s="1594"/>
      <c r="U795" s="1595"/>
      <c r="V795" s="1595"/>
      <c r="W795" s="1596"/>
      <c r="X795" s="1484"/>
      <c r="Y795" s="1485"/>
      <c r="Z795" s="1485"/>
      <c r="AA795" s="1485"/>
      <c r="AB795" s="1486"/>
      <c r="AC795" s="1405">
        <f t="shared" ref="AC795:AC804" si="42">X795*O795</f>
        <v>0</v>
      </c>
      <c r="AD795" s="1406"/>
      <c r="AE795" s="1406"/>
      <c r="AF795" s="1406"/>
      <c r="AG795" s="140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 customHeight="1">
      <c r="A796"/>
      <c r="B796"/>
      <c r="C796"/>
      <c r="D796"/>
      <c r="E796"/>
      <c r="F796"/>
      <c r="G796"/>
      <c r="H796"/>
      <c r="I796"/>
      <c r="J796" s="1362"/>
      <c r="K796" s="1363"/>
      <c r="L796" s="1363"/>
      <c r="M796" s="1363"/>
      <c r="N796" s="1364"/>
      <c r="O796" s="1516"/>
      <c r="P796" s="1516"/>
      <c r="Q796" s="1516"/>
      <c r="R796" s="1516"/>
      <c r="S796" s="1516"/>
      <c r="T796" s="1594"/>
      <c r="U796" s="1595"/>
      <c r="V796" s="1595"/>
      <c r="W796" s="1596"/>
      <c r="X796" s="1484"/>
      <c r="Y796" s="1485"/>
      <c r="Z796" s="1485"/>
      <c r="AA796" s="1485"/>
      <c r="AB796" s="1486"/>
      <c r="AC796" s="1405">
        <f t="shared" si="42"/>
        <v>0</v>
      </c>
      <c r="AD796" s="1406"/>
      <c r="AE796" s="1406"/>
      <c r="AF796" s="1406"/>
      <c r="AG796" s="140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 customHeight="1">
      <c r="A797"/>
      <c r="B797"/>
      <c r="C797"/>
      <c r="D797"/>
      <c r="E797"/>
      <c r="F797"/>
      <c r="G797"/>
      <c r="H797"/>
      <c r="I797"/>
      <c r="J797" s="1362"/>
      <c r="K797" s="1363"/>
      <c r="L797" s="1363"/>
      <c r="M797" s="1363"/>
      <c r="N797" s="1364"/>
      <c r="O797" s="1516"/>
      <c r="P797" s="1516"/>
      <c r="Q797" s="1516"/>
      <c r="R797" s="1516"/>
      <c r="S797" s="1516"/>
      <c r="T797" s="1594"/>
      <c r="U797" s="1595"/>
      <c r="V797" s="1595"/>
      <c r="W797" s="1596"/>
      <c r="X797" s="1484"/>
      <c r="Y797" s="1485"/>
      <c r="Z797" s="1485"/>
      <c r="AA797" s="1485"/>
      <c r="AB797" s="1486"/>
      <c r="AC797" s="1405">
        <f t="shared" si="42"/>
        <v>0</v>
      </c>
      <c r="AD797" s="1406"/>
      <c r="AE797" s="1406"/>
      <c r="AF797" s="1406"/>
      <c r="AG797" s="140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 customHeight="1">
      <c r="A798"/>
      <c r="B798"/>
      <c r="C798"/>
      <c r="D798"/>
      <c r="E798"/>
      <c r="F798"/>
      <c r="G798"/>
      <c r="H798"/>
      <c r="I798"/>
      <c r="J798" s="1362"/>
      <c r="K798" s="1363"/>
      <c r="L798" s="1363"/>
      <c r="M798" s="1363"/>
      <c r="N798" s="1364"/>
      <c r="O798" s="1516"/>
      <c r="P798" s="1516"/>
      <c r="Q798" s="1516"/>
      <c r="R798" s="1516"/>
      <c r="S798" s="1516"/>
      <c r="T798" s="1594"/>
      <c r="U798" s="1595"/>
      <c r="V798" s="1595"/>
      <c r="W798" s="1596"/>
      <c r="X798" s="1484"/>
      <c r="Y798" s="1485"/>
      <c r="Z798" s="1485"/>
      <c r="AA798" s="1485"/>
      <c r="AB798" s="1486"/>
      <c r="AC798" s="1405">
        <f t="shared" si="42"/>
        <v>0</v>
      </c>
      <c r="AD798" s="1406"/>
      <c r="AE798" s="1406"/>
      <c r="AF798" s="1406"/>
      <c r="AG798" s="140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 customHeight="1">
      <c r="A799"/>
      <c r="B799"/>
      <c r="C799"/>
      <c r="D799"/>
      <c r="E799"/>
      <c r="F799"/>
      <c r="G799"/>
      <c r="H799"/>
      <c r="I799"/>
      <c r="J799" s="1362"/>
      <c r="K799" s="1363"/>
      <c r="L799" s="1363"/>
      <c r="M799" s="1363"/>
      <c r="N799" s="1364"/>
      <c r="O799" s="1516"/>
      <c r="P799" s="1516"/>
      <c r="Q799" s="1516"/>
      <c r="R799" s="1516"/>
      <c r="S799" s="1516"/>
      <c r="T799" s="1594"/>
      <c r="U799" s="1595"/>
      <c r="V799" s="1595"/>
      <c r="W799" s="1596"/>
      <c r="X799" s="1484"/>
      <c r="Y799" s="1485"/>
      <c r="Z799" s="1485"/>
      <c r="AA799" s="1485"/>
      <c r="AB799" s="1486"/>
      <c r="AC799" s="1405">
        <f t="shared" si="42"/>
        <v>0</v>
      </c>
      <c r="AD799" s="1406"/>
      <c r="AE799" s="1406"/>
      <c r="AF799" s="1406"/>
      <c r="AG799" s="140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 customHeight="1">
      <c r="A800"/>
      <c r="B800"/>
      <c r="C800"/>
      <c r="D800"/>
      <c r="E800"/>
      <c r="F800"/>
      <c r="G800"/>
      <c r="H800"/>
      <c r="I800"/>
      <c r="J800" s="1362"/>
      <c r="K800" s="1363"/>
      <c r="L800" s="1363"/>
      <c r="M800" s="1363"/>
      <c r="N800" s="1364"/>
      <c r="O800" s="1516"/>
      <c r="P800" s="1516"/>
      <c r="Q800" s="1516"/>
      <c r="R800" s="1516"/>
      <c r="S800" s="1516"/>
      <c r="T800" s="1594"/>
      <c r="U800" s="1595"/>
      <c r="V800" s="1595"/>
      <c r="W800" s="1596"/>
      <c r="X800" s="1484"/>
      <c r="Y800" s="1485"/>
      <c r="Z800" s="1485"/>
      <c r="AA800" s="1485"/>
      <c r="AB800" s="1486"/>
      <c r="AC800" s="1405">
        <f t="shared" si="42"/>
        <v>0</v>
      </c>
      <c r="AD800" s="1406"/>
      <c r="AE800" s="1406"/>
      <c r="AF800" s="1406"/>
      <c r="AG800" s="140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 customHeight="1">
      <c r="A801"/>
      <c r="B801"/>
      <c r="C801"/>
      <c r="D801"/>
      <c r="E801"/>
      <c r="F801"/>
      <c r="G801"/>
      <c r="H801"/>
      <c r="I801"/>
      <c r="J801" s="1362"/>
      <c r="K801" s="1363"/>
      <c r="L801" s="1363"/>
      <c r="M801" s="1363"/>
      <c r="N801" s="1364"/>
      <c r="O801" s="1516"/>
      <c r="P801" s="1516"/>
      <c r="Q801" s="1516"/>
      <c r="R801" s="1516"/>
      <c r="S801" s="1516"/>
      <c r="T801" s="1594"/>
      <c r="U801" s="1595"/>
      <c r="V801" s="1595"/>
      <c r="W801" s="1596"/>
      <c r="X801" s="1484"/>
      <c r="Y801" s="1485"/>
      <c r="Z801" s="1485"/>
      <c r="AA801" s="1485"/>
      <c r="AB801" s="1486"/>
      <c r="AC801" s="1405">
        <f t="shared" si="42"/>
        <v>0</v>
      </c>
      <c r="AD801" s="1406"/>
      <c r="AE801" s="1406"/>
      <c r="AF801" s="1406"/>
      <c r="AG801" s="140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 customHeight="1">
      <c r="A802"/>
      <c r="B802"/>
      <c r="C802"/>
      <c r="D802"/>
      <c r="E802"/>
      <c r="F802"/>
      <c r="G802"/>
      <c r="H802"/>
      <c r="I802"/>
      <c r="J802" s="1362"/>
      <c r="K802" s="1363"/>
      <c r="L802" s="1363"/>
      <c r="M802" s="1363"/>
      <c r="N802" s="1364"/>
      <c r="O802" s="1516"/>
      <c r="P802" s="1516"/>
      <c r="Q802" s="1516"/>
      <c r="R802" s="1516"/>
      <c r="S802" s="1516"/>
      <c r="T802" s="1594"/>
      <c r="U802" s="1595"/>
      <c r="V802" s="1595"/>
      <c r="W802" s="1596"/>
      <c r="X802" s="1484"/>
      <c r="Y802" s="1485"/>
      <c r="Z802" s="1485"/>
      <c r="AA802" s="1485"/>
      <c r="AB802" s="1486"/>
      <c r="AC802" s="1405">
        <f t="shared" si="42"/>
        <v>0</v>
      </c>
      <c r="AD802" s="1406"/>
      <c r="AE802" s="1406"/>
      <c r="AF802" s="1406"/>
      <c r="AG802" s="140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 customHeight="1">
      <c r="A803"/>
      <c r="B803"/>
      <c r="C803"/>
      <c r="D803"/>
      <c r="E803"/>
      <c r="F803"/>
      <c r="G803"/>
      <c r="H803"/>
      <c r="I803"/>
      <c r="J803" s="1362"/>
      <c r="K803" s="1363"/>
      <c r="L803" s="1363"/>
      <c r="M803" s="1363"/>
      <c r="N803" s="1364"/>
      <c r="O803" s="1516"/>
      <c r="P803" s="1516"/>
      <c r="Q803" s="1516"/>
      <c r="R803" s="1516"/>
      <c r="S803" s="1516"/>
      <c r="T803" s="1594"/>
      <c r="U803" s="1595"/>
      <c r="V803" s="1595"/>
      <c r="W803" s="1596"/>
      <c r="X803" s="1484"/>
      <c r="Y803" s="1485"/>
      <c r="Z803" s="1485"/>
      <c r="AA803" s="1485"/>
      <c r="AB803" s="1486"/>
      <c r="AC803" s="1405">
        <f t="shared" si="42"/>
        <v>0</v>
      </c>
      <c r="AD803" s="1406"/>
      <c r="AE803" s="1406"/>
      <c r="AF803" s="1406"/>
      <c r="AG803" s="140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 customHeight="1">
      <c r="A804"/>
      <c r="B804"/>
      <c r="C804"/>
      <c r="D804"/>
      <c r="E804"/>
      <c r="F804"/>
      <c r="G804"/>
      <c r="H804"/>
      <c r="I804"/>
      <c r="J804" s="1362"/>
      <c r="K804" s="1363"/>
      <c r="L804" s="1363"/>
      <c r="M804" s="1363"/>
      <c r="N804" s="1364"/>
      <c r="O804" s="1516"/>
      <c r="P804" s="1516"/>
      <c r="Q804" s="1516"/>
      <c r="R804" s="1516"/>
      <c r="S804" s="1516"/>
      <c r="T804" s="1594"/>
      <c r="U804" s="1595"/>
      <c r="V804" s="1595"/>
      <c r="W804" s="1596"/>
      <c r="X804" s="1484"/>
      <c r="Y804" s="1485"/>
      <c r="Z804" s="1485"/>
      <c r="AA804" s="1485"/>
      <c r="AB804" s="1486"/>
      <c r="AC804" s="1405">
        <f t="shared" si="42"/>
        <v>0</v>
      </c>
      <c r="AD804" s="1406"/>
      <c r="AE804" s="1406"/>
      <c r="AF804" s="1406"/>
      <c r="AG804" s="140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 customHeight="1">
      <c r="A805"/>
      <c r="B805"/>
      <c r="C805"/>
      <c r="D805"/>
      <c r="E805"/>
      <c r="F805"/>
      <c r="G805"/>
      <c r="H805"/>
      <c r="I805"/>
      <c r="J805" s="1428" t="s">
        <v>125</v>
      </c>
      <c r="K805" s="1429"/>
      <c r="L805" s="1429"/>
      <c r="M805" s="1429"/>
      <c r="N805" s="1431"/>
      <c r="O805" s="1617">
        <f>SUM(O795:S804)</f>
        <v>0</v>
      </c>
      <c r="P805" s="1617"/>
      <c r="Q805" s="1617"/>
      <c r="R805" s="1617"/>
      <c r="S805" s="1617"/>
      <c r="T805"/>
      <c r="U805"/>
      <c r="V805"/>
      <c r="W805"/>
      <c r="X805" s="898" t="s">
        <v>124</v>
      </c>
      <c r="Y805" s="11"/>
      <c r="Z805" s="11"/>
      <c r="AA805" s="11"/>
      <c r="AB805" s="905"/>
      <c r="AC805" s="1405">
        <f>SUM(AC795:AG804)</f>
        <v>0</v>
      </c>
      <c r="AD805" s="1406"/>
      <c r="AE805" s="1406"/>
      <c r="AF805" s="1406"/>
      <c r="AG805" s="140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 customHeight="1">
      <c r="A806"/>
      <c r="B806"/>
      <c r="C806" s="1661" t="str">
        <f>IF(O805&lt;&gt;AG447,"! Total market rate units in the Unit Mix Table above does not match the number of  market rate units on row #"&amp;TEXT(ROW(D447),"#"),"")</f>
        <v/>
      </c>
      <c r="D806" s="1661"/>
      <c r="E806" s="1661"/>
      <c r="F806" s="1661"/>
      <c r="G806" s="1661"/>
      <c r="H806" s="1661"/>
      <c r="I806" s="1661"/>
      <c r="J806" s="1661"/>
      <c r="K806" s="1661"/>
      <c r="L806" s="1661"/>
      <c r="M806" s="1661"/>
      <c r="N806" s="1661"/>
      <c r="O806" s="1661"/>
      <c r="P806" s="1661"/>
      <c r="Q806" s="1661"/>
      <c r="R806" s="1661"/>
      <c r="S806" s="1661"/>
      <c r="T806" s="1661"/>
      <c r="U806" s="1661"/>
      <c r="V806" s="1661"/>
      <c r="W806" s="1661"/>
      <c r="X806" s="1661"/>
      <c r="Y806" s="1661"/>
      <c r="Z806" s="1661"/>
      <c r="AA806" s="1661"/>
      <c r="AB806" s="1661"/>
      <c r="AC806" s="1661"/>
      <c r="AD806" s="1661"/>
      <c r="AE806" s="1661"/>
      <c r="AF806" s="1661"/>
      <c r="AG806" s="1661"/>
      <c r="AH806" s="1661"/>
      <c r="AI806" s="1661"/>
      <c r="AJ806" s="1661"/>
      <c r="AK806" s="1661"/>
      <c r="AL806" s="1661"/>
      <c r="AM806" s="1661"/>
      <c r="AN806" s="166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661"/>
      <c r="D807" s="1661"/>
      <c r="E807" s="1661"/>
      <c r="F807" s="1661"/>
      <c r="G807" s="1661"/>
      <c r="H807" s="1661"/>
      <c r="I807" s="1661"/>
      <c r="J807" s="1661"/>
      <c r="K807" s="1661"/>
      <c r="L807" s="1661"/>
      <c r="M807" s="1661"/>
      <c r="N807" s="1661"/>
      <c r="O807" s="1661"/>
      <c r="P807" s="1661"/>
      <c r="Q807" s="1661"/>
      <c r="R807" s="1661"/>
      <c r="S807" s="1661"/>
      <c r="T807" s="1661"/>
      <c r="U807" s="1661"/>
      <c r="V807" s="1661"/>
      <c r="W807" s="1661"/>
      <c r="X807" s="1661"/>
      <c r="Y807" s="1661"/>
      <c r="Z807" s="1661"/>
      <c r="AA807" s="1661"/>
      <c r="AB807" s="1661"/>
      <c r="AC807" s="1661"/>
      <c r="AD807" s="1661"/>
      <c r="AE807" s="1661"/>
      <c r="AF807" s="1661"/>
      <c r="AG807" s="1661"/>
      <c r="AH807" s="1661"/>
      <c r="AI807" s="1661"/>
      <c r="AJ807" s="1661"/>
      <c r="AK807" s="1661"/>
      <c r="AL807" s="1661"/>
      <c r="AM807" s="1661"/>
      <c r="AN807" s="166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3">
        <f>SUM(DU805:EX805)</f>
        <v>0</v>
      </c>
      <c r="EU807" s="1354"/>
      <c r="EV807" s="1354"/>
      <c r="EW807" s="1354"/>
      <c r="EX807" s="1355"/>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600">
        <f>O761+AC785+AC805</f>
        <v>208717</v>
      </c>
      <c r="Z808" s="1600"/>
      <c r="AA808" s="1600"/>
      <c r="AB808" s="1600"/>
      <c r="AC808" s="160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0">
        <f>(O761+AC785+AC805)*12</f>
        <v>2504604</v>
      </c>
      <c r="Z809" s="1600"/>
      <c r="AA809" s="1600"/>
      <c r="AB809" s="1600"/>
      <c r="AC809" s="160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22</v>
      </c>
      <c r="CQ810" s="1357"/>
      <c r="CR810" s="1357"/>
      <c r="CS810" s="1357"/>
      <c r="CT810" s="1358"/>
      <c r="CU810" s="1356">
        <f>CU761+CU785+CU805</f>
        <v>10</v>
      </c>
      <c r="CV810" s="1357"/>
      <c r="CW810" s="1357"/>
      <c r="CX810" s="1357"/>
      <c r="CY810" s="1358"/>
      <c r="CZ810" s="1356">
        <f>CZ761+CZ785+CZ805</f>
        <v>69</v>
      </c>
      <c r="DA810" s="1357"/>
      <c r="DB810" s="1357"/>
      <c r="DC810" s="1357"/>
      <c r="DD810" s="1358"/>
      <c r="DE810" s="1356">
        <f>DE761+DE785+DE805</f>
        <v>49</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315</v>
      </c>
      <c r="DV810" s="57" t="s">
        <v>1836</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29"/>
      <c r="AA814" s="1627"/>
      <c r="AB814" s="1627"/>
      <c r="AC814" s="1627"/>
      <c r="AD814" s="1627"/>
      <c r="AE814" s="162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26"/>
      <c r="AA815" s="1627"/>
      <c r="AB815" s="1627"/>
      <c r="AC815" s="1627"/>
      <c r="AD815" s="1627"/>
      <c r="AE815" s="162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9"/>
      <c r="AA816" s="1508"/>
      <c r="AB816" s="1508"/>
      <c r="AC816" s="1508"/>
      <c r="AD816" s="1508"/>
      <c r="AE816" s="166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7">
        <f>'Subsidy Contract Calculation'!J40</f>
        <v>0</v>
      </c>
      <c r="AA817" s="1488"/>
      <c r="AB817" s="1488"/>
      <c r="AC817" s="1488"/>
      <c r="AD817" s="1488"/>
      <c r="AE817" s="148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0">
        <v>15000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0">
        <v>2500</v>
      </c>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0">
        <v>2500</v>
      </c>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632" t="s">
        <v>2736</v>
      </c>
      <c r="Q824" s="1633"/>
      <c r="R824" s="1633"/>
      <c r="S824" s="1633"/>
      <c r="T824" s="1633"/>
      <c r="U824" s="1633"/>
      <c r="V824" s="1633"/>
      <c r="W824" s="1633"/>
      <c r="X824" s="1633"/>
      <c r="Y824" s="1641"/>
      <c r="Z824" s="1490">
        <v>2500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7">
        <f>SUM(Z821:AE824)</f>
        <v>22500</v>
      </c>
      <c r="AA825" s="1488"/>
      <c r="AB825" s="1488"/>
      <c r="AC825" s="1488"/>
      <c r="AD825" s="1488"/>
      <c r="AE825" s="148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87">
        <f>Z825+Y809+Z817</f>
        <v>2527104</v>
      </c>
      <c r="AA826" s="1488"/>
      <c r="AB826" s="1488"/>
      <c r="AC826" s="1488"/>
      <c r="AD826" s="1488"/>
      <c r="AE826" s="148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703" t="s">
        <v>126</v>
      </c>
      <c r="N831" s="1703"/>
      <c r="O831" s="1703"/>
      <c r="P831" s="1704"/>
      <c r="Q831" s="1620" t="s">
        <v>289</v>
      </c>
      <c r="R831" s="1620"/>
      <c r="S831" s="1620"/>
      <c r="T831" s="1620"/>
      <c r="U831" s="1620" t="s">
        <v>290</v>
      </c>
      <c r="V831" s="1620"/>
      <c r="W831" s="1620"/>
      <c r="X831" s="1620"/>
      <c r="Y831" s="1620" t="s">
        <v>291</v>
      </c>
      <c r="Z831" s="1620"/>
      <c r="AA831" s="1620"/>
      <c r="AB831" s="1620"/>
      <c r="AC831" s="1620" t="s">
        <v>360</v>
      </c>
      <c r="AD831" s="1620"/>
      <c r="AE831" s="1620"/>
      <c r="AF831" s="1620"/>
      <c r="AG831" s="1613" t="s">
        <v>334</v>
      </c>
      <c r="AH831" s="1613"/>
      <c r="AI831" s="1613"/>
      <c r="AJ831" s="1613"/>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705"/>
      <c r="N832" s="1705"/>
      <c r="O832" s="1705"/>
      <c r="P832" s="1706"/>
      <c r="Q832" s="1620"/>
      <c r="R832" s="1620"/>
      <c r="S832" s="1620"/>
      <c r="T832" s="1620"/>
      <c r="U832" s="1620"/>
      <c r="V832" s="1620"/>
      <c r="W832" s="1620"/>
      <c r="X832" s="1620"/>
      <c r="Y832" s="1620"/>
      <c r="Z832" s="1620"/>
      <c r="AA832" s="1620"/>
      <c r="AB832" s="1620"/>
      <c r="AC832" s="1620"/>
      <c r="AD832" s="1620"/>
      <c r="AE832" s="1620"/>
      <c r="AF832" s="1620"/>
      <c r="AG832" s="1613"/>
      <c r="AH832" s="1613"/>
      <c r="AI832" s="1613"/>
      <c r="AJ832" s="1613"/>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622" t="s">
        <v>40</v>
      </c>
      <c r="D833" s="1371"/>
      <c r="E833" s="1371"/>
      <c r="F833" s="1371"/>
      <c r="G833" s="1371"/>
      <c r="H833" s="1371"/>
      <c r="I833" s="48"/>
      <c r="J833" s="48"/>
      <c r="K833" s="48"/>
      <c r="L833" s="49"/>
      <c r="M833" s="1619">
        <v>21</v>
      </c>
      <c r="N833" s="1619"/>
      <c r="O833" s="1619"/>
      <c r="P833" s="1619"/>
      <c r="Q833" s="1619">
        <v>25</v>
      </c>
      <c r="R833" s="1619"/>
      <c r="S833" s="1619"/>
      <c r="T833" s="1619"/>
      <c r="U833" s="1619">
        <v>30</v>
      </c>
      <c r="V833" s="1619"/>
      <c r="W833" s="1619"/>
      <c r="X833" s="1619"/>
      <c r="Y833" s="1619">
        <v>33</v>
      </c>
      <c r="Z833" s="1619"/>
      <c r="AA833" s="1619"/>
      <c r="AB833" s="1619"/>
      <c r="AC833" s="1586"/>
      <c r="AD833" s="1587"/>
      <c r="AE833" s="1587"/>
      <c r="AF833" s="1588"/>
      <c r="AG833" s="1586"/>
      <c r="AH833" s="1587"/>
      <c r="AI833" s="1587"/>
      <c r="AJ833" s="1588"/>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396" t="s">
        <v>41</v>
      </c>
      <c r="D834" s="1397"/>
      <c r="E834" s="1397"/>
      <c r="F834" s="1397"/>
      <c r="G834" s="1397"/>
      <c r="H834" s="1397"/>
      <c r="I834" s="5"/>
      <c r="J834" s="5"/>
      <c r="K834" s="5"/>
      <c r="L834" s="46"/>
      <c r="M834" s="1619"/>
      <c r="N834" s="1619"/>
      <c r="O834" s="1619"/>
      <c r="P834" s="1619"/>
      <c r="Q834" s="1619"/>
      <c r="R834" s="1619"/>
      <c r="S834" s="1619"/>
      <c r="T834" s="1619"/>
      <c r="U834" s="1619"/>
      <c r="V834" s="1619"/>
      <c r="W834" s="1619"/>
      <c r="X834" s="1619"/>
      <c r="Y834" s="1619"/>
      <c r="Z834" s="1619"/>
      <c r="AA834" s="1619"/>
      <c r="AB834" s="1619"/>
      <c r="AC834" s="1586"/>
      <c r="AD834" s="1587"/>
      <c r="AE834" s="1587"/>
      <c r="AF834" s="1588"/>
      <c r="AG834" s="1586"/>
      <c r="AH834" s="1587"/>
      <c r="AI834" s="1587"/>
      <c r="AJ834" s="1588"/>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396" t="s">
        <v>42</v>
      </c>
      <c r="D835" s="1397"/>
      <c r="E835" s="1397"/>
      <c r="F835" s="1397"/>
      <c r="G835" s="1397"/>
      <c r="H835" s="1397"/>
      <c r="I835" s="60"/>
      <c r="J835" s="60"/>
      <c r="K835" s="60"/>
      <c r="L835" s="61"/>
      <c r="M835" s="1619">
        <v>10</v>
      </c>
      <c r="N835" s="1619"/>
      <c r="O835" s="1619"/>
      <c r="P835" s="1619"/>
      <c r="Q835" s="1619">
        <v>12</v>
      </c>
      <c r="R835" s="1619"/>
      <c r="S835" s="1619"/>
      <c r="T835" s="1619"/>
      <c r="U835" s="1619">
        <v>18</v>
      </c>
      <c r="V835" s="1619"/>
      <c r="W835" s="1619"/>
      <c r="X835" s="1619"/>
      <c r="Y835" s="1619">
        <v>23</v>
      </c>
      <c r="Z835" s="1619"/>
      <c r="AA835" s="1619"/>
      <c r="AB835" s="1619"/>
      <c r="AC835" s="1586"/>
      <c r="AD835" s="1587"/>
      <c r="AE835" s="1587"/>
      <c r="AF835" s="1588"/>
      <c r="AG835" s="1586"/>
      <c r="AH835" s="1587"/>
      <c r="AI835" s="1587"/>
      <c r="AJ835" s="1588"/>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396" t="s">
        <v>760</v>
      </c>
      <c r="D836" s="1397"/>
      <c r="E836" s="1397"/>
      <c r="F836" s="1397"/>
      <c r="G836" s="1397"/>
      <c r="H836" s="1397"/>
      <c r="I836" s="60"/>
      <c r="J836" s="60"/>
      <c r="K836" s="60"/>
      <c r="L836" s="61"/>
      <c r="M836" s="1619"/>
      <c r="N836" s="1619"/>
      <c r="O836" s="1619"/>
      <c r="P836" s="1619"/>
      <c r="Q836" s="1619"/>
      <c r="R836" s="1619"/>
      <c r="S836" s="1619"/>
      <c r="T836" s="1619"/>
      <c r="U836" s="1619"/>
      <c r="V836" s="1619"/>
      <c r="W836" s="1619"/>
      <c r="X836" s="1619"/>
      <c r="Y836" s="1619"/>
      <c r="Z836" s="1619"/>
      <c r="AA836" s="1619"/>
      <c r="AB836" s="1619"/>
      <c r="AC836" s="1586"/>
      <c r="AD836" s="1587"/>
      <c r="AE836" s="1587"/>
      <c r="AF836" s="1588"/>
      <c r="AG836" s="1586"/>
      <c r="AH836" s="1587"/>
      <c r="AI836" s="1587"/>
      <c r="AJ836" s="1588"/>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396" t="s">
        <v>458</v>
      </c>
      <c r="D837" s="1397"/>
      <c r="E837" s="1397"/>
      <c r="F837" s="1397"/>
      <c r="G837" s="1397"/>
      <c r="H837" s="1397"/>
      <c r="I837" s="60"/>
      <c r="J837" s="60"/>
      <c r="K837" s="60"/>
      <c r="L837" s="61"/>
      <c r="M837" s="1619">
        <v>30</v>
      </c>
      <c r="N837" s="1619"/>
      <c r="O837" s="1619"/>
      <c r="P837" s="1619"/>
      <c r="Q837" s="1619">
        <v>37</v>
      </c>
      <c r="R837" s="1619"/>
      <c r="S837" s="1619"/>
      <c r="T837" s="1619"/>
      <c r="U837" s="1619">
        <v>55</v>
      </c>
      <c r="V837" s="1619"/>
      <c r="W837" s="1619"/>
      <c r="X837" s="1619"/>
      <c r="Y837" s="1619">
        <v>74</v>
      </c>
      <c r="Z837" s="1619"/>
      <c r="AA837" s="1619"/>
      <c r="AB837" s="1619"/>
      <c r="AC837" s="1586"/>
      <c r="AD837" s="1587"/>
      <c r="AE837" s="1587"/>
      <c r="AF837" s="1588"/>
      <c r="AG837" s="1586"/>
      <c r="AH837" s="1587"/>
      <c r="AI837" s="1587"/>
      <c r="AJ837" s="1588"/>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31" t="s">
        <v>781</v>
      </c>
      <c r="D838" s="1397"/>
      <c r="E838" s="1397"/>
      <c r="F838" s="1397"/>
      <c r="G838" s="1397"/>
      <c r="H838" s="1397"/>
      <c r="I838" s="60"/>
      <c r="J838" s="60"/>
      <c r="K838" s="60"/>
      <c r="L838" s="61"/>
      <c r="M838" s="1619"/>
      <c r="N838" s="1619"/>
      <c r="O838" s="1619"/>
      <c r="P838" s="1619"/>
      <c r="Q838" s="1619"/>
      <c r="R838" s="1619"/>
      <c r="S838" s="1619"/>
      <c r="T838" s="1619"/>
      <c r="U838" s="1619"/>
      <c r="V838" s="1619"/>
      <c r="W838" s="1619"/>
      <c r="X838" s="1619"/>
      <c r="Y838" s="1619"/>
      <c r="Z838" s="1619"/>
      <c r="AA838" s="1619"/>
      <c r="AB838" s="1619"/>
      <c r="AC838" s="1586"/>
      <c r="AD838" s="1587"/>
      <c r="AE838" s="1587"/>
      <c r="AF838" s="1588"/>
      <c r="AG838" s="1586"/>
      <c r="AH838" s="1587"/>
      <c r="AI838" s="1587"/>
      <c r="AJ838" s="1588"/>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1632" t="s">
        <v>2782</v>
      </c>
      <c r="G839" s="1633"/>
      <c r="H839" s="1633"/>
      <c r="I839" s="1633"/>
      <c r="J839" s="1633"/>
      <c r="K839" s="1633"/>
      <c r="L839" s="1633"/>
      <c r="M839" s="1619">
        <v>6</v>
      </c>
      <c r="N839" s="1619"/>
      <c r="O839" s="1619"/>
      <c r="P839" s="1619"/>
      <c r="Q839" s="1619">
        <v>7</v>
      </c>
      <c r="R839" s="1619"/>
      <c r="S839" s="1619"/>
      <c r="T839" s="1619"/>
      <c r="U839" s="1619">
        <v>10</v>
      </c>
      <c r="V839" s="1619"/>
      <c r="W839" s="1619"/>
      <c r="X839" s="1619"/>
      <c r="Y839" s="1619">
        <v>12</v>
      </c>
      <c r="Z839" s="1619"/>
      <c r="AA839" s="1619"/>
      <c r="AB839" s="1619"/>
      <c r="AC839" s="1586"/>
      <c r="AD839" s="1587"/>
      <c r="AE839" s="1587"/>
      <c r="AF839" s="1588"/>
      <c r="AG839" s="1586"/>
      <c r="AH839" s="1587"/>
      <c r="AI839" s="1587"/>
      <c r="AJ839" s="1588"/>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428" t="s">
        <v>124</v>
      </c>
      <c r="D840" s="1429"/>
      <c r="E840" s="1429"/>
      <c r="F840" s="1429"/>
      <c r="G840" s="1429"/>
      <c r="H840" s="1429"/>
      <c r="I840" s="1429"/>
      <c r="J840" s="1429"/>
      <c r="K840" s="1429"/>
      <c r="L840" s="1431"/>
      <c r="M840" s="1685">
        <f>SUM(M833:P839)</f>
        <v>67</v>
      </c>
      <c r="N840" s="1685"/>
      <c r="O840" s="1685"/>
      <c r="P840" s="1685"/>
      <c r="Q840" s="1685">
        <f>SUM(Q833:T839)</f>
        <v>81</v>
      </c>
      <c r="R840" s="1685"/>
      <c r="S840" s="1685"/>
      <c r="T840" s="1685"/>
      <c r="U840" s="1685">
        <f>SUM(U833:X839)</f>
        <v>113</v>
      </c>
      <c r="V840" s="1685"/>
      <c r="W840" s="1685"/>
      <c r="X840" s="1685"/>
      <c r="Y840" s="1685">
        <f>SUM(Y833:AB839)</f>
        <v>142</v>
      </c>
      <c r="Z840" s="1685"/>
      <c r="AA840" s="1685"/>
      <c r="AB840" s="1685"/>
      <c r="AC840" s="1685">
        <f>SUM(AC833:AF839)</f>
        <v>0</v>
      </c>
      <c r="AD840" s="1685"/>
      <c r="AE840" s="1685"/>
      <c r="AF840" s="1685"/>
      <c r="AG840" s="1685">
        <f>SUM(AG833:AJ839)</f>
        <v>0</v>
      </c>
      <c r="AH840" s="1685"/>
      <c r="AI840" s="1685"/>
      <c r="AJ840" s="1685"/>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656" t="s">
        <v>2783</v>
      </c>
      <c r="D845" s="1657"/>
      <c r="E845" s="1657"/>
      <c r="F845" s="1657"/>
      <c r="G845" s="1657"/>
      <c r="H845" s="1657"/>
      <c r="I845" s="1657"/>
      <c r="J845" s="1657"/>
      <c r="K845" s="1657"/>
      <c r="L845" s="1657"/>
      <c r="M845" s="1657"/>
      <c r="N845" s="1657"/>
      <c r="O845" s="1657"/>
      <c r="P845" s="1657"/>
      <c r="Q845" s="1657"/>
      <c r="R845" s="1657"/>
      <c r="S845" s="1657"/>
      <c r="T845" s="1657"/>
      <c r="U845" s="1657"/>
      <c r="V845" s="1657"/>
      <c r="W845" s="1657"/>
      <c r="X845" s="1657"/>
      <c r="Y845" s="1657"/>
      <c r="Z845" s="1657"/>
      <c r="AA845" s="1657"/>
      <c r="AB845" s="1657"/>
      <c r="AC845" s="1657"/>
      <c r="AD845" s="1657"/>
      <c r="AE845" s="1657"/>
      <c r="AF845" s="1657"/>
      <c r="AG845" s="1657"/>
      <c r="AH845" s="1657"/>
      <c r="AI845" s="1657"/>
      <c r="AJ845" s="1658"/>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6"/>
      <c r="BJ849" s="1636"/>
      <c r="BK849" s="1636"/>
      <c r="BL849" s="1636"/>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1630">
        <v>3300</v>
      </c>
      <c r="X850" s="1630"/>
      <c r="Y850" s="1630"/>
      <c r="Z850" s="1630"/>
      <c r="AA850" s="1630"/>
      <c r="AB850" s="1630"/>
      <c r="AC850" s="1630"/>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1630">
        <v>2000</v>
      </c>
      <c r="X851" s="1630"/>
      <c r="Y851" s="1630"/>
      <c r="Z851" s="1630"/>
      <c r="AA851" s="1630"/>
      <c r="AB851" s="1630"/>
      <c r="AC851" s="1630"/>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1630">
        <v>5500</v>
      </c>
      <c r="X852" s="1630"/>
      <c r="Y852" s="1630"/>
      <c r="Z852" s="1630"/>
      <c r="AA852" s="1630"/>
      <c r="AB852" s="1630"/>
      <c r="AC852" s="1630"/>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1630"/>
      <c r="X853" s="1630"/>
      <c r="Y853" s="1630"/>
      <c r="Z853" s="1630"/>
      <c r="AA853" s="1630"/>
      <c r="AB853" s="1630"/>
      <c r="AC853" s="1630"/>
      <c r="AZ853" s="30"/>
      <c r="BA853" s="30"/>
      <c r="BB853" s="14"/>
      <c r="BC853" s="14"/>
      <c r="BD853" s="14"/>
      <c r="BE853" s="14"/>
      <c r="BF853" s="14"/>
      <c r="BG853" s="14"/>
      <c r="BH853" s="14"/>
      <c r="BI853" s="14"/>
      <c r="BJ853" s="14"/>
      <c r="BK853" s="14"/>
      <c r="BL853" s="14"/>
    </row>
    <row r="854" spans="1:64" ht="12.9" customHeight="1">
      <c r="J854" s="45" t="s">
        <v>169</v>
      </c>
      <c r="K854" s="5"/>
      <c r="L854" s="5"/>
      <c r="M854" s="1632" t="s">
        <v>2737</v>
      </c>
      <c r="N854" s="1633"/>
      <c r="O854" s="1633"/>
      <c r="P854" s="1633"/>
      <c r="Q854" s="1633"/>
      <c r="R854" s="1633"/>
      <c r="S854" s="1633"/>
      <c r="T854" s="1633"/>
      <c r="U854" s="1633"/>
      <c r="V854" s="1641"/>
      <c r="W854" s="1630">
        <v>12749</v>
      </c>
      <c r="X854" s="1630"/>
      <c r="Y854" s="1630"/>
      <c r="Z854" s="1630"/>
      <c r="AA854" s="1630"/>
      <c r="AB854" s="1630"/>
      <c r="AC854" s="1630"/>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487">
        <f>SUM(W850:W854)</f>
        <v>23549</v>
      </c>
      <c r="X855" s="1488"/>
      <c r="Y855" s="1488"/>
      <c r="Z855" s="1488"/>
      <c r="AA855" s="1488"/>
      <c r="AB855" s="1488"/>
      <c r="AC855" s="1489"/>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35"/>
      <c r="BH856" s="1635"/>
      <c r="BI856" s="1635"/>
      <c r="BJ856" s="1635"/>
      <c r="BK856" s="1635"/>
      <c r="BL856" s="1635"/>
    </row>
    <row r="857" spans="1:64" ht="12.9" customHeight="1">
      <c r="C857" s="2" t="s">
        <v>343</v>
      </c>
      <c r="J857" s="1428" t="s">
        <v>344</v>
      </c>
      <c r="K857" s="1429"/>
      <c r="L857" s="1429"/>
      <c r="M857" s="1429"/>
      <c r="N857" s="1429"/>
      <c r="O857" s="1429"/>
      <c r="P857" s="1429"/>
      <c r="Q857" s="1429"/>
      <c r="R857" s="1429"/>
      <c r="S857" s="1429"/>
      <c r="T857" s="1429"/>
      <c r="U857" s="1429"/>
      <c r="V857" s="1431"/>
      <c r="W857" s="1490">
        <v>95100</v>
      </c>
      <c r="X857" s="1345"/>
      <c r="Y857" s="1345"/>
      <c r="Z857" s="1345"/>
      <c r="AA857" s="1345"/>
      <c r="AB857" s="1345"/>
      <c r="AC857" s="1346"/>
      <c r="AD857" s="533"/>
      <c r="AZ857" s="30"/>
      <c r="BA857" s="30"/>
      <c r="BB857" s="14"/>
      <c r="BC857" s="14"/>
    </row>
    <row r="858" spans="1:64" ht="12.9" customHeight="1">
      <c r="AD858" s="533"/>
      <c r="AZ858" s="30"/>
      <c r="BA858" s="30"/>
      <c r="BB858" s="14"/>
      <c r="BC858" s="14"/>
    </row>
    <row r="859" spans="1:64" ht="12.9" customHeight="1">
      <c r="C859" s="2" t="s">
        <v>560</v>
      </c>
      <c r="J859" s="45" t="s">
        <v>351</v>
      </c>
      <c r="K859" s="5"/>
      <c r="L859" s="5"/>
      <c r="M859" s="5"/>
      <c r="N859" s="5"/>
      <c r="O859" s="5"/>
      <c r="P859" s="5"/>
      <c r="Q859" s="5"/>
      <c r="R859" s="5"/>
      <c r="S859" s="5"/>
      <c r="T859" s="5"/>
      <c r="U859" s="5"/>
      <c r="V859" s="46"/>
      <c r="W859" s="1649"/>
      <c r="X859" s="1649"/>
      <c r="Y859" s="1649"/>
      <c r="Z859" s="1649"/>
      <c r="AA859" s="1649"/>
      <c r="AB859" s="1649"/>
      <c r="AC859" s="1649"/>
      <c r="AZ859" s="1640"/>
      <c r="BA859" s="1640"/>
      <c r="BB859" s="14"/>
      <c r="BC859" s="14"/>
    </row>
    <row r="860" spans="1:64" ht="12.9" customHeight="1">
      <c r="J860" s="45" t="s">
        <v>350</v>
      </c>
      <c r="K860" s="5"/>
      <c r="L860" s="5"/>
      <c r="M860" s="5"/>
      <c r="N860" s="5"/>
      <c r="O860" s="5"/>
      <c r="P860" s="5"/>
      <c r="Q860" s="5"/>
      <c r="R860" s="5"/>
      <c r="S860" s="5"/>
      <c r="T860" s="5"/>
      <c r="U860" s="5"/>
      <c r="V860" s="46"/>
      <c r="W860" s="1649"/>
      <c r="X860" s="1649"/>
      <c r="Y860" s="1649"/>
      <c r="Z860" s="1649"/>
      <c r="AA860" s="1649"/>
      <c r="AB860" s="1649"/>
      <c r="AC860" s="1649"/>
      <c r="AZ860" s="30"/>
      <c r="BA860" s="30"/>
      <c r="BB860" s="14"/>
      <c r="BC860" s="14"/>
    </row>
    <row r="861" spans="1:64" ht="12.9" customHeight="1">
      <c r="J861" s="45" t="s">
        <v>458</v>
      </c>
      <c r="K861" s="5"/>
      <c r="L861" s="5"/>
      <c r="M861" s="5"/>
      <c r="N861" s="5"/>
      <c r="O861" s="5"/>
      <c r="P861" s="5"/>
      <c r="Q861" s="5"/>
      <c r="R861" s="5"/>
      <c r="S861" s="5"/>
      <c r="T861" s="5"/>
      <c r="U861" s="5"/>
      <c r="V861" s="46"/>
      <c r="W861" s="1649">
        <v>105000</v>
      </c>
      <c r="X861" s="1649"/>
      <c r="Y861" s="1649"/>
      <c r="Z861" s="1649"/>
      <c r="AA861" s="1649"/>
      <c r="AB861" s="1649"/>
      <c r="AC861" s="1649"/>
      <c r="AZ861" s="30"/>
      <c r="BA861" s="30"/>
      <c r="BB861" s="14"/>
      <c r="BC861" s="14"/>
    </row>
    <row r="862" spans="1:64" ht="12.9" customHeight="1">
      <c r="J862" s="62" t="s">
        <v>619</v>
      </c>
      <c r="K862" s="5"/>
      <c r="L862" s="5"/>
      <c r="M862" s="5"/>
      <c r="N862" s="5"/>
      <c r="O862" s="5"/>
      <c r="P862" s="5"/>
      <c r="Q862" s="5"/>
      <c r="R862" s="5"/>
      <c r="S862" s="5"/>
      <c r="T862" s="5"/>
      <c r="U862" s="5"/>
      <c r="V862" s="46"/>
      <c r="W862" s="1649">
        <v>156600</v>
      </c>
      <c r="X862" s="1649"/>
      <c r="Y862" s="1649"/>
      <c r="Z862" s="1649"/>
      <c r="AA862" s="1649"/>
      <c r="AB862" s="1649"/>
      <c r="AC862" s="1649"/>
      <c r="AZ862" s="34"/>
      <c r="BA862" s="34"/>
      <c r="BB862" s="34"/>
      <c r="BC862" s="34"/>
    </row>
    <row r="863" spans="1:64" ht="12.9" customHeight="1">
      <c r="J863" s="63"/>
      <c r="K863" s="48"/>
      <c r="L863" s="48"/>
      <c r="M863" s="48"/>
      <c r="N863" s="48"/>
      <c r="O863" s="48"/>
      <c r="P863" s="48"/>
      <c r="Q863" s="48"/>
      <c r="R863" s="48"/>
      <c r="S863" s="48"/>
      <c r="T863" s="48"/>
      <c r="U863" s="48"/>
      <c r="V863" s="54" t="s">
        <v>271</v>
      </c>
      <c r="W863" s="1650">
        <f>SUM(W859:W862)</f>
        <v>261600</v>
      </c>
      <c r="X863" s="1650"/>
      <c r="Y863" s="1650"/>
      <c r="Z863" s="1650"/>
      <c r="AA863" s="1650"/>
      <c r="AB863" s="1650"/>
      <c r="AC863" s="1650"/>
      <c r="AZ863" s="34"/>
      <c r="BA863" s="34"/>
      <c r="BB863" s="34"/>
      <c r="BC863" s="34"/>
    </row>
    <row r="864" spans="1:64" ht="12.9" customHeight="1">
      <c r="AZ864" s="34"/>
      <c r="BA864" s="34"/>
      <c r="BB864" s="34"/>
      <c r="BC864" s="34"/>
    </row>
    <row r="865" spans="3:55" ht="12.9" customHeight="1">
      <c r="C865" s="2" t="s">
        <v>345</v>
      </c>
      <c r="J865" s="45" t="s">
        <v>618</v>
      </c>
      <c r="K865" s="5"/>
      <c r="L865" s="5"/>
      <c r="M865" s="5"/>
      <c r="N865" s="5"/>
      <c r="O865" s="5"/>
      <c r="P865" s="5"/>
      <c r="Q865" s="5"/>
      <c r="R865" s="5"/>
      <c r="S865" s="5"/>
      <c r="T865" s="5"/>
      <c r="U865" s="5"/>
      <c r="V865" s="46"/>
      <c r="W865" s="1646">
        <v>72000</v>
      </c>
      <c r="X865" s="1647"/>
      <c r="Y865" s="1647"/>
      <c r="Z865" s="1647"/>
      <c r="AA865" s="1647"/>
      <c r="AB865" s="1647"/>
      <c r="AC865" s="1648"/>
      <c r="AD865" s="528"/>
      <c r="AZ865" s="34"/>
      <c r="BA865" s="34"/>
      <c r="BB865" s="34"/>
      <c r="BC865" s="34"/>
    </row>
    <row r="866" spans="3:55" ht="12.9" customHeight="1">
      <c r="C866" s="2" t="s">
        <v>346</v>
      </c>
      <c r="J866" s="121" t="s">
        <v>1642</v>
      </c>
      <c r="K866" s="5"/>
      <c r="L866" s="5"/>
      <c r="M866" s="5"/>
      <c r="N866" s="5"/>
      <c r="O866" s="5"/>
      <c r="P866" s="5"/>
      <c r="Q866" s="5"/>
      <c r="R866" s="5"/>
      <c r="S866" s="5"/>
      <c r="T866" s="1651">
        <v>2.5</v>
      </c>
      <c r="U866" s="1585"/>
      <c r="V866" s="1652"/>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1646">
        <v>91400</v>
      </c>
      <c r="X867" s="1647"/>
      <c r="Y867" s="1647"/>
      <c r="Z867" s="1647"/>
      <c r="AA867" s="1647"/>
      <c r="AB867" s="1647"/>
      <c r="AC867" s="1648"/>
      <c r="AD867" s="533"/>
      <c r="AZ867" s="34"/>
      <c r="BA867" s="34"/>
      <c r="BB867" s="34"/>
      <c r="BC867" s="34"/>
    </row>
    <row r="868" spans="3:55" ht="12.9" customHeight="1">
      <c r="C868" s="2"/>
      <c r="J868" s="121" t="s">
        <v>1643</v>
      </c>
      <c r="K868" s="5"/>
      <c r="L868" s="5"/>
      <c r="M868" s="5"/>
      <c r="N868" s="5"/>
      <c r="O868" s="5"/>
      <c r="P868" s="5"/>
      <c r="Q868" s="5"/>
      <c r="R868" s="5"/>
      <c r="S868" s="5"/>
      <c r="T868" s="1651">
        <v>1</v>
      </c>
      <c r="U868" s="1585"/>
      <c r="V868" s="1652"/>
      <c r="W868" s="870"/>
      <c r="X868" s="871"/>
      <c r="Y868" s="871"/>
      <c r="Z868" s="871"/>
      <c r="AA868" s="871"/>
      <c r="AB868" s="871"/>
      <c r="AC868" s="872"/>
      <c r="AD868" s="533"/>
      <c r="AZ868" s="34"/>
      <c r="BA868" s="34"/>
      <c r="BB868" s="34"/>
      <c r="BC868" s="34"/>
    </row>
    <row r="869" spans="3:55" ht="12.9" customHeight="1">
      <c r="J869" s="45" t="s">
        <v>169</v>
      </c>
      <c r="K869" s="5"/>
      <c r="L869" s="5"/>
      <c r="M869" s="1632" t="s">
        <v>2738</v>
      </c>
      <c r="N869" s="1633"/>
      <c r="O869" s="1633"/>
      <c r="P869" s="1633"/>
      <c r="Q869" s="1633"/>
      <c r="R869" s="1633"/>
      <c r="S869" s="1633"/>
      <c r="T869" s="1633"/>
      <c r="U869" s="1633"/>
      <c r="V869" s="1641"/>
      <c r="W869" s="1646">
        <v>39600</v>
      </c>
      <c r="X869" s="1647"/>
      <c r="Y869" s="1647"/>
      <c r="Z869" s="1647"/>
      <c r="AA869" s="1647"/>
      <c r="AB869" s="1647"/>
      <c r="AC869" s="1648"/>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1653">
        <f>SUM(W865:W869)</f>
        <v>203000</v>
      </c>
      <c r="X870" s="1654"/>
      <c r="Y870" s="1654"/>
      <c r="Z870" s="1654"/>
      <c r="AA870" s="1654"/>
      <c r="AB870" s="1654"/>
      <c r="AC870" s="1655"/>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1646">
        <v>67500</v>
      </c>
      <c r="X872" s="1647"/>
      <c r="Y872" s="1647"/>
      <c r="Z872" s="1647"/>
      <c r="AA872" s="1647"/>
      <c r="AB872" s="1647"/>
      <c r="AC872" s="1648"/>
      <c r="AU872" s="14"/>
      <c r="AZ872" s="34"/>
      <c r="BA872" s="34"/>
      <c r="BB872" s="34"/>
      <c r="BC872" s="34"/>
    </row>
    <row r="873" spans="3:55" ht="12.9" customHeight="1">
      <c r="J873" s="512"/>
      <c r="AU873" s="14"/>
      <c r="AZ873" s="34"/>
      <c r="BA873" s="34"/>
      <c r="BB873" s="34"/>
      <c r="BC873" s="34"/>
    </row>
    <row r="874" spans="3:55" ht="12.9" customHeight="1">
      <c r="C874" s="2" t="s">
        <v>389</v>
      </c>
      <c r="J874" s="45" t="s">
        <v>616</v>
      </c>
      <c r="K874" s="5"/>
      <c r="L874" s="5"/>
      <c r="M874" s="5"/>
      <c r="N874" s="5"/>
      <c r="O874" s="5"/>
      <c r="P874" s="5"/>
      <c r="Q874" s="5"/>
      <c r="R874" s="5"/>
      <c r="S874" s="5"/>
      <c r="T874" s="5"/>
      <c r="U874" s="5"/>
      <c r="V874" s="46"/>
      <c r="W874" s="1630">
        <v>7500</v>
      </c>
      <c r="X874" s="1630"/>
      <c r="Y874" s="1630"/>
      <c r="Z874" s="1630"/>
      <c r="AA874" s="1630"/>
      <c r="AB874" s="1630"/>
      <c r="AC874" s="1630"/>
      <c r="AU874" s="14"/>
      <c r="AZ874" s="34"/>
      <c r="BA874" s="34"/>
      <c r="BB874" s="34"/>
      <c r="BC874" s="34"/>
    </row>
    <row r="875" spans="3:55" ht="12.9" customHeight="1">
      <c r="J875" s="45" t="s">
        <v>521</v>
      </c>
      <c r="K875" s="5"/>
      <c r="L875" s="5"/>
      <c r="M875" s="5"/>
      <c r="N875" s="5"/>
      <c r="O875" s="5"/>
      <c r="P875" s="5"/>
      <c r="Q875" s="5"/>
      <c r="R875" s="5"/>
      <c r="S875" s="5"/>
      <c r="T875" s="5"/>
      <c r="U875" s="5"/>
      <c r="V875" s="46"/>
      <c r="W875" s="1630">
        <v>119500</v>
      </c>
      <c r="X875" s="1630"/>
      <c r="Y875" s="1630"/>
      <c r="Z875" s="1630"/>
      <c r="AA875" s="1630"/>
      <c r="AB875" s="1630"/>
      <c r="AC875" s="1630"/>
      <c r="AU875" s="4"/>
      <c r="AZ875" s="34"/>
      <c r="BA875" s="34"/>
      <c r="BB875" s="34"/>
      <c r="BC875" s="34"/>
    </row>
    <row r="876" spans="3:55" ht="12.9" customHeight="1">
      <c r="J876" s="45" t="s">
        <v>520</v>
      </c>
      <c r="K876" s="5"/>
      <c r="L876" s="5"/>
      <c r="M876" s="5"/>
      <c r="N876" s="5"/>
      <c r="O876" s="5"/>
      <c r="P876" s="5"/>
      <c r="Q876" s="5"/>
      <c r="R876" s="5"/>
      <c r="S876" s="5"/>
      <c r="T876" s="5"/>
      <c r="U876" s="5"/>
      <c r="V876" s="46"/>
      <c r="W876" s="1630">
        <v>78300</v>
      </c>
      <c r="X876" s="1630"/>
      <c r="Y876" s="1630"/>
      <c r="Z876" s="1630"/>
      <c r="AA876" s="1630"/>
      <c r="AB876" s="1630"/>
      <c r="AC876" s="1630"/>
      <c r="AU876" s="4"/>
      <c r="AZ876" s="34"/>
      <c r="BA876" s="34"/>
      <c r="BB876" s="34"/>
      <c r="BC876" s="34"/>
    </row>
    <row r="877" spans="3:55" ht="12.9" customHeight="1">
      <c r="J877" s="45" t="s">
        <v>519</v>
      </c>
      <c r="K877" s="5"/>
      <c r="L877" s="5"/>
      <c r="M877" s="5"/>
      <c r="N877" s="5"/>
      <c r="O877" s="5"/>
      <c r="P877" s="5"/>
      <c r="Q877" s="5"/>
      <c r="R877" s="5"/>
      <c r="S877" s="5"/>
      <c r="T877" s="5"/>
      <c r="U877" s="5"/>
      <c r="V877" s="46"/>
      <c r="W877" s="1630">
        <v>2000</v>
      </c>
      <c r="X877" s="1630"/>
      <c r="Y877" s="1630"/>
      <c r="Z877" s="1630"/>
      <c r="AA877" s="1630"/>
      <c r="AB877" s="1630"/>
      <c r="AC877" s="1630"/>
      <c r="AU877" s="4"/>
      <c r="AZ877" s="34"/>
      <c r="BA877" s="34"/>
      <c r="BB877" s="34"/>
      <c r="BC877" s="34"/>
    </row>
    <row r="878" spans="3:55" ht="12.9" customHeight="1">
      <c r="J878" s="45" t="s">
        <v>518</v>
      </c>
      <c r="K878" s="5"/>
      <c r="L878" s="5"/>
      <c r="M878" s="5"/>
      <c r="N878" s="5"/>
      <c r="O878" s="5"/>
      <c r="P878" s="5"/>
      <c r="Q878" s="5"/>
      <c r="R878" s="5"/>
      <c r="S878" s="5"/>
      <c r="T878" s="5"/>
      <c r="U878" s="5"/>
      <c r="V878" s="46"/>
      <c r="W878" s="1630">
        <v>65300</v>
      </c>
      <c r="X878" s="1630"/>
      <c r="Y878" s="1630"/>
      <c r="Z878" s="1630"/>
      <c r="AA878" s="1630"/>
      <c r="AB878" s="1630"/>
      <c r="AC878" s="1630"/>
      <c r="AU878" s="4"/>
      <c r="AZ878" s="34"/>
      <c r="BA878" s="34"/>
      <c r="BB878" s="34"/>
      <c r="BC878" s="34"/>
    </row>
    <row r="879" spans="3:55" ht="12.9" customHeight="1">
      <c r="J879" s="45" t="s">
        <v>517</v>
      </c>
      <c r="K879" s="5"/>
      <c r="L879" s="5"/>
      <c r="M879" s="5"/>
      <c r="N879" s="5"/>
      <c r="O879" s="5"/>
      <c r="P879" s="5"/>
      <c r="Q879" s="5"/>
      <c r="R879" s="5"/>
      <c r="S879" s="5"/>
      <c r="T879" s="5"/>
      <c r="U879" s="5"/>
      <c r="V879" s="46"/>
      <c r="W879" s="1630">
        <v>3500</v>
      </c>
      <c r="X879" s="1630"/>
      <c r="Y879" s="1630"/>
      <c r="Z879" s="1630"/>
      <c r="AA879" s="1630"/>
      <c r="AB879" s="1630"/>
      <c r="AC879" s="1630"/>
      <c r="AU879" s="4"/>
      <c r="AZ879" s="34"/>
      <c r="BA879" s="34"/>
      <c r="BB879" s="34"/>
      <c r="BC879" s="34"/>
    </row>
    <row r="880" spans="3:55" ht="12.9" customHeight="1">
      <c r="J880" s="45" t="s">
        <v>169</v>
      </c>
      <c r="K880" s="5"/>
      <c r="L880" s="5"/>
      <c r="M880" s="1632" t="s">
        <v>2739</v>
      </c>
      <c r="N880" s="1633"/>
      <c r="O880" s="1633"/>
      <c r="P880" s="1633"/>
      <c r="Q880" s="1633"/>
      <c r="R880" s="1633"/>
      <c r="S880" s="1633"/>
      <c r="T880" s="1633"/>
      <c r="U880" s="1633"/>
      <c r="V880" s="1641"/>
      <c r="W880" s="1630">
        <v>91400</v>
      </c>
      <c r="X880" s="1630"/>
      <c r="Y880" s="1630"/>
      <c r="Z880" s="1630"/>
      <c r="AA880" s="1630"/>
      <c r="AB880" s="1630"/>
      <c r="AC880" s="1630"/>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1600">
        <f>SUM(W874:W880)</f>
        <v>367500</v>
      </c>
      <c r="X881" s="1600"/>
      <c r="Y881" s="1600"/>
      <c r="Z881" s="1600"/>
      <c r="AA881" s="1600"/>
      <c r="AB881" s="1600"/>
      <c r="AC881" s="1600"/>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1241</v>
      </c>
      <c r="J883" s="45" t="s">
        <v>169</v>
      </c>
      <c r="K883" s="5"/>
      <c r="L883" s="5"/>
      <c r="M883" s="1632" t="s">
        <v>333</v>
      </c>
      <c r="N883" s="1633"/>
      <c r="O883" s="1633"/>
      <c r="P883" s="1633"/>
      <c r="Q883" s="1633"/>
      <c r="R883" s="1633"/>
      <c r="S883" s="1633"/>
      <c r="T883" s="1633"/>
      <c r="U883" s="1633"/>
      <c r="V883" s="1641"/>
      <c r="W883" s="1490"/>
      <c r="X883" s="1345"/>
      <c r="Y883" s="1345"/>
      <c r="Z883" s="1345"/>
      <c r="AA883" s="1345"/>
      <c r="AB883" s="1345"/>
      <c r="AC883" s="1346"/>
      <c r="AD883" s="533"/>
      <c r="AV883" s="14"/>
      <c r="AW883" s="14"/>
      <c r="AX883" s="14"/>
      <c r="AY883" s="14"/>
      <c r="AZ883" s="34"/>
      <c r="BA883" s="34"/>
      <c r="BB883" s="34"/>
      <c r="BC883" s="34"/>
    </row>
    <row r="884" spans="3:55" ht="12.9" customHeight="1">
      <c r="C884" s="2" t="s">
        <v>1242</v>
      </c>
      <c r="J884" s="45" t="s">
        <v>169</v>
      </c>
      <c r="K884" s="5"/>
      <c r="L884" s="5"/>
      <c r="M884" s="1632" t="s">
        <v>333</v>
      </c>
      <c r="N884" s="1633"/>
      <c r="O884" s="1633"/>
      <c r="P884" s="1633"/>
      <c r="Q884" s="1633"/>
      <c r="R884" s="1633"/>
      <c r="S884" s="1633"/>
      <c r="T884" s="1633"/>
      <c r="U884" s="1633"/>
      <c r="V884" s="1641"/>
      <c r="W884" s="1490"/>
      <c r="X884" s="1345"/>
      <c r="Y884" s="1345"/>
      <c r="Z884" s="1345"/>
      <c r="AA884" s="1345"/>
      <c r="AB884" s="1345"/>
      <c r="AC884" s="1346"/>
      <c r="AD884" s="533"/>
      <c r="AV884" s="14"/>
      <c r="AW884" s="14"/>
      <c r="AX884" s="14"/>
      <c r="AY884" s="14"/>
      <c r="AZ884" s="34"/>
      <c r="BA884" s="34"/>
      <c r="BB884" s="34"/>
      <c r="BC884" s="34"/>
    </row>
    <row r="885" spans="3:55" ht="12.9" customHeight="1">
      <c r="J885" s="45" t="s">
        <v>169</v>
      </c>
      <c r="K885" s="5"/>
      <c r="L885" s="5"/>
      <c r="M885" s="1632" t="s">
        <v>333</v>
      </c>
      <c r="N885" s="1633"/>
      <c r="O885" s="1633"/>
      <c r="P885" s="1633"/>
      <c r="Q885" s="1633"/>
      <c r="R885" s="1633"/>
      <c r="S885" s="1633"/>
      <c r="T885" s="1633"/>
      <c r="U885" s="1633"/>
      <c r="V885" s="1641"/>
      <c r="W885" s="1490"/>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1632" t="s">
        <v>333</v>
      </c>
      <c r="N886" s="1633"/>
      <c r="O886" s="1633"/>
      <c r="P886" s="1633"/>
      <c r="Q886" s="1633"/>
      <c r="R886" s="1633"/>
      <c r="S886" s="1633"/>
      <c r="T886" s="1633"/>
      <c r="U886" s="1633"/>
      <c r="V886" s="1641"/>
      <c r="W886" s="1490"/>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1632" t="s">
        <v>333</v>
      </c>
      <c r="N887" s="1633"/>
      <c r="O887" s="1633"/>
      <c r="P887" s="1633"/>
      <c r="Q887" s="1633"/>
      <c r="R887" s="1633"/>
      <c r="S887" s="1633"/>
      <c r="T887" s="1633"/>
      <c r="U887" s="1633"/>
      <c r="V887" s="1641"/>
      <c r="W887" s="1490"/>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487">
        <f>SUM(W883:W887)</f>
        <v>0</v>
      </c>
      <c r="X888" s="1488"/>
      <c r="Y888" s="1488"/>
      <c r="Z888" s="1488"/>
      <c r="AA888" s="1488"/>
      <c r="AB888" s="1488"/>
      <c r="AC888" s="1489"/>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88">
        <f>W855+W863+W870+W872+W881+W888+W857</f>
        <v>1018249</v>
      </c>
      <c r="AD892" s="1488"/>
      <c r="AE892" s="1488"/>
      <c r="AF892" s="1488"/>
      <c r="AG892" s="1488"/>
      <c r="AH892" s="1489"/>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42">
        <f>O805+O785+G761</f>
        <v>150</v>
      </c>
      <c r="AD893" s="1642"/>
      <c r="AE893" s="1642"/>
      <c r="AF893" s="1642"/>
      <c r="AG893" s="1642"/>
      <c r="AH893" s="1643"/>
      <c r="AL893" s="4"/>
      <c r="AM893" s="4"/>
      <c r="AN893" s="4"/>
      <c r="AO893" s="4"/>
      <c r="AP893" s="4"/>
      <c r="AQ893" s="4"/>
      <c r="AR893" s="4"/>
      <c r="AS893" s="4"/>
      <c r="AT893" s="4"/>
      <c r="AZ893" s="34"/>
      <c r="BA893" s="34"/>
      <c r="BB893" s="34"/>
      <c r="BC893" s="34"/>
    </row>
    <row r="894" spans="3:55" ht="12.9" customHeight="1">
      <c r="C894" s="41"/>
      <c r="D894" s="42"/>
      <c r="E894" s="1638" t="s">
        <v>32</v>
      </c>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600">
        <f>IF(ISERROR((ROUNDDOWN(AC892/AC893,0))),0,(ROUNDDOWN(AC892/AC893,0)))</f>
        <v>6788</v>
      </c>
      <c r="AD894" s="1600"/>
      <c r="AE894" s="1600"/>
      <c r="AF894" s="1600"/>
      <c r="AG894" s="1600"/>
      <c r="AH894" s="1600"/>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644">
        <v>560645</v>
      </c>
      <c r="AD895" s="1645"/>
      <c r="AE895" s="1645"/>
      <c r="AF895" s="1645"/>
      <c r="AG895" s="1645"/>
      <c r="AH895" s="1645"/>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46"/>
      <c r="AD896" s="1630"/>
      <c r="AE896" s="1630"/>
      <c r="AF896" s="1630"/>
      <c r="AG896" s="1630"/>
      <c r="AH896" s="1630"/>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20000</v>
      </c>
      <c r="AD897" s="1345"/>
      <c r="AE897" s="1345"/>
      <c r="AF897" s="1345"/>
      <c r="AG897" s="1345"/>
      <c r="AH897" s="1346"/>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75000</v>
      </c>
      <c r="AD898" s="1345"/>
      <c r="AE898" s="1345"/>
      <c r="AF898" s="1345"/>
      <c r="AG898" s="1345"/>
      <c r="AH898" s="1346"/>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86">
        <v>26500</v>
      </c>
      <c r="AD899" s="1587"/>
      <c r="AE899" s="1587"/>
      <c r="AF899" s="1587"/>
      <c r="AG899" s="1587"/>
      <c r="AH899" s="1588"/>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13750</v>
      </c>
      <c r="AD900" s="1345"/>
      <c r="AE900" s="1345"/>
      <c r="AF900" s="1345"/>
      <c r="AG900" s="1345"/>
      <c r="AH900" s="1346"/>
      <c r="AZ900" s="34"/>
      <c r="BA900" s="34"/>
      <c r="BB900" s="34"/>
      <c r="BC900" s="34"/>
    </row>
    <row r="901" spans="1:58" ht="12.9" hidden="1" customHeight="1">
      <c r="C901" s="1428" t="s">
        <v>2186</v>
      </c>
      <c r="D901" s="1429"/>
      <c r="E901" s="1429"/>
      <c r="F901" s="1429"/>
      <c r="G901" s="1429"/>
      <c r="H901" s="1429"/>
      <c r="I901" s="1429"/>
      <c r="J901" s="1429"/>
      <c r="K901" s="1429"/>
      <c r="L901" s="1429"/>
      <c r="M901" s="1429"/>
      <c r="N901" s="1429"/>
      <c r="O901" s="1429"/>
      <c r="P901" s="1429"/>
      <c r="Q901" s="1429"/>
      <c r="R901" s="1429"/>
      <c r="S901" s="1429"/>
      <c r="T901" s="1429"/>
      <c r="U901" s="1429"/>
      <c r="V901" s="1429"/>
      <c r="W901" s="1429"/>
      <c r="X901" s="1429"/>
      <c r="Y901" s="1429"/>
      <c r="Z901" s="1429"/>
      <c r="AA901" s="1429"/>
      <c r="AB901" s="1431"/>
      <c r="AC901" s="1345"/>
      <c r="AD901" s="1345"/>
      <c r="AE901" s="1345"/>
      <c r="AF901" s="1345"/>
      <c r="AG901" s="1345"/>
      <c r="AH901" s="1346"/>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45">
        <v>146000</v>
      </c>
      <c r="AD902" s="1345"/>
      <c r="AE902" s="1345"/>
      <c r="AF902" s="1345"/>
      <c r="AG902" s="1345"/>
      <c r="AH902" s="1346"/>
      <c r="AZ902" s="34"/>
      <c r="BA902" s="34"/>
      <c r="BB902" s="34"/>
      <c r="BC902" s="34"/>
    </row>
    <row r="903" spans="1:58" ht="12.9" customHeight="1">
      <c r="C903" s="1700" t="s">
        <v>2784</v>
      </c>
      <c r="D903" s="1701"/>
      <c r="E903" s="1701"/>
      <c r="F903" s="1701"/>
      <c r="G903" s="1701"/>
      <c r="H903" s="1701"/>
      <c r="I903" s="1701"/>
      <c r="J903" s="1701"/>
      <c r="K903" s="1701"/>
      <c r="L903" s="1701"/>
      <c r="M903" s="1701"/>
      <c r="N903" s="1701"/>
      <c r="O903" s="1701"/>
      <c r="P903" s="1701"/>
      <c r="Q903" s="1701"/>
      <c r="R903" s="1701"/>
      <c r="S903" s="1701"/>
      <c r="T903" s="1701"/>
      <c r="U903" s="1701"/>
      <c r="V903" s="1701"/>
      <c r="W903" s="1701"/>
      <c r="X903" s="1701"/>
      <c r="Y903" s="1701"/>
      <c r="Z903" s="1701"/>
      <c r="AA903" s="1701"/>
      <c r="AB903" s="1702"/>
      <c r="AC903" s="1630">
        <v>5500</v>
      </c>
      <c r="AD903" s="1630"/>
      <c r="AE903" s="1630"/>
      <c r="AF903" s="1630"/>
      <c r="AG903" s="1630"/>
      <c r="AH903" s="1630"/>
      <c r="AZ903" s="34"/>
      <c r="BA903" s="34"/>
      <c r="BB903" s="34"/>
      <c r="BC903" s="34"/>
    </row>
    <row r="904" spans="1:58" ht="12.9" customHeight="1">
      <c r="C904" s="1700" t="s">
        <v>2785</v>
      </c>
      <c r="D904" s="1701"/>
      <c r="E904" s="1701"/>
      <c r="F904" s="1701"/>
      <c r="G904" s="1701"/>
      <c r="H904" s="1701"/>
      <c r="I904" s="1701"/>
      <c r="J904" s="1701"/>
      <c r="K904" s="1701"/>
      <c r="L904" s="1701"/>
      <c r="M904" s="1701"/>
      <c r="N904" s="1701"/>
      <c r="O904" s="1701"/>
      <c r="P904" s="1701"/>
      <c r="Q904" s="1701"/>
      <c r="R904" s="1701"/>
      <c r="S904" s="1701"/>
      <c r="T904" s="1701"/>
      <c r="U904" s="1701"/>
      <c r="V904" s="1701"/>
      <c r="W904" s="1701"/>
      <c r="X904" s="1701"/>
      <c r="Y904" s="1701"/>
      <c r="Z904" s="1701"/>
      <c r="AA904" s="1701"/>
      <c r="AB904" s="1702"/>
      <c r="AC904" s="1630">
        <v>1</v>
      </c>
      <c r="AD904" s="1630"/>
      <c r="AE904" s="1630"/>
      <c r="AF904" s="1630"/>
      <c r="AG904" s="1630"/>
      <c r="AH904" s="1630"/>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490"/>
      <c r="AA908" s="1345"/>
      <c r="AB908" s="1345"/>
      <c r="AC908" s="1345"/>
      <c r="AD908" s="1345"/>
      <c r="AE908" s="1346"/>
      <c r="AF908" s="533"/>
      <c r="AZ908" s="34"/>
      <c r="BB908" s="30"/>
      <c r="BC908" s="812"/>
      <c r="BD908" s="1634"/>
      <c r="BE908" s="1634"/>
      <c r="BF908" s="14"/>
    </row>
    <row r="909" spans="1:58" ht="12.9" customHeight="1">
      <c r="H909" s="121" t="s">
        <v>238</v>
      </c>
      <c r="I909" s="5"/>
      <c r="J909" s="5"/>
      <c r="K909" s="5"/>
      <c r="L909" s="5"/>
      <c r="M909" s="5"/>
      <c r="N909" s="5"/>
      <c r="O909" s="5"/>
      <c r="P909" s="5"/>
      <c r="Q909" s="5"/>
      <c r="R909" s="5"/>
      <c r="S909" s="5"/>
      <c r="T909" s="5"/>
      <c r="U909" s="5"/>
      <c r="V909" s="5"/>
      <c r="W909" s="5"/>
      <c r="X909" s="5"/>
      <c r="Y909" s="5"/>
      <c r="Z909" s="1490"/>
      <c r="AA909" s="1345"/>
      <c r="AB909" s="1345"/>
      <c r="AC909" s="1345"/>
      <c r="AD909" s="1345"/>
      <c r="AE909" s="1346"/>
      <c r="AZ909" s="34"/>
      <c r="BB909" s="30"/>
      <c r="BC909" s="812"/>
      <c r="BD909" s="1634"/>
      <c r="BE909" s="1634"/>
      <c r="BF909" s="14"/>
    </row>
    <row r="910" spans="1:58" ht="12.9" customHeight="1">
      <c r="H910" s="121" t="s">
        <v>239</v>
      </c>
      <c r="I910" s="5"/>
      <c r="J910" s="5"/>
      <c r="K910" s="5"/>
      <c r="L910" s="5"/>
      <c r="M910" s="5"/>
      <c r="N910" s="5"/>
      <c r="O910" s="5"/>
      <c r="P910" s="5"/>
      <c r="Q910" s="5"/>
      <c r="R910" s="5"/>
      <c r="S910" s="5"/>
      <c r="T910" s="5"/>
      <c r="U910" s="5"/>
      <c r="V910" s="5"/>
      <c r="W910" s="5"/>
      <c r="X910" s="5"/>
      <c r="Y910" s="5"/>
      <c r="Z910" s="1490"/>
      <c r="AA910" s="1345"/>
      <c r="AB910" s="1345"/>
      <c r="AC910" s="1345"/>
      <c r="AD910" s="1345"/>
      <c r="AE910" s="1346"/>
      <c r="AZ910" s="34"/>
      <c r="BB910" s="30"/>
      <c r="BC910" s="812"/>
      <c r="BD910" s="1635"/>
      <c r="BE910" s="1635"/>
      <c r="BF910" s="14"/>
    </row>
    <row r="911" spans="1:58" ht="12.9" customHeight="1">
      <c r="H911" s="45"/>
      <c r="I911" s="5"/>
      <c r="J911" s="5"/>
      <c r="K911" s="5"/>
      <c r="L911" s="5"/>
      <c r="M911" s="5"/>
      <c r="N911" s="5"/>
      <c r="O911" s="5"/>
      <c r="P911" s="5"/>
      <c r="Q911" s="5"/>
      <c r="R911" s="5"/>
      <c r="S911" s="5"/>
      <c r="T911" s="5"/>
      <c r="U911" s="5"/>
      <c r="V911" s="5"/>
      <c r="W911" s="5"/>
      <c r="X911" s="5"/>
      <c r="Y911" s="181" t="s">
        <v>240</v>
      </c>
      <c r="Z911" s="1487">
        <f>Z908-(Z909+Z910)</f>
        <v>0</v>
      </c>
      <c r="AA911" s="1488"/>
      <c r="AB911" s="1488"/>
      <c r="AC911" s="1488"/>
      <c r="AD911" s="1488"/>
      <c r="AE911" s="1489"/>
      <c r="AZ911" s="34"/>
      <c r="BB911" s="30"/>
      <c r="BC911" s="812"/>
      <c r="BD911" s="1635"/>
      <c r="BE911" s="1635"/>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5"/>
      <c r="BE912" s="1635"/>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4"/>
      <c r="BE913" s="1635"/>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7"/>
      <c r="BE914" s="1637"/>
      <c r="BF914" s="1637"/>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6"/>
      <c r="BE915" s="1636"/>
      <c r="BF915" s="1636"/>
    </row>
    <row r="916" spans="1:58" ht="12.9"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5"/>
      <c r="BE916" s="1635"/>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4"/>
      <c r="BE917" s="1635"/>
      <c r="BF917" s="14"/>
    </row>
    <row r="918" spans="1:58" ht="12.9" customHeight="1">
      <c r="AZ918" s="34"/>
      <c r="BB918" s="30"/>
      <c r="BC918" s="812"/>
    </row>
    <row r="919" spans="1:58" ht="12.9" customHeight="1">
      <c r="A919" s="1534" t="s">
        <v>96</v>
      </c>
      <c r="B919" s="1534"/>
      <c r="C919" s="1534"/>
      <c r="D919" s="1534"/>
      <c r="E919" s="1534"/>
      <c r="F919" s="1534"/>
      <c r="G919" s="1534"/>
      <c r="H919" s="1534"/>
      <c r="I919" s="1534"/>
      <c r="J919" s="1534"/>
      <c r="K919" s="1534"/>
      <c r="L919" s="1534"/>
      <c r="M919" s="1534"/>
      <c r="N919" s="1534"/>
      <c r="O919" s="1534"/>
      <c r="P919" s="1534"/>
      <c r="Q919" s="1534"/>
      <c r="R919" s="1534"/>
      <c r="S919" s="1534"/>
      <c r="T919" s="1534"/>
      <c r="U919" s="1534"/>
      <c r="V919" s="1534"/>
      <c r="W919" s="1534"/>
      <c r="X919" s="1534"/>
      <c r="Y919" s="1534"/>
      <c r="Z919" s="1534"/>
      <c r="AA919" s="1534"/>
      <c r="AB919" s="1534"/>
      <c r="AC919" s="1534"/>
      <c r="AD919" s="1534"/>
      <c r="AE919" s="1534"/>
      <c r="AF919" s="1534"/>
      <c r="AG919" s="1534"/>
      <c r="AH919" s="1534"/>
      <c r="AI919" s="1534"/>
      <c r="AJ919" s="1534"/>
      <c r="AK919" s="1534"/>
      <c r="AL919" s="1534"/>
      <c r="AM919" s="1534"/>
      <c r="AN919" s="1534"/>
      <c r="AO919" s="1534"/>
      <c r="AP919" s="1534"/>
      <c r="AQ919" s="1534"/>
      <c r="AR919" s="1534"/>
      <c r="AS919" s="1534"/>
      <c r="AT919" s="1534"/>
      <c r="AZ919" s="34"/>
      <c r="BA919" s="34"/>
      <c r="BB919" s="30"/>
      <c r="BC919" s="30"/>
      <c r="BD919" s="1634"/>
      <c r="BE919" s="1635"/>
      <c r="BF919" s="907"/>
    </row>
    <row r="920" spans="1:58" ht="12.9" customHeight="1">
      <c r="A920" s="1534"/>
      <c r="B920" s="1534"/>
      <c r="C920" s="1534"/>
      <c r="D920" s="1534"/>
      <c r="E920" s="1534"/>
      <c r="F920" s="1534"/>
      <c r="G920" s="1534"/>
      <c r="H920" s="1534"/>
      <c r="I920" s="1534"/>
      <c r="J920" s="1534"/>
      <c r="K920" s="1534"/>
      <c r="L920" s="1534"/>
      <c r="M920" s="1534"/>
      <c r="N920" s="1534"/>
      <c r="O920" s="1534"/>
      <c r="P920" s="1534"/>
      <c r="Q920" s="1534"/>
      <c r="R920" s="1534"/>
      <c r="S920" s="1534"/>
      <c r="T920" s="1534"/>
      <c r="U920" s="1534"/>
      <c r="V920" s="1534"/>
      <c r="W920" s="1534"/>
      <c r="X920" s="1534"/>
      <c r="Y920" s="1534"/>
      <c r="Z920" s="1534"/>
      <c r="AA920" s="1534"/>
      <c r="AB920" s="1534"/>
      <c r="AC920" s="1534"/>
      <c r="AD920" s="1534"/>
      <c r="AE920" s="1534"/>
      <c r="AF920" s="1534"/>
      <c r="AG920" s="1534"/>
      <c r="AH920" s="1534"/>
      <c r="AI920" s="1534"/>
      <c r="AJ920" s="1534"/>
      <c r="AK920" s="1534"/>
      <c r="AL920" s="1534"/>
      <c r="AM920" s="1534"/>
      <c r="AN920" s="1534"/>
      <c r="AO920" s="1534"/>
      <c r="AP920" s="1534"/>
      <c r="AQ920" s="1534"/>
      <c r="AR920" s="1534"/>
      <c r="AS920" s="1534"/>
      <c r="AT920" s="1534"/>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694" t="s">
        <v>790</v>
      </c>
      <c r="G924" s="1695"/>
      <c r="H924" s="1695"/>
      <c r="I924" s="1695"/>
      <c r="J924" s="1695"/>
      <c r="K924" s="1695"/>
      <c r="L924" s="1695"/>
      <c r="M924" s="1695"/>
      <c r="N924" s="1695"/>
      <c r="O924" s="1695"/>
      <c r="P924" s="1695"/>
      <c r="Q924" s="1695"/>
      <c r="R924" s="1695"/>
      <c r="S924" s="1695"/>
      <c r="T924" s="1696"/>
      <c r="U924" s="1780" t="s">
        <v>31</v>
      </c>
      <c r="V924" s="1703"/>
      <c r="W924" s="1703"/>
      <c r="X924" s="1703"/>
      <c r="Y924" s="1703"/>
      <c r="Z924" s="1703"/>
      <c r="AA924" s="43"/>
      <c r="AB924" s="105"/>
      <c r="AC924" s="105"/>
      <c r="AD924" s="105"/>
      <c r="AE924" s="105"/>
      <c r="AF924" s="106"/>
      <c r="AZ924" s="34"/>
      <c r="BA924" s="34"/>
      <c r="BB924" s="34"/>
      <c r="BC924" s="34"/>
    </row>
    <row r="925" spans="1:58" ht="12.9" customHeight="1">
      <c r="B925" s="2"/>
      <c r="F925" s="1731" t="s">
        <v>816</v>
      </c>
      <c r="G925" s="1732"/>
      <c r="H925" s="1732"/>
      <c r="I925" s="1732"/>
      <c r="J925" s="1732"/>
      <c r="K925" s="1732"/>
      <c r="L925" s="1732"/>
      <c r="M925" s="1732"/>
      <c r="N925" s="1732"/>
      <c r="O925" s="1732"/>
      <c r="P925" s="1732"/>
      <c r="Q925" s="1732"/>
      <c r="R925" s="1732"/>
      <c r="S925" s="1732"/>
      <c r="T925" s="1733"/>
      <c r="U925" s="1731"/>
      <c r="V925" s="1732"/>
      <c r="W925" s="1732"/>
      <c r="X925" s="1732"/>
      <c r="Y925" s="1732"/>
      <c r="Z925" s="1732"/>
      <c r="AA925" s="44"/>
      <c r="AB925" s="4"/>
      <c r="AC925" s="4"/>
      <c r="AD925" s="4"/>
      <c r="AE925" s="4"/>
      <c r="AF925" s="107"/>
      <c r="AZ925" s="34"/>
      <c r="BA925" s="34"/>
      <c r="BB925" s="34"/>
      <c r="BC925" s="34"/>
    </row>
    <row r="926" spans="1:58" ht="12.9" customHeight="1">
      <c r="B926" s="2"/>
      <c r="F926" s="1734"/>
      <c r="G926" s="1705"/>
      <c r="H926" s="1705"/>
      <c r="I926" s="1705"/>
      <c r="J926" s="1705"/>
      <c r="K926" s="1705"/>
      <c r="L926" s="1705"/>
      <c r="M926" s="1705"/>
      <c r="N926" s="1705"/>
      <c r="O926" s="1705"/>
      <c r="P926" s="1705"/>
      <c r="Q926" s="1705"/>
      <c r="R926" s="1705"/>
      <c r="S926" s="1705"/>
      <c r="T926" s="1706"/>
      <c r="U926" s="1734"/>
      <c r="V926" s="1705"/>
      <c r="W926" s="1705"/>
      <c r="X926" s="1705"/>
      <c r="Y926" s="1705"/>
      <c r="Z926" s="1705"/>
      <c r="AA926" s="108"/>
      <c r="AB926" s="1435" t="s">
        <v>390</v>
      </c>
      <c r="AC926" s="1435"/>
      <c r="AD926" s="1435"/>
      <c r="AE926" s="1435"/>
      <c r="AF926" s="109"/>
      <c r="AZ926" s="34"/>
      <c r="BA926" s="34"/>
      <c r="BB926" s="34"/>
      <c r="BC926" s="34"/>
    </row>
    <row r="927" spans="1:58" ht="12.9" customHeight="1">
      <c r="B927" s="2"/>
      <c r="F927" s="45" t="s">
        <v>756</v>
      </c>
      <c r="G927" s="48"/>
      <c r="H927" s="48"/>
      <c r="I927" s="48"/>
      <c r="J927" s="48"/>
      <c r="K927" s="48"/>
      <c r="L927" s="48"/>
      <c r="M927" s="48"/>
      <c r="N927" s="48"/>
      <c r="O927" s="48"/>
      <c r="P927" s="48"/>
      <c r="Q927" s="48"/>
      <c r="R927" s="48"/>
      <c r="S927" s="48"/>
      <c r="T927" s="49"/>
      <c r="U927" s="1623" t="s">
        <v>544</v>
      </c>
      <c r="V927" s="1394"/>
      <c r="W927" s="1394"/>
      <c r="X927" s="1394"/>
      <c r="Y927" s="1394"/>
      <c r="Z927" s="1395"/>
      <c r="AA927" s="1624">
        <v>28600000</v>
      </c>
      <c r="AB927" s="1520"/>
      <c r="AC927" s="1520"/>
      <c r="AD927" s="1520"/>
      <c r="AE927" s="1520"/>
      <c r="AF927" s="1625"/>
      <c r="AG927" s="1191" t="str">
        <f>IF(NOT(AA927=AW927),"!","")</f>
        <v/>
      </c>
      <c r="AH927" s="3"/>
      <c r="AW927" s="1449">
        <f>SUMIF($M$562:$M$573,"Loan, Tax-Exempt",$AM$562:$AM$573)</f>
        <v>28600000</v>
      </c>
      <c r="AX927" s="1449"/>
      <c r="AY927" s="1449"/>
      <c r="AZ927" s="3" t="s">
        <v>2538</v>
      </c>
      <c r="BA927" s="34"/>
      <c r="BB927" s="34"/>
      <c r="BC927" s="34"/>
    </row>
    <row r="928" spans="1:58" ht="12.9" customHeight="1">
      <c r="B928" s="2"/>
      <c r="F928" s="66" t="s">
        <v>673</v>
      </c>
      <c r="G928" s="48"/>
      <c r="H928" s="48"/>
      <c r="I928" s="48"/>
      <c r="J928" s="48"/>
      <c r="K928" s="48"/>
      <c r="L928" s="48"/>
      <c r="M928" s="48"/>
      <c r="N928" s="48"/>
      <c r="O928" s="48"/>
      <c r="P928" s="48"/>
      <c r="Q928" s="48"/>
      <c r="R928" s="48"/>
      <c r="S928" s="48"/>
      <c r="T928" s="49"/>
      <c r="U928" s="1623" t="s">
        <v>544</v>
      </c>
      <c r="V928" s="1394"/>
      <c r="W928" s="1394"/>
      <c r="X928" s="1394"/>
      <c r="Y928" s="1394"/>
      <c r="Z928" s="1395"/>
      <c r="AA928" s="1624">
        <v>45976861</v>
      </c>
      <c r="AB928" s="1520"/>
      <c r="AC928" s="1520"/>
      <c r="AD928" s="1520"/>
      <c r="AE928" s="1520"/>
      <c r="AF928" s="1625"/>
      <c r="AZ928" s="34"/>
      <c r="BA928" s="34"/>
      <c r="BB928" s="34"/>
      <c r="BC928" s="34"/>
    </row>
    <row r="929" spans="6:55" ht="12.9" customHeight="1">
      <c r="F929" s="45" t="s">
        <v>799</v>
      </c>
      <c r="G929" s="5"/>
      <c r="H929" s="5"/>
      <c r="I929" s="5"/>
      <c r="J929" s="5"/>
      <c r="K929" s="5"/>
      <c r="L929" s="5"/>
      <c r="M929" s="5"/>
      <c r="N929" s="5"/>
      <c r="O929" s="5"/>
      <c r="P929" s="5"/>
      <c r="Q929" s="5"/>
      <c r="R929" s="5"/>
      <c r="S929" s="5"/>
      <c r="T929" s="46"/>
      <c r="U929" s="1623" t="s">
        <v>590</v>
      </c>
      <c r="V929" s="1394"/>
      <c r="W929" s="1394"/>
      <c r="X929" s="1394"/>
      <c r="Y929" s="1394"/>
      <c r="Z929" s="1395"/>
      <c r="AA929" s="1624"/>
      <c r="AB929" s="1520"/>
      <c r="AC929" s="1520"/>
      <c r="AD929" s="1520"/>
      <c r="AE929" s="1520"/>
      <c r="AF929" s="1625"/>
      <c r="AZ929" s="34"/>
      <c r="BA929" s="34"/>
      <c r="BB929" s="34"/>
      <c r="BC929" s="34"/>
    </row>
    <row r="930" spans="6:55" ht="12.9" customHeight="1">
      <c r="F930" s="45" t="s">
        <v>676</v>
      </c>
      <c r="G930" s="5"/>
      <c r="H930" s="5"/>
      <c r="I930" s="5"/>
      <c r="J930" s="5"/>
      <c r="K930" s="5"/>
      <c r="L930" s="5"/>
      <c r="M930" s="5"/>
      <c r="N930" s="5"/>
      <c r="O930" s="5"/>
      <c r="P930" s="5"/>
      <c r="Q930" s="5"/>
      <c r="R930" s="5"/>
      <c r="S930" s="5"/>
      <c r="T930" s="46"/>
      <c r="U930" s="1623" t="s">
        <v>590</v>
      </c>
      <c r="V930" s="1394"/>
      <c r="W930" s="1394"/>
      <c r="X930" s="1394"/>
      <c r="Y930" s="1394"/>
      <c r="Z930" s="1395"/>
      <c r="AA930" s="1624"/>
      <c r="AB930" s="1520"/>
      <c r="AC930" s="1520"/>
      <c r="AD930" s="1520"/>
      <c r="AE930" s="1520"/>
      <c r="AF930" s="1625"/>
      <c r="AZ930" s="34"/>
      <c r="BA930" s="34"/>
      <c r="BB930" s="34"/>
      <c r="BC930" s="34"/>
    </row>
    <row r="931" spans="6:55" ht="12.9" customHeight="1">
      <c r="F931" s="66" t="s">
        <v>784</v>
      </c>
      <c r="G931" s="5"/>
      <c r="H931" s="5"/>
      <c r="I931" s="5"/>
      <c r="J931" s="5"/>
      <c r="K931" s="5"/>
      <c r="L931" s="5"/>
      <c r="M931" s="5"/>
      <c r="N931" s="5"/>
      <c r="O931" s="5"/>
      <c r="P931" s="5"/>
      <c r="Q931" s="5"/>
      <c r="R931" s="5"/>
      <c r="S931" s="5"/>
      <c r="T931" s="46"/>
      <c r="U931" s="1623" t="s">
        <v>590</v>
      </c>
      <c r="V931" s="1394"/>
      <c r="W931" s="1394"/>
      <c r="X931" s="1394"/>
      <c r="Y931" s="1394"/>
      <c r="Z931" s="1395"/>
      <c r="AA931" s="1624"/>
      <c r="AB931" s="1520"/>
      <c r="AC931" s="1520"/>
      <c r="AD931" s="1520"/>
      <c r="AE931" s="1520"/>
      <c r="AF931" s="1625"/>
      <c r="AZ931" s="34"/>
      <c r="BA931" s="34"/>
      <c r="BB931" s="34"/>
      <c r="BC931" s="34"/>
    </row>
    <row r="932" spans="6:55" ht="12.9" customHeight="1">
      <c r="F932" s="66" t="s">
        <v>785</v>
      </c>
      <c r="G932" s="5"/>
      <c r="H932" s="5"/>
      <c r="I932" s="5"/>
      <c r="J932" s="5"/>
      <c r="K932" s="5"/>
      <c r="L932" s="5"/>
      <c r="M932" s="5"/>
      <c r="N932" s="5"/>
      <c r="O932" s="5"/>
      <c r="P932" s="5"/>
      <c r="Q932" s="5"/>
      <c r="R932" s="5"/>
      <c r="S932" s="5"/>
      <c r="T932" s="46"/>
      <c r="U932" s="1623" t="s">
        <v>590</v>
      </c>
      <c r="V932" s="1394"/>
      <c r="W932" s="1394"/>
      <c r="X932" s="1394"/>
      <c r="Y932" s="1394"/>
      <c r="Z932" s="1395"/>
      <c r="AA932" s="1624"/>
      <c r="AB932" s="1520"/>
      <c r="AC932" s="1520"/>
      <c r="AD932" s="1520"/>
      <c r="AE932" s="1520"/>
      <c r="AF932" s="1625"/>
      <c r="AZ932" s="34"/>
      <c r="BA932" s="34"/>
      <c r="BB932" s="34"/>
      <c r="BC932" s="34"/>
    </row>
    <row r="933" spans="6:55" ht="12.9" customHeight="1">
      <c r="F933" s="66" t="s">
        <v>786</v>
      </c>
      <c r="G933" s="5"/>
      <c r="H933" s="5"/>
      <c r="I933" s="5"/>
      <c r="J933" s="5"/>
      <c r="K933" s="5"/>
      <c r="L933" s="5"/>
      <c r="M933" s="5"/>
      <c r="N933" s="5"/>
      <c r="O933" s="5"/>
      <c r="P933" s="5"/>
      <c r="Q933" s="5"/>
      <c r="R933" s="5"/>
      <c r="S933" s="5"/>
      <c r="T933" s="46"/>
      <c r="U933" s="1623" t="s">
        <v>590</v>
      </c>
      <c r="V933" s="1394"/>
      <c r="W933" s="1394"/>
      <c r="X933" s="1394"/>
      <c r="Y933" s="1394"/>
      <c r="Z933" s="1395"/>
      <c r="AA933" s="1624"/>
      <c r="AB933" s="1520"/>
      <c r="AC933" s="1520"/>
      <c r="AD933" s="1520"/>
      <c r="AE933" s="1520"/>
      <c r="AF933" s="1625"/>
      <c r="AZ933" s="34"/>
      <c r="BA933" s="34"/>
      <c r="BB933" s="34"/>
      <c r="BC933" s="34"/>
    </row>
    <row r="934" spans="6:55" ht="12.9" customHeight="1">
      <c r="F934" s="45" t="s">
        <v>675</v>
      </c>
      <c r="G934" s="5"/>
      <c r="H934" s="5"/>
      <c r="I934" s="5"/>
      <c r="J934" s="5"/>
      <c r="K934" s="5"/>
      <c r="L934" s="5"/>
      <c r="M934" s="5"/>
      <c r="N934" s="5"/>
      <c r="O934" s="5"/>
      <c r="P934" s="5"/>
      <c r="Q934" s="5"/>
      <c r="R934" s="5"/>
      <c r="S934" s="5"/>
      <c r="T934" s="46"/>
      <c r="U934" s="1623" t="s">
        <v>590</v>
      </c>
      <c r="V934" s="1394"/>
      <c r="W934" s="1394"/>
      <c r="X934" s="1394"/>
      <c r="Y934" s="1394"/>
      <c r="Z934" s="1395"/>
      <c r="AA934" s="1624"/>
      <c r="AB934" s="1520"/>
      <c r="AC934" s="1520"/>
      <c r="AD934" s="1520"/>
      <c r="AE934" s="1520"/>
      <c r="AF934" s="1625"/>
      <c r="AZ934" s="34"/>
      <c r="BA934" s="34"/>
      <c r="BB934" s="34"/>
      <c r="BC934" s="34"/>
    </row>
    <row r="935" spans="6:55" ht="12.9" customHeight="1">
      <c r="F935" s="1688" t="s">
        <v>2146</v>
      </c>
      <c r="G935" s="1689"/>
      <c r="H935" s="1689"/>
      <c r="I935" s="1689"/>
      <c r="J935" s="1689"/>
      <c r="K935" s="1689"/>
      <c r="L935" s="1689"/>
      <c r="M935" s="1689"/>
      <c r="N935" s="1689"/>
      <c r="O935" s="1689"/>
      <c r="P935" s="1689"/>
      <c r="Q935" s="1689"/>
      <c r="R935" s="1689"/>
      <c r="S935" s="1689"/>
      <c r="T935" s="1690"/>
      <c r="U935" s="1623" t="s">
        <v>590</v>
      </c>
      <c r="V935" s="1394"/>
      <c r="W935" s="1394"/>
      <c r="X935" s="1394"/>
      <c r="Y935" s="1394"/>
      <c r="Z935" s="1395"/>
      <c r="AA935" s="1624"/>
      <c r="AB935" s="1520"/>
      <c r="AC935" s="1520"/>
      <c r="AD935" s="1520"/>
      <c r="AE935" s="1520"/>
      <c r="AF935" s="1625"/>
      <c r="AZ935" s="34"/>
      <c r="BA935" s="34"/>
      <c r="BB935" s="34"/>
      <c r="BC935" s="34"/>
    </row>
    <row r="936" spans="6:55" ht="12.9" customHeight="1">
      <c r="F936" s="1688" t="s">
        <v>677</v>
      </c>
      <c r="G936" s="1689"/>
      <c r="H936" s="1689"/>
      <c r="I936" s="1689"/>
      <c r="J936" s="1689"/>
      <c r="K936" s="1689"/>
      <c r="L936" s="1689"/>
      <c r="M936" s="1689"/>
      <c r="N936" s="1689"/>
      <c r="O936" s="1689"/>
      <c r="P936" s="1689"/>
      <c r="Q936" s="1689"/>
      <c r="R936" s="1689"/>
      <c r="S936" s="1689"/>
      <c r="T936" s="1690"/>
      <c r="U936" s="1623" t="s">
        <v>590</v>
      </c>
      <c r="V936" s="1394"/>
      <c r="W936" s="1394"/>
      <c r="X936" s="1394"/>
      <c r="Y936" s="1394"/>
      <c r="Z936" s="1395"/>
      <c r="AA936" s="1624"/>
      <c r="AB936" s="1520"/>
      <c r="AC936" s="1520"/>
      <c r="AD936" s="1520"/>
      <c r="AE936" s="1520"/>
      <c r="AF936" s="1625"/>
      <c r="AU936" s="2"/>
      <c r="AZ936" s="34"/>
      <c r="BA936" s="34"/>
      <c r="BB936" s="34"/>
      <c r="BC936" s="34"/>
    </row>
    <row r="937" spans="6:55" ht="12.9" customHeight="1">
      <c r="F937" s="1688" t="s">
        <v>2147</v>
      </c>
      <c r="G937" s="1689"/>
      <c r="H937" s="1689"/>
      <c r="I937" s="1689"/>
      <c r="J937" s="1689"/>
      <c r="K937" s="1689"/>
      <c r="L937" s="1689"/>
      <c r="M937" s="1689"/>
      <c r="N937" s="1689"/>
      <c r="O937" s="1689"/>
      <c r="P937" s="1689"/>
      <c r="Q937" s="1689"/>
      <c r="R937" s="1689"/>
      <c r="S937" s="1689"/>
      <c r="T937" s="1690"/>
      <c r="U937" s="1623" t="s">
        <v>590</v>
      </c>
      <c r="V937" s="1394"/>
      <c r="W937" s="1394"/>
      <c r="X937" s="1394"/>
      <c r="Y937" s="1394"/>
      <c r="Z937" s="1395"/>
      <c r="AA937" s="1624"/>
      <c r="AB937" s="1520"/>
      <c r="AC937" s="1520"/>
      <c r="AD937" s="1520"/>
      <c r="AE937" s="1520"/>
      <c r="AF937" s="1625"/>
      <c r="AU937" s="2"/>
      <c r="AZ937" s="34"/>
      <c r="BA937" s="34"/>
      <c r="BB937" s="34"/>
      <c r="BC937" s="34"/>
    </row>
    <row r="938" spans="6:55" ht="12.9" customHeight="1">
      <c r="F938" s="1688" t="s">
        <v>2148</v>
      </c>
      <c r="G938" s="1689"/>
      <c r="H938" s="1689"/>
      <c r="I938" s="1689"/>
      <c r="J938" s="1689"/>
      <c r="K938" s="1689"/>
      <c r="L938" s="1689"/>
      <c r="M938" s="1689"/>
      <c r="N938" s="1689"/>
      <c r="O938" s="1689"/>
      <c r="P938" s="1689"/>
      <c r="Q938" s="1689"/>
      <c r="R938" s="1689"/>
      <c r="S938" s="1689"/>
      <c r="T938" s="1690"/>
      <c r="U938" s="1623" t="s">
        <v>590</v>
      </c>
      <c r="V938" s="1394"/>
      <c r="W938" s="1394"/>
      <c r="X938" s="1394"/>
      <c r="Y938" s="1394"/>
      <c r="Z938" s="1395"/>
      <c r="AA938" s="1624"/>
      <c r="AB938" s="1520"/>
      <c r="AC938" s="1520"/>
      <c r="AD938" s="1520"/>
      <c r="AE938" s="1520"/>
      <c r="AF938" s="1625"/>
      <c r="AU938" s="2"/>
      <c r="AZ938" s="34"/>
      <c r="BA938" s="34"/>
      <c r="BB938" s="34"/>
      <c r="BC938" s="34"/>
    </row>
    <row r="939" spans="6:55" ht="12.9" customHeight="1">
      <c r="F939" s="1688" t="s">
        <v>2149</v>
      </c>
      <c r="G939" s="1689"/>
      <c r="H939" s="1689"/>
      <c r="I939" s="1689"/>
      <c r="J939" s="1689"/>
      <c r="K939" s="1689"/>
      <c r="L939" s="1689"/>
      <c r="M939" s="1689"/>
      <c r="N939" s="1689"/>
      <c r="O939" s="1689"/>
      <c r="P939" s="1689"/>
      <c r="Q939" s="1689"/>
      <c r="R939" s="1689"/>
      <c r="S939" s="1689"/>
      <c r="T939" s="1690"/>
      <c r="U939" s="1623" t="s">
        <v>590</v>
      </c>
      <c r="V939" s="1394"/>
      <c r="W939" s="1394"/>
      <c r="X939" s="1394"/>
      <c r="Y939" s="1394"/>
      <c r="Z939" s="1395"/>
      <c r="AA939" s="1624"/>
      <c r="AB939" s="1520"/>
      <c r="AC939" s="1520"/>
      <c r="AD939" s="1520"/>
      <c r="AE939" s="1520"/>
      <c r="AF939" s="1625"/>
      <c r="AU939" s="2"/>
      <c r="AZ939" s="34"/>
      <c r="BA939" s="34"/>
      <c r="BB939" s="34"/>
      <c r="BC939" s="34"/>
    </row>
    <row r="940" spans="6:55" ht="12.9" customHeight="1">
      <c r="F940" s="1688" t="s">
        <v>2150</v>
      </c>
      <c r="G940" s="1689"/>
      <c r="H940" s="1689"/>
      <c r="I940" s="1689"/>
      <c r="J940" s="1689"/>
      <c r="K940" s="1689"/>
      <c r="L940" s="1689"/>
      <c r="M940" s="1689"/>
      <c r="N940" s="1689"/>
      <c r="O940" s="1689"/>
      <c r="P940" s="1689"/>
      <c r="Q940" s="1689"/>
      <c r="R940" s="1689"/>
      <c r="S940" s="1689"/>
      <c r="T940" s="1690"/>
      <c r="U940" s="1623" t="s">
        <v>544</v>
      </c>
      <c r="V940" s="1394"/>
      <c r="W940" s="1394"/>
      <c r="X940" s="1394"/>
      <c r="Y940" s="1394"/>
      <c r="Z940" s="1395"/>
      <c r="AA940" s="1624">
        <v>27813000</v>
      </c>
      <c r="AB940" s="1520"/>
      <c r="AC940" s="1520"/>
      <c r="AD940" s="1520"/>
      <c r="AE940" s="1520"/>
      <c r="AF940" s="1625"/>
      <c r="AU940" s="2"/>
      <c r="AZ940" s="34"/>
      <c r="BA940" s="34"/>
      <c r="BB940" s="34"/>
      <c r="BC940" s="34"/>
    </row>
    <row r="941" spans="6:55" ht="12.9" customHeight="1">
      <c r="F941" s="1688" t="s">
        <v>2151</v>
      </c>
      <c r="G941" s="1689"/>
      <c r="H941" s="1689"/>
      <c r="I941" s="1689"/>
      <c r="J941" s="1689"/>
      <c r="K941" s="1689"/>
      <c r="L941" s="1689"/>
      <c r="M941" s="1689"/>
      <c r="N941" s="1689"/>
      <c r="O941" s="1689"/>
      <c r="P941" s="1689"/>
      <c r="Q941" s="1689"/>
      <c r="R941" s="1689"/>
      <c r="S941" s="1689"/>
      <c r="T941" s="1690"/>
      <c r="U941" s="1623" t="s">
        <v>590</v>
      </c>
      <c r="V941" s="1394"/>
      <c r="W941" s="1394"/>
      <c r="X941" s="1394"/>
      <c r="Y941" s="1394"/>
      <c r="Z941" s="1395"/>
      <c r="AA941" s="1624"/>
      <c r="AB941" s="1520"/>
      <c r="AC941" s="1520"/>
      <c r="AD941" s="1520"/>
      <c r="AE941" s="1520"/>
      <c r="AF941" s="1625"/>
      <c r="AZ941" s="30"/>
      <c r="BA941" s="30"/>
    </row>
    <row r="942" spans="6:55" ht="12.9" customHeight="1">
      <c r="F942" s="178" t="s">
        <v>674</v>
      </c>
      <c r="G942" s="5"/>
      <c r="H942" s="5"/>
      <c r="I942" s="5"/>
      <c r="J942" s="5"/>
      <c r="K942" s="5"/>
      <c r="L942" s="5"/>
      <c r="M942" s="5"/>
      <c r="N942" s="5"/>
      <c r="O942" s="5"/>
      <c r="P942" s="5"/>
      <c r="Q942" s="5"/>
      <c r="R942" s="5"/>
      <c r="S942" s="5"/>
      <c r="T942" s="46"/>
      <c r="U942" s="1623" t="s">
        <v>590</v>
      </c>
      <c r="V942" s="1394"/>
      <c r="W942" s="1394"/>
      <c r="X942" s="1394"/>
      <c r="Y942" s="1394"/>
      <c r="Z942" s="1395"/>
      <c r="AA942" s="1624"/>
      <c r="AB942" s="1520"/>
      <c r="AC942" s="1520"/>
      <c r="AD942" s="1520"/>
      <c r="AE942" s="1520"/>
      <c r="AF942" s="1625"/>
    </row>
    <row r="943" spans="6:55" ht="12.9" customHeight="1">
      <c r="F943" s="121" t="s">
        <v>1275</v>
      </c>
      <c r="G943" s="5"/>
      <c r="H943" s="5"/>
      <c r="I943" s="5"/>
      <c r="J943" s="5"/>
      <c r="K943" s="5"/>
      <c r="L943" s="5"/>
      <c r="M943" s="5"/>
      <c r="N943" s="5"/>
      <c r="O943" s="5"/>
      <c r="P943" s="5"/>
      <c r="Q943" s="5"/>
      <c r="R943" s="5"/>
      <c r="S943" s="5"/>
      <c r="T943" s="46"/>
      <c r="U943" s="1623" t="s">
        <v>590</v>
      </c>
      <c r="V943" s="1394"/>
      <c r="W943" s="1394"/>
      <c r="X943" s="1394"/>
      <c r="Y943" s="1394"/>
      <c r="Z943" s="1395"/>
      <c r="AA943" s="1624"/>
      <c r="AB943" s="1520"/>
      <c r="AC943" s="1520"/>
      <c r="AD943" s="1520"/>
      <c r="AE943" s="1520"/>
      <c r="AF943" s="1625"/>
      <c r="AZ943" s="30"/>
      <c r="BA943" s="14"/>
    </row>
    <row r="944" spans="6:55" ht="12.9" customHeight="1">
      <c r="F944" s="66" t="s">
        <v>800</v>
      </c>
      <c r="G944" s="5"/>
      <c r="H944" s="5"/>
      <c r="I944" s="5"/>
      <c r="J944" s="5"/>
      <c r="K944" s="5"/>
      <c r="L944" s="5"/>
      <c r="M944" s="5"/>
      <c r="N944" s="5"/>
      <c r="O944" s="5"/>
      <c r="P944" s="5"/>
      <c r="Q944" s="5"/>
      <c r="R944" s="5"/>
      <c r="S944" s="5"/>
      <c r="T944" s="46"/>
      <c r="U944" s="1623" t="s">
        <v>590</v>
      </c>
      <c r="V944" s="1394"/>
      <c r="W944" s="1394"/>
      <c r="X944" s="1394"/>
      <c r="Y944" s="1394"/>
      <c r="Z944" s="1395"/>
      <c r="AA944" s="1624"/>
      <c r="AB944" s="1520"/>
      <c r="AC944" s="1520"/>
      <c r="AD944" s="1520"/>
      <c r="AE944" s="1520"/>
      <c r="AF944" s="1625"/>
      <c r="AZ944" s="30"/>
      <c r="BA944" s="14"/>
    </row>
    <row r="945" spans="6:55" ht="12.9" customHeight="1">
      <c r="F945" s="1691" t="s">
        <v>2155</v>
      </c>
      <c r="G945" s="1692"/>
      <c r="H945" s="1692"/>
      <c r="I945" s="1692"/>
      <c r="J945" s="1692"/>
      <c r="K945" s="1692"/>
      <c r="L945" s="1692"/>
      <c r="M945" s="1692"/>
      <c r="N945" s="1692"/>
      <c r="O945" s="1692"/>
      <c r="P945" s="1692"/>
      <c r="Q945" s="1692"/>
      <c r="R945" s="1692"/>
      <c r="S945" s="1692"/>
      <c r="T945" s="1693"/>
      <c r="U945" s="1623" t="s">
        <v>590</v>
      </c>
      <c r="V945" s="1394"/>
      <c r="W945" s="1394"/>
      <c r="X945" s="1394"/>
      <c r="Y945" s="1394"/>
      <c r="Z945" s="1395"/>
      <c r="AA945" s="1624"/>
      <c r="AB945" s="1520"/>
      <c r="AC945" s="1520"/>
      <c r="AD945" s="1520"/>
      <c r="AE945" s="1520"/>
      <c r="AF945" s="1625"/>
      <c r="AZ945" s="30"/>
      <c r="BA945" s="14"/>
    </row>
    <row r="946" spans="6:55" ht="12.9" customHeight="1">
      <c r="F946" s="1691" t="s">
        <v>2156</v>
      </c>
      <c r="G946" s="1692"/>
      <c r="H946" s="1692"/>
      <c r="I946" s="1692"/>
      <c r="J946" s="1692"/>
      <c r="K946" s="1692"/>
      <c r="L946" s="1692"/>
      <c r="M946" s="1692"/>
      <c r="N946" s="1692"/>
      <c r="O946" s="1692"/>
      <c r="P946" s="1692"/>
      <c r="Q946" s="1692"/>
      <c r="R946" s="1692"/>
      <c r="S946" s="1692"/>
      <c r="T946" s="1693"/>
      <c r="U946" s="1623" t="s">
        <v>590</v>
      </c>
      <c r="V946" s="1394"/>
      <c r="W946" s="1394"/>
      <c r="X946" s="1394"/>
      <c r="Y946" s="1394"/>
      <c r="Z946" s="1395"/>
      <c r="AA946" s="1624"/>
      <c r="AB946" s="1520"/>
      <c r="AC946" s="1520"/>
      <c r="AD946" s="1520"/>
      <c r="AE946" s="1520"/>
      <c r="AF946" s="1625"/>
      <c r="AZ946" s="30"/>
      <c r="BA946" s="30"/>
    </row>
    <row r="947" spans="6:55" ht="12.9" customHeight="1">
      <c r="F947" s="1688" t="s">
        <v>2152</v>
      </c>
      <c r="G947" s="1689"/>
      <c r="H947" s="1689"/>
      <c r="I947" s="1689"/>
      <c r="J947" s="1689"/>
      <c r="K947" s="1689"/>
      <c r="L947" s="1689"/>
      <c r="M947" s="1689"/>
      <c r="N947" s="1689"/>
      <c r="O947" s="1689"/>
      <c r="P947" s="1689"/>
      <c r="Q947" s="1689"/>
      <c r="R947" s="1689"/>
      <c r="S947" s="1689"/>
      <c r="T947" s="1690"/>
      <c r="U947" s="1623" t="s">
        <v>590</v>
      </c>
      <c r="V947" s="1394"/>
      <c r="W947" s="1394"/>
      <c r="X947" s="1394"/>
      <c r="Y947" s="1394"/>
      <c r="Z947" s="1395"/>
      <c r="AA947" s="1624"/>
      <c r="AB947" s="1520"/>
      <c r="AC947" s="1520"/>
      <c r="AD947" s="1520"/>
      <c r="AE947" s="1520"/>
      <c r="AF947" s="1625"/>
      <c r="AZ947" s="30"/>
      <c r="BA947" s="30"/>
    </row>
    <row r="948" spans="6:55" ht="12.9" customHeight="1">
      <c r="F948" s="1688" t="s">
        <v>2153</v>
      </c>
      <c r="G948" s="1689"/>
      <c r="H948" s="1689"/>
      <c r="I948" s="1689"/>
      <c r="J948" s="1689"/>
      <c r="K948" s="1689"/>
      <c r="L948" s="1689"/>
      <c r="M948" s="1689"/>
      <c r="N948" s="1689"/>
      <c r="O948" s="1689"/>
      <c r="P948" s="1689"/>
      <c r="Q948" s="1689"/>
      <c r="R948" s="1689"/>
      <c r="S948" s="1689"/>
      <c r="T948" s="1690"/>
      <c r="U948" s="1623" t="s">
        <v>590</v>
      </c>
      <c r="V948" s="1394"/>
      <c r="W948" s="1394"/>
      <c r="X948" s="1394"/>
      <c r="Y948" s="1394"/>
      <c r="Z948" s="1395"/>
      <c r="AA948" s="1624"/>
      <c r="AB948" s="1520"/>
      <c r="AC948" s="1520"/>
      <c r="AD948" s="1520"/>
      <c r="AE948" s="1520"/>
      <c r="AF948" s="1625"/>
      <c r="AZ948" s="30"/>
      <c r="BA948" s="30"/>
    </row>
    <row r="949" spans="6:55" ht="12.9" customHeight="1">
      <c r="F949" s="1688" t="s">
        <v>2154</v>
      </c>
      <c r="G949" s="1689"/>
      <c r="H949" s="1689"/>
      <c r="I949" s="1689"/>
      <c r="J949" s="1689"/>
      <c r="K949" s="1689"/>
      <c r="L949" s="1689"/>
      <c r="M949" s="1689"/>
      <c r="N949" s="1689"/>
      <c r="O949" s="1689"/>
      <c r="P949" s="1689"/>
      <c r="Q949" s="1689"/>
      <c r="R949" s="1689"/>
      <c r="S949" s="1689"/>
      <c r="T949" s="1690"/>
      <c r="U949" s="1623" t="s">
        <v>590</v>
      </c>
      <c r="V949" s="1394"/>
      <c r="W949" s="1394"/>
      <c r="X949" s="1394"/>
      <c r="Y949" s="1394"/>
      <c r="Z949" s="1395"/>
      <c r="AA949" s="1624"/>
      <c r="AB949" s="1520"/>
      <c r="AC949" s="1520"/>
      <c r="AD949" s="1520"/>
      <c r="AE949" s="1520"/>
      <c r="AF949" s="1625"/>
      <c r="AZ949" s="34"/>
      <c r="BA949" s="34"/>
      <c r="BB949" s="14"/>
      <c r="BC949" s="14"/>
    </row>
    <row r="950" spans="6:55" ht="12.9" customHeight="1">
      <c r="F950" s="121" t="s">
        <v>1259</v>
      </c>
      <c r="G950" s="5"/>
      <c r="H950" s="5"/>
      <c r="I950" s="5"/>
      <c r="J950" s="5"/>
      <c r="K950" s="5"/>
      <c r="L950" s="5"/>
      <c r="M950" s="5"/>
      <c r="N950" s="5"/>
      <c r="O950" s="5"/>
      <c r="P950" s="5"/>
      <c r="Q950" s="5"/>
      <c r="R950" s="5"/>
      <c r="S950" s="5"/>
      <c r="T950" s="46"/>
      <c r="U950" s="1623" t="s">
        <v>590</v>
      </c>
      <c r="V950" s="1394"/>
      <c r="W950" s="1394"/>
      <c r="X950" s="1394"/>
      <c r="Y950" s="1394"/>
      <c r="Z950" s="1395"/>
      <c r="AA950" s="1624"/>
      <c r="AB950" s="1520"/>
      <c r="AC950" s="1520"/>
      <c r="AD950" s="1520"/>
      <c r="AE950" s="1520"/>
      <c r="AF950" s="1625"/>
      <c r="AZ950" s="34"/>
      <c r="BA950" s="34"/>
      <c r="BB950" s="14"/>
      <c r="BC950" s="14"/>
    </row>
    <row r="951" spans="6:55" ht="12.9" customHeight="1">
      <c r="F951" s="1691" t="s">
        <v>2157</v>
      </c>
      <c r="G951" s="1692"/>
      <c r="H951" s="1692"/>
      <c r="I951" s="1692"/>
      <c r="J951" s="1692"/>
      <c r="K951" s="1692"/>
      <c r="L951" s="1692"/>
      <c r="M951" s="1692"/>
      <c r="N951" s="1692"/>
      <c r="O951" s="1692"/>
      <c r="P951" s="1692"/>
      <c r="Q951" s="1692"/>
      <c r="R951" s="1692"/>
      <c r="S951" s="1692"/>
      <c r="T951" s="1693"/>
      <c r="U951" s="1623" t="s">
        <v>590</v>
      </c>
      <c r="V951" s="1394"/>
      <c r="W951" s="1394"/>
      <c r="X951" s="1394"/>
      <c r="Y951" s="1394"/>
      <c r="Z951" s="1395"/>
      <c r="AA951" s="1624"/>
      <c r="AB951" s="1520"/>
      <c r="AC951" s="1520"/>
      <c r="AD951" s="1520"/>
      <c r="AE951" s="1520"/>
      <c r="AF951" s="1625"/>
      <c r="AZ951" s="34"/>
      <c r="BA951" s="34"/>
      <c r="BB951" s="34"/>
      <c r="BC951" s="34"/>
    </row>
    <row r="952" spans="6:55" ht="12.9" customHeight="1">
      <c r="F952" s="121" t="s">
        <v>1260</v>
      </c>
      <c r="G952" s="5"/>
      <c r="H952" s="5"/>
      <c r="I952" s="5"/>
      <c r="J952" s="5"/>
      <c r="K952" s="5"/>
      <c r="L952" s="5"/>
      <c r="M952" s="5"/>
      <c r="N952" s="5"/>
      <c r="O952" s="5"/>
      <c r="P952" s="5"/>
      <c r="Q952" s="5"/>
      <c r="R952" s="5"/>
      <c r="S952" s="5"/>
      <c r="T952" s="46"/>
      <c r="U952" s="1623" t="s">
        <v>590</v>
      </c>
      <c r="V952" s="1394"/>
      <c r="W952" s="1394"/>
      <c r="X952" s="1394"/>
      <c r="Y952" s="1394"/>
      <c r="Z952" s="1395"/>
      <c r="AA952" s="1624"/>
      <c r="AB952" s="1520"/>
      <c r="AC952" s="1520"/>
      <c r="AD952" s="1520"/>
      <c r="AE952" s="1520"/>
      <c r="AF952" s="1625"/>
      <c r="AZ952" s="34"/>
      <c r="BA952" s="34"/>
      <c r="BB952" s="34"/>
      <c r="BC952" s="34"/>
    </row>
    <row r="953" spans="6:55" ht="12.9" customHeight="1">
      <c r="F953" s="1691" t="s">
        <v>2158</v>
      </c>
      <c r="G953" s="1692"/>
      <c r="H953" s="1692"/>
      <c r="I953" s="1692"/>
      <c r="J953" s="1692"/>
      <c r="K953" s="1692"/>
      <c r="L953" s="1692"/>
      <c r="M953" s="1692"/>
      <c r="N953" s="1692"/>
      <c r="O953" s="1692"/>
      <c r="P953" s="1692"/>
      <c r="Q953" s="1692"/>
      <c r="R953" s="1692"/>
      <c r="S953" s="1692"/>
      <c r="T953" s="1693"/>
      <c r="U953" s="1623" t="s">
        <v>590</v>
      </c>
      <c r="V953" s="1394"/>
      <c r="W953" s="1394"/>
      <c r="X953" s="1394"/>
      <c r="Y953" s="1394"/>
      <c r="Z953" s="1395"/>
      <c r="AA953" s="1624"/>
      <c r="AB953" s="1520"/>
      <c r="AC953" s="1520"/>
      <c r="AD953" s="1520"/>
      <c r="AE953" s="1520"/>
      <c r="AF953" s="1625"/>
      <c r="AZ953" s="34"/>
      <c r="BA953" s="34"/>
      <c r="BB953" s="34"/>
      <c r="BC953" s="34"/>
    </row>
    <row r="954" spans="6:55" ht="12.9" customHeight="1">
      <c r="F954" s="45" t="s">
        <v>804</v>
      </c>
      <c r="G954" s="5"/>
      <c r="H954" s="5"/>
      <c r="I954" s="5"/>
      <c r="J954" s="5"/>
      <c r="K954" s="5"/>
      <c r="L954" s="5"/>
      <c r="M954" s="5"/>
      <c r="N954" s="5"/>
      <c r="O954" s="5"/>
      <c r="P954" s="1623" t="s">
        <v>667</v>
      </c>
      <c r="Q954" s="1394"/>
      <c r="R954" s="1394"/>
      <c r="S954" s="1394"/>
      <c r="T954" s="1395"/>
      <c r="U954" s="1623" t="s">
        <v>590</v>
      </c>
      <c r="V954" s="1394"/>
      <c r="W954" s="1394"/>
      <c r="X954" s="1394"/>
      <c r="Y954" s="1394"/>
      <c r="Z954" s="1395"/>
      <c r="AA954" s="1624"/>
      <c r="AB954" s="1520"/>
      <c r="AC954" s="1520"/>
      <c r="AD954" s="1520"/>
      <c r="AE954" s="1520"/>
      <c r="AF954" s="1625"/>
      <c r="AZ954" s="34"/>
      <c r="BA954" s="34"/>
      <c r="BB954" s="34"/>
      <c r="BC954" s="34"/>
    </row>
    <row r="955" spans="6:55" ht="12.9" customHeight="1">
      <c r="F955" s="1688" t="s">
        <v>2145</v>
      </c>
      <c r="G955" s="1689"/>
      <c r="H955" s="1690"/>
      <c r="I955" s="1632" t="s">
        <v>333</v>
      </c>
      <c r="J955" s="1633"/>
      <c r="K955" s="1633"/>
      <c r="L955" s="1633"/>
      <c r="M955" s="1633"/>
      <c r="N955" s="1633"/>
      <c r="O955" s="1633"/>
      <c r="P955" s="1633"/>
      <c r="Q955" s="1633"/>
      <c r="R955" s="1633"/>
      <c r="S955" s="1633"/>
      <c r="T955" s="1641"/>
      <c r="U955" s="1623" t="s">
        <v>590</v>
      </c>
      <c r="V955" s="1394"/>
      <c r="W955" s="1394"/>
      <c r="X955" s="1394"/>
      <c r="Y955" s="1394"/>
      <c r="Z955" s="1395"/>
      <c r="AA955" s="1624"/>
      <c r="AB955" s="1520"/>
      <c r="AC955" s="1520"/>
      <c r="AD955" s="1520"/>
      <c r="AE955" s="1520"/>
      <c r="AF955" s="1625"/>
      <c r="AZ955" s="34"/>
      <c r="BA955" s="34"/>
      <c r="BB955" s="34"/>
      <c r="BC955" s="34"/>
    </row>
    <row r="956" spans="6:55" ht="12.9" customHeight="1">
      <c r="F956" s="45" t="s">
        <v>86</v>
      </c>
      <c r="G956" s="48"/>
      <c r="H956" s="48"/>
      <c r="I956" s="1632" t="s">
        <v>2769</v>
      </c>
      <c r="J956" s="1633"/>
      <c r="K956" s="1633"/>
      <c r="L956" s="1633"/>
      <c r="M956" s="1633"/>
      <c r="N956" s="1633"/>
      <c r="O956" s="1633"/>
      <c r="P956" s="1633"/>
      <c r="Q956" s="1633"/>
      <c r="R956" s="1633"/>
      <c r="S956" s="1633"/>
      <c r="T956" s="1641"/>
      <c r="U956" s="1623" t="s">
        <v>544</v>
      </c>
      <c r="V956" s="1394"/>
      <c r="W956" s="1394"/>
      <c r="X956" s="1394"/>
      <c r="Y956" s="1394"/>
      <c r="Z956" s="1395"/>
      <c r="AA956" s="1624">
        <v>5000000</v>
      </c>
      <c r="AB956" s="1520"/>
      <c r="AC956" s="1520"/>
      <c r="AD956" s="1520"/>
      <c r="AE956" s="1520"/>
      <c r="AF956" s="1625"/>
      <c r="AZ956" s="34"/>
      <c r="BA956" s="34"/>
      <c r="BB956" s="34"/>
      <c r="BC956" s="34"/>
    </row>
    <row r="957" spans="6:55" ht="12.9" customHeight="1">
      <c r="F957" s="45" t="s">
        <v>10</v>
      </c>
      <c r="G957" s="48"/>
      <c r="H957" s="48"/>
      <c r="I957" s="1632" t="s">
        <v>2770</v>
      </c>
      <c r="J957" s="1686"/>
      <c r="K957" s="1686"/>
      <c r="L957" s="1686"/>
      <c r="M957" s="1686"/>
      <c r="N957" s="1686"/>
      <c r="O957" s="1686"/>
      <c r="P957" s="1686"/>
      <c r="Q957" s="1686"/>
      <c r="R957" s="1686"/>
      <c r="S957" s="1686"/>
      <c r="T957" s="1687"/>
      <c r="U957" s="1623" t="s">
        <v>544</v>
      </c>
      <c r="V957" s="1394"/>
      <c r="W957" s="1394"/>
      <c r="X957" s="1394"/>
      <c r="Y957" s="1394"/>
      <c r="Z957" s="1395"/>
      <c r="AA957" s="1624">
        <v>2187000</v>
      </c>
      <c r="AB957" s="1520"/>
      <c r="AC957" s="1520"/>
      <c r="AD957" s="1520"/>
      <c r="AE957" s="1520"/>
      <c r="AF957" s="1625"/>
      <c r="AV957" s="2"/>
      <c r="AW957" s="2"/>
      <c r="AX957" s="2"/>
      <c r="AY957" s="2"/>
      <c r="AZ957" s="34"/>
      <c r="BA957" s="34"/>
      <c r="BB957" s="34"/>
      <c r="BC957" s="34"/>
    </row>
    <row r="958" spans="6:55" ht="12.9" customHeight="1">
      <c r="F958" s="47" t="s">
        <v>169</v>
      </c>
      <c r="G958" s="48"/>
      <c r="H958" s="48"/>
      <c r="I958" s="1632" t="s">
        <v>2798</v>
      </c>
      <c r="J958" s="1686"/>
      <c r="K958" s="1686"/>
      <c r="L958" s="1686"/>
      <c r="M958" s="1686"/>
      <c r="N958" s="1686"/>
      <c r="O958" s="1686"/>
      <c r="P958" s="1686"/>
      <c r="Q958" s="1686"/>
      <c r="R958" s="1686"/>
      <c r="S958" s="1686"/>
      <c r="T958" s="1687"/>
      <c r="U958" s="1623" t="s">
        <v>544</v>
      </c>
      <c r="V958" s="1394"/>
      <c r="W958" s="1394"/>
      <c r="X958" s="1394"/>
      <c r="Y958" s="1394"/>
      <c r="Z958" s="1395"/>
      <c r="AA958" s="1624">
        <v>2600000</v>
      </c>
      <c r="AB958" s="1520"/>
      <c r="AC958" s="1520"/>
      <c r="AD958" s="1520"/>
      <c r="AE958" s="1520"/>
      <c r="AF958" s="1625"/>
      <c r="AU958" s="2"/>
      <c r="AZ958" s="34"/>
      <c r="BA958" s="34"/>
      <c r="BB958" s="34"/>
      <c r="BC958" s="34"/>
    </row>
    <row r="959" spans="6:55" ht="12.9" customHeight="1">
      <c r="F959" s="47" t="s">
        <v>169</v>
      </c>
      <c r="G959" s="48"/>
      <c r="H959" s="48"/>
      <c r="I959" s="1632" t="s">
        <v>333</v>
      </c>
      <c r="J959" s="1686"/>
      <c r="K959" s="1686"/>
      <c r="L959" s="1686"/>
      <c r="M959" s="1686"/>
      <c r="N959" s="1686"/>
      <c r="O959" s="1686"/>
      <c r="P959" s="1686"/>
      <c r="Q959" s="1686"/>
      <c r="R959" s="1686"/>
      <c r="S959" s="1686"/>
      <c r="T959" s="1687"/>
      <c r="U959" s="1623" t="s">
        <v>590</v>
      </c>
      <c r="V959" s="1394"/>
      <c r="W959" s="1394"/>
      <c r="X959" s="1394"/>
      <c r="Y959" s="1394"/>
      <c r="Z959" s="1395"/>
      <c r="AA959" s="1624"/>
      <c r="AB959" s="1520"/>
      <c r="AC959" s="1520"/>
      <c r="AD959" s="1520"/>
      <c r="AE959" s="1520"/>
      <c r="AF959" s="1625"/>
      <c r="AU959" s="2"/>
      <c r="AZ959" s="34"/>
      <c r="BA959" s="34"/>
      <c r="BB959" s="34"/>
      <c r="BC959" s="34"/>
    </row>
    <row r="960" spans="6:55" ht="12.9" customHeight="1">
      <c r="AU960" s="2"/>
      <c r="AZ960" s="34"/>
      <c r="BA960" s="34"/>
      <c r="BB960" s="34"/>
      <c r="BC960" s="34"/>
    </row>
    <row r="961" spans="1:64" ht="12.9" customHeight="1">
      <c r="A961" s="2" t="s">
        <v>575</v>
      </c>
      <c r="C961" s="2" t="s">
        <v>749</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99"/>
      <c r="N964" s="1508"/>
      <c r="O964" s="1508"/>
      <c r="P964" s="1508"/>
      <c r="Q964" s="1508"/>
      <c r="R964" s="1508"/>
      <c r="S964" s="1660"/>
      <c r="U964" s="66" t="s">
        <v>11</v>
      </c>
      <c r="V964" s="5"/>
      <c r="W964" s="5"/>
      <c r="X964" s="5"/>
      <c r="Y964" s="5"/>
      <c r="Z964" s="5"/>
      <c r="AA964" s="5"/>
      <c r="AB964" s="5"/>
      <c r="AC964" s="5"/>
      <c r="AD964" s="46"/>
      <c r="AE964" s="1699"/>
      <c r="AF964" s="1508"/>
      <c r="AG964" s="1508"/>
      <c r="AH964" s="1508"/>
      <c r="AI964" s="1508"/>
      <c r="AJ964" s="1508"/>
      <c r="AK964" s="1660"/>
      <c r="AZ964" s="34"/>
      <c r="BA964" s="34"/>
      <c r="BB964" s="34"/>
      <c r="BC964" s="34"/>
    </row>
    <row r="965" spans="1:64" ht="12.9" customHeight="1">
      <c r="C965" s="66" t="s">
        <v>12</v>
      </c>
      <c r="D965" s="5"/>
      <c r="E965" s="5"/>
      <c r="F965" s="5"/>
      <c r="G965" s="5"/>
      <c r="H965" s="5"/>
      <c r="I965" s="5"/>
      <c r="J965" s="5"/>
      <c r="K965" s="5"/>
      <c r="L965" s="46"/>
      <c r="M965" s="1469"/>
      <c r="N965" s="1368"/>
      <c r="O965" s="1368"/>
      <c r="P965" s="1368"/>
      <c r="Q965" s="1368"/>
      <c r="R965" s="1368"/>
      <c r="S965" s="1723"/>
      <c r="U965" s="66" t="s">
        <v>12</v>
      </c>
      <c r="V965" s="5"/>
      <c r="W965" s="5"/>
      <c r="X965" s="5"/>
      <c r="Y965" s="5"/>
      <c r="Z965" s="5"/>
      <c r="AA965" s="5"/>
      <c r="AB965" s="5"/>
      <c r="AC965" s="5"/>
      <c r="AD965" s="46"/>
      <c r="AE965" s="1469"/>
      <c r="AF965" s="1368"/>
      <c r="AG965" s="1368"/>
      <c r="AH965" s="1368"/>
      <c r="AI965" s="1368"/>
      <c r="AJ965" s="1368"/>
      <c r="AK965" s="1723"/>
      <c r="AZ965" s="34"/>
      <c r="BA965" s="34"/>
      <c r="BB965" s="34"/>
      <c r="BC965" s="34"/>
    </row>
    <row r="966" spans="1:64" ht="12.9" customHeight="1">
      <c r="C966" s="66" t="s">
        <v>878</v>
      </c>
      <c r="D966" s="5"/>
      <c r="E966" s="5"/>
      <c r="J966" s="1739" t="s">
        <v>306</v>
      </c>
      <c r="K966" s="1740"/>
      <c r="L966" s="1740"/>
      <c r="M966" s="1740"/>
      <c r="N966" s="1740"/>
      <c r="O966" s="1740"/>
      <c r="P966" s="1740"/>
      <c r="Q966" s="1740"/>
      <c r="R966" s="1740"/>
      <c r="S966" s="1741"/>
      <c r="U966" s="66" t="s">
        <v>878</v>
      </c>
      <c r="V966" s="5"/>
      <c r="W966" s="5"/>
      <c r="AB966" s="1739" t="s">
        <v>306</v>
      </c>
      <c r="AC966" s="1740"/>
      <c r="AD966" s="1740"/>
      <c r="AE966" s="1740"/>
      <c r="AF966" s="1740"/>
      <c r="AG966" s="1740"/>
      <c r="AH966" s="1740"/>
      <c r="AI966" s="1740"/>
      <c r="AJ966" s="1740"/>
      <c r="AK966" s="1741"/>
      <c r="AZ966" s="34"/>
      <c r="BA966" s="34"/>
      <c r="BB966" s="34"/>
      <c r="BC966" s="34"/>
    </row>
    <row r="967" spans="1:64" ht="12.9" customHeight="1">
      <c r="C967" s="66" t="s">
        <v>13</v>
      </c>
      <c r="D967" s="5"/>
      <c r="E967" s="5"/>
      <c r="F967" s="5"/>
      <c r="G967" s="5"/>
      <c r="H967" s="5"/>
      <c r="I967" s="5"/>
      <c r="J967" s="5"/>
      <c r="K967" s="5"/>
      <c r="L967" s="46"/>
      <c r="M967" s="1710"/>
      <c r="N967" s="1711"/>
      <c r="O967" s="1711"/>
      <c r="P967" s="1711"/>
      <c r="Q967" s="1711"/>
      <c r="R967" s="1711"/>
      <c r="S967" s="1712"/>
      <c r="U967" s="66" t="s">
        <v>13</v>
      </c>
      <c r="V967" s="5"/>
      <c r="W967" s="5"/>
      <c r="X967" s="5"/>
      <c r="Y967" s="5"/>
      <c r="Z967" s="5"/>
      <c r="AA967" s="5"/>
      <c r="AB967" s="5"/>
      <c r="AC967" s="5"/>
      <c r="AD967" s="46"/>
      <c r="AE967" s="1730"/>
      <c r="AF967" s="1711"/>
      <c r="AG967" s="1711"/>
      <c r="AH967" s="1711"/>
      <c r="AI967" s="1711"/>
      <c r="AJ967" s="1711"/>
      <c r="AK967" s="1712"/>
      <c r="AZ967" s="34"/>
      <c r="BA967" s="34"/>
      <c r="BB967" s="34"/>
      <c r="BC967" s="34"/>
    </row>
    <row r="968" spans="1:64" ht="12.9" customHeight="1">
      <c r="C968" s="66" t="s">
        <v>14</v>
      </c>
      <c r="D968" s="5"/>
      <c r="E968" s="5"/>
      <c r="F968" s="5"/>
      <c r="G968" s="5"/>
      <c r="H968" s="5"/>
      <c r="I968" s="5"/>
      <c r="J968" s="5"/>
      <c r="K968" s="5"/>
      <c r="L968" s="46"/>
      <c r="M968" s="1629"/>
      <c r="N968" s="1627"/>
      <c r="O968" s="1627"/>
      <c r="P968" s="1627"/>
      <c r="Q968" s="1627"/>
      <c r="R968" s="1627"/>
      <c r="S968" s="1628"/>
      <c r="U968" s="66" t="s">
        <v>14</v>
      </c>
      <c r="V968" s="5"/>
      <c r="W968" s="5"/>
      <c r="X968" s="5"/>
      <c r="Y968" s="5"/>
      <c r="Z968" s="5"/>
      <c r="AA968" s="5"/>
      <c r="AB968" s="5"/>
      <c r="AC968" s="5"/>
      <c r="AD968" s="46"/>
      <c r="AE968" s="1629"/>
      <c r="AF968" s="1627"/>
      <c r="AG968" s="1627"/>
      <c r="AH968" s="1627"/>
      <c r="AI968" s="1627"/>
      <c r="AJ968" s="1627"/>
      <c r="AK968" s="1628"/>
      <c r="AV968" s="2"/>
      <c r="AW968" s="2"/>
      <c r="AX968" s="2"/>
      <c r="AY968" s="2"/>
      <c r="AZ968" s="34"/>
      <c r="BA968" s="34"/>
      <c r="BB968" s="34"/>
      <c r="BC968" s="34"/>
    </row>
    <row r="969" spans="1:64" ht="12.9" customHeight="1">
      <c r="C969" s="66" t="s">
        <v>15</v>
      </c>
      <c r="D969" s="5"/>
      <c r="E969" s="5"/>
      <c r="F969" s="5"/>
      <c r="G969" s="5"/>
      <c r="H969" s="5"/>
      <c r="I969" s="5"/>
      <c r="J969" s="5"/>
      <c r="K969" s="5"/>
      <c r="L969" s="46"/>
      <c r="M969" s="1624"/>
      <c r="N969" s="1520"/>
      <c r="O969" s="1520"/>
      <c r="P969" s="1520"/>
      <c r="Q969" s="1520"/>
      <c r="R969" s="1520"/>
      <c r="S969" s="1625"/>
      <c r="U969" s="66" t="s">
        <v>15</v>
      </c>
      <c r="V969" s="5"/>
      <c r="W969" s="5"/>
      <c r="X969" s="5"/>
      <c r="Y969" s="5"/>
      <c r="Z969" s="5"/>
      <c r="AA969" s="5"/>
      <c r="AB969" s="5"/>
      <c r="AC969" s="5"/>
      <c r="AD969" s="46"/>
      <c r="AE969" s="1624"/>
      <c r="AF969" s="1520"/>
      <c r="AG969" s="1520"/>
      <c r="AH969" s="1520"/>
      <c r="AI969" s="1520"/>
      <c r="AJ969" s="1520"/>
      <c r="AK969" s="1625"/>
      <c r="AV969" s="2"/>
      <c r="AW969" s="2"/>
      <c r="AX969" s="2"/>
      <c r="AY969" s="2"/>
      <c r="AZ969" s="34"/>
      <c r="BA969" s="34"/>
      <c r="BB969" s="34"/>
      <c r="BC969" s="34"/>
    </row>
    <row r="970" spans="1:64" ht="12.9" customHeight="1">
      <c r="C970" s="66" t="s">
        <v>16</v>
      </c>
      <c r="D970" s="5"/>
      <c r="E970" s="5"/>
      <c r="F970" s="5"/>
      <c r="G970" s="5"/>
      <c r="H970" s="5"/>
      <c r="I970" s="5"/>
      <c r="J970" s="5"/>
      <c r="K970" s="5"/>
      <c r="L970" s="46"/>
      <c r="M970" s="1624"/>
      <c r="N970" s="1520"/>
      <c r="O970" s="1520"/>
      <c r="P970" s="1520"/>
      <c r="Q970" s="1520"/>
      <c r="R970" s="1520"/>
      <c r="S970" s="1625"/>
      <c r="U970" s="66" t="s">
        <v>16</v>
      </c>
      <c r="V970" s="5"/>
      <c r="W970" s="5"/>
      <c r="X970" s="5"/>
      <c r="Y970" s="5"/>
      <c r="Z970" s="5"/>
      <c r="AA970" s="5"/>
      <c r="AB970" s="5"/>
      <c r="AC970" s="5"/>
      <c r="AD970" s="46"/>
      <c r="AE970" s="1624"/>
      <c r="AF970" s="1520"/>
      <c r="AG970" s="1520"/>
      <c r="AH970" s="1520"/>
      <c r="AI970" s="1520"/>
      <c r="AJ970" s="1520"/>
      <c r="AK970" s="1625"/>
      <c r="AV970" s="2"/>
      <c r="AW970" s="2"/>
      <c r="AX970" s="2"/>
      <c r="AY970" s="2"/>
      <c r="AZ970" s="34"/>
      <c r="BB970" s="34"/>
      <c r="BC970" s="34"/>
    </row>
    <row r="971" spans="1:64" ht="12.9" customHeight="1">
      <c r="C971" s="121" t="s">
        <v>1648</v>
      </c>
      <c r="D971" s="5"/>
      <c r="E971" s="5"/>
      <c r="F971" s="5"/>
      <c r="G971" s="5"/>
      <c r="H971" s="5"/>
      <c r="I971" s="5"/>
      <c r="J971" s="5"/>
      <c r="K971" s="5"/>
      <c r="L971" s="46"/>
      <c r="M971" s="1727"/>
      <c r="N971" s="1728"/>
      <c r="O971" s="1728"/>
      <c r="P971" s="1728"/>
      <c r="Q971" s="1728"/>
      <c r="R971" s="1728"/>
      <c r="S971" s="1729"/>
      <c r="U971" s="121" t="s">
        <v>1648</v>
      </c>
      <c r="V971" s="5"/>
      <c r="W971" s="5"/>
      <c r="X971" s="5"/>
      <c r="Y971" s="5"/>
      <c r="Z971" s="5"/>
      <c r="AA971" s="5"/>
      <c r="AB971" s="5"/>
      <c r="AC971" s="5"/>
      <c r="AD971" s="46"/>
      <c r="AE971" s="1727"/>
      <c r="AF971" s="1728"/>
      <c r="AG971" s="1728"/>
      <c r="AH971" s="1728"/>
      <c r="AI971" s="1728"/>
      <c r="AJ971" s="1728"/>
      <c r="AK971" s="1729"/>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1697"/>
      <c r="N976" s="1454"/>
      <c r="O976" s="1454"/>
      <c r="P976" s="1454"/>
      <c r="Q976" s="1454"/>
      <c r="R976" s="1454"/>
      <c r="S976" s="1698"/>
      <c r="T976" s="66" t="s">
        <v>788</v>
      </c>
      <c r="U976" s="5"/>
      <c r="V976" s="5"/>
      <c r="W976" s="5"/>
      <c r="X976" s="5"/>
      <c r="Y976" s="5"/>
      <c r="Z976" s="46"/>
      <c r="AA976" s="1697"/>
      <c r="AB976" s="1454"/>
      <c r="AC976" s="1454"/>
      <c r="AD976" s="1454"/>
      <c r="AE976" s="1454"/>
      <c r="AF976" s="1454"/>
      <c r="AG976" s="169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1697"/>
      <c r="N977" s="1454"/>
      <c r="O977" s="1454"/>
      <c r="P977" s="1454"/>
      <c r="Q977" s="1454"/>
      <c r="R977" s="1454"/>
      <c r="S977" s="1698"/>
      <c r="T977" s="66" t="s">
        <v>787</v>
      </c>
      <c r="U977" s="5"/>
      <c r="V977" s="5"/>
      <c r="W977" s="5"/>
      <c r="X977" s="5"/>
      <c r="Y977" s="5"/>
      <c r="Z977" s="46"/>
      <c r="AA977" s="1697"/>
      <c r="AB977" s="1454"/>
      <c r="AC977" s="1454"/>
      <c r="AD977" s="1454"/>
      <c r="AE977" s="1454"/>
      <c r="AF977" s="1454"/>
      <c r="AG977" s="169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899</v>
      </c>
      <c r="G978" s="5"/>
      <c r="H978" s="5"/>
      <c r="I978" s="5"/>
      <c r="J978" s="5"/>
      <c r="K978" s="5"/>
      <c r="L978" s="46"/>
      <c r="M978" s="1713" t="s">
        <v>590</v>
      </c>
      <c r="N978" s="1714"/>
      <c r="O978" s="1714"/>
      <c r="P978" s="1714"/>
      <c r="Q978" s="1714"/>
      <c r="R978" s="1714"/>
      <c r="S978" s="1715"/>
      <c r="T978" s="45" t="s">
        <v>336</v>
      </c>
      <c r="U978" s="5"/>
      <c r="V978" s="5"/>
      <c r="W978" s="5"/>
      <c r="X978" s="5"/>
      <c r="Y978" s="5"/>
      <c r="Z978" s="46"/>
      <c r="AA978" s="1697"/>
      <c r="AB978" s="1454"/>
      <c r="AC978" s="1454"/>
      <c r="AD978" s="1454"/>
      <c r="AE978" s="1454"/>
      <c r="AF978" s="1454"/>
      <c r="AG978" s="169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1697"/>
      <c r="N979" s="1454"/>
      <c r="O979" s="1454"/>
      <c r="P979" s="1454"/>
      <c r="Q979" s="1454"/>
      <c r="R979" s="1454"/>
      <c r="S979" s="1698"/>
      <c r="T979" s="45" t="s">
        <v>337</v>
      </c>
      <c r="U979" s="5"/>
      <c r="V979" s="5"/>
      <c r="W979" s="5"/>
      <c r="X979" s="5"/>
      <c r="Y979" s="5"/>
      <c r="Z979" s="46"/>
      <c r="AA979" s="1697"/>
      <c r="AB979" s="1454"/>
      <c r="AC979" s="1454"/>
      <c r="AD979" s="1454"/>
      <c r="AE979" s="1454"/>
      <c r="AF979" s="1454"/>
      <c r="AG979" s="169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1697"/>
      <c r="N980" s="1454"/>
      <c r="O980" s="1454"/>
      <c r="P980" s="1454"/>
      <c r="Q980" s="1454"/>
      <c r="R980" s="1454"/>
      <c r="S980" s="1698"/>
      <c r="T980" s="45" t="s">
        <v>375</v>
      </c>
      <c r="U980" s="5"/>
      <c r="V980" s="5"/>
      <c r="W980" s="5"/>
      <c r="X980" s="5"/>
      <c r="Y980" s="5"/>
      <c r="Z980" s="46"/>
      <c r="AA980" s="1697"/>
      <c r="AB980" s="1454"/>
      <c r="AC980" s="1454"/>
      <c r="AD980" s="1454"/>
      <c r="AE980" s="1454"/>
      <c r="AF980" s="1454"/>
      <c r="AG980" s="169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878</v>
      </c>
      <c r="G981" s="42"/>
      <c r="H981" s="42"/>
      <c r="I981" s="42"/>
      <c r="J981" s="42"/>
      <c r="K981" s="42"/>
      <c r="L981" s="58"/>
      <c r="M981" s="1739" t="s">
        <v>306</v>
      </c>
      <c r="N981" s="1740"/>
      <c r="O981" s="1740"/>
      <c r="P981" s="1740"/>
      <c r="Q981" s="1740"/>
      <c r="R981" s="1740"/>
      <c r="S981" s="1741"/>
      <c r="T981" s="1720"/>
      <c r="U981" s="1721"/>
      <c r="V981" s="1721"/>
      <c r="W981" s="1721"/>
      <c r="X981" s="1721"/>
      <c r="Y981" s="1721"/>
      <c r="Z981" s="1722"/>
      <c r="AA981" s="1697"/>
      <c r="AB981" s="1454"/>
      <c r="AC981" s="1454"/>
      <c r="AD981" s="1454"/>
      <c r="AE981" s="1454"/>
      <c r="AF981" s="1454"/>
      <c r="AG981" s="169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1697"/>
      <c r="N982" s="1454"/>
      <c r="O982" s="1454"/>
      <c r="P982" s="1454"/>
      <c r="Q982" s="1454"/>
      <c r="R982" s="1454"/>
      <c r="S982" s="1698"/>
      <c r="T982" s="1720"/>
      <c r="U982" s="1721"/>
      <c r="V982" s="1721"/>
      <c r="W982" s="1721"/>
      <c r="X982" s="1721"/>
      <c r="Y982" s="1721"/>
      <c r="Z982" s="1722"/>
      <c r="AA982" s="1697"/>
      <c r="AB982" s="1454"/>
      <c r="AC982" s="1454"/>
      <c r="AD982" s="1454"/>
      <c r="AE982" s="1454"/>
      <c r="AF982" s="1454"/>
      <c r="AG982" s="169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500" t="s">
        <v>667</v>
      </c>
      <c r="P983" s="1470"/>
      <c r="Q983" s="92"/>
      <c r="R983" s="92"/>
      <c r="S983" s="93"/>
      <c r="T983" s="41" t="s">
        <v>169</v>
      </c>
      <c r="U983" s="42"/>
      <c r="V983" s="42"/>
      <c r="W983" s="1811" t="s">
        <v>333</v>
      </c>
      <c r="X983" s="1812"/>
      <c r="Y983" s="1812"/>
      <c r="Z983" s="1812"/>
      <c r="AA983" s="1812"/>
      <c r="AB983" s="1812"/>
      <c r="AC983" s="1812"/>
      <c r="AD983" s="1812"/>
      <c r="AE983" s="1812"/>
      <c r="AF983" s="1812"/>
      <c r="AG983" s="1813"/>
      <c r="AU983" s="68"/>
      <c r="AV983" s="95"/>
      <c r="AW983" s="95"/>
      <c r="AX983" s="95"/>
      <c r="AY983" s="95"/>
      <c r="AZ983" s="34"/>
      <c r="BB983" s="34"/>
      <c r="BC983" s="34"/>
      <c r="BD983" s="34"/>
      <c r="BE983" s="34"/>
      <c r="BF983" s="34"/>
      <c r="BG983" s="34"/>
      <c r="BH983" s="34"/>
      <c r="BI983" s="34"/>
      <c r="BJ983" s="34"/>
      <c r="BK983" s="34"/>
      <c r="BL983" s="34"/>
    </row>
    <row r="984" spans="1:64" ht="12.9" customHeight="1">
      <c r="F984" s="1622" t="s">
        <v>33</v>
      </c>
      <c r="G984" s="1371"/>
      <c r="H984" s="1371"/>
      <c r="I984" s="1371"/>
      <c r="J984" s="1371"/>
      <c r="K984" s="1371"/>
      <c r="L984" s="1371"/>
      <c r="M984" s="1697"/>
      <c r="N984" s="1454"/>
      <c r="O984" s="1454"/>
      <c r="P984" s="1454"/>
      <c r="Q984" s="1454"/>
      <c r="R984" s="1454"/>
      <c r="S984" s="1698"/>
      <c r="T984" s="47"/>
      <c r="U984" s="48"/>
      <c r="V984" s="48"/>
      <c r="W984" s="48"/>
      <c r="X984" s="48"/>
      <c r="Y984" s="48"/>
      <c r="Z984" s="124" t="s">
        <v>134</v>
      </c>
      <c r="AA984" s="1781"/>
      <c r="AB984" s="1782"/>
      <c r="AC984" s="1782"/>
      <c r="AD984" s="1782"/>
      <c r="AE984" s="1782"/>
      <c r="AF984" s="1782"/>
      <c r="AG984" s="1783"/>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35"/>
      <c r="BH985" s="1635"/>
      <c r="BI985" s="1635"/>
      <c r="BJ985" s="1635"/>
      <c r="BK985" s="1635"/>
      <c r="BL985" s="1635"/>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534" t="s">
        <v>547</v>
      </c>
      <c r="B988" s="1534"/>
      <c r="C988" s="1534"/>
      <c r="D988" s="1534"/>
      <c r="E988" s="1534"/>
      <c r="F988" s="1534"/>
      <c r="G988" s="1534"/>
      <c r="H988" s="1534"/>
      <c r="I988" s="1534"/>
      <c r="J988" s="1534"/>
      <c r="K988" s="1534"/>
      <c r="L988" s="1534"/>
      <c r="M988" s="1534"/>
      <c r="N988" s="1534"/>
      <c r="O988" s="1534"/>
      <c r="P988" s="1534"/>
      <c r="Q988" s="1534"/>
      <c r="R988" s="1534"/>
      <c r="S988" s="1534"/>
      <c r="T988" s="1534"/>
      <c r="U988" s="1534"/>
      <c r="V988" s="1534"/>
      <c r="W988" s="1534"/>
      <c r="X988" s="1534"/>
      <c r="Y988" s="1534"/>
      <c r="Z988" s="1534"/>
      <c r="AA988" s="1534"/>
      <c r="AB988" s="1534"/>
      <c r="AC988" s="1534"/>
      <c r="AD988" s="1534"/>
      <c r="AE988" s="1534"/>
      <c r="AF988" s="1534"/>
      <c r="AG988" s="1534"/>
      <c r="AH988" s="1534"/>
      <c r="AI988" s="1534"/>
      <c r="AJ988" s="1534"/>
      <c r="AK988" s="1534"/>
      <c r="AL988" s="1534"/>
      <c r="AM988" s="1534"/>
      <c r="AN988" s="1534"/>
      <c r="AO988" s="1534"/>
      <c r="AP988" s="1534"/>
      <c r="AQ988" s="1534"/>
      <c r="AR988" s="1534"/>
      <c r="AS988" s="1534"/>
      <c r="AT988" s="1534"/>
      <c r="AU988" s="68"/>
      <c r="AV988" s="68"/>
      <c r="AW988" s="68"/>
      <c r="AX988" s="68"/>
      <c r="AY988" s="68"/>
      <c r="AZ988" s="14"/>
      <c r="BA988" s="14"/>
      <c r="BB988" s="908"/>
      <c r="BC988" s="908"/>
    </row>
    <row r="989" spans="1:64" ht="12.9" customHeight="1">
      <c r="A989" s="1534"/>
      <c r="B989" s="1534"/>
      <c r="C989" s="1534"/>
      <c r="D989" s="1534"/>
      <c r="E989" s="1534"/>
      <c r="F989" s="1534"/>
      <c r="G989" s="1534"/>
      <c r="H989" s="1534"/>
      <c r="I989" s="1534"/>
      <c r="J989" s="1534"/>
      <c r="K989" s="1534"/>
      <c r="L989" s="1534"/>
      <c r="M989" s="1534"/>
      <c r="N989" s="1534"/>
      <c r="O989" s="1534"/>
      <c r="P989" s="1534"/>
      <c r="Q989" s="1534"/>
      <c r="R989" s="1534"/>
      <c r="S989" s="1534"/>
      <c r="T989" s="1534"/>
      <c r="U989" s="1534"/>
      <c r="V989" s="1534"/>
      <c r="W989" s="1534"/>
      <c r="X989" s="1534"/>
      <c r="Y989" s="1534"/>
      <c r="Z989" s="1534"/>
      <c r="AA989" s="1534"/>
      <c r="AB989" s="1534"/>
      <c r="AC989" s="1534"/>
      <c r="AD989" s="1534"/>
      <c r="AE989" s="1534"/>
      <c r="AF989" s="1534"/>
      <c r="AG989" s="1534"/>
      <c r="AH989" s="1534"/>
      <c r="AI989" s="1534"/>
      <c r="AJ989" s="1534"/>
      <c r="AK989" s="1534"/>
      <c r="AL989" s="1534"/>
      <c r="AM989" s="1534"/>
      <c r="AN989" s="1534"/>
      <c r="AO989" s="1534"/>
      <c r="AP989" s="1534"/>
      <c r="AQ989" s="1534"/>
      <c r="AR989" s="1534"/>
      <c r="AS989" s="1534"/>
      <c r="AT989" s="1534"/>
      <c r="AU989" s="68"/>
      <c r="AV989" s="68"/>
      <c r="AW989" s="68"/>
      <c r="AX989" s="68"/>
      <c r="AY989" s="68"/>
      <c r="AZ989" s="30"/>
      <c r="BA989" s="14"/>
      <c r="BB989" s="14"/>
      <c r="BC989" s="14"/>
    </row>
    <row r="990" spans="1:64" ht="12.9" customHeight="1">
      <c r="A990" s="1534"/>
      <c r="B990" s="1534"/>
      <c r="C990" s="1534"/>
      <c r="D990" s="1534"/>
      <c r="E990" s="1534"/>
      <c r="F990" s="1534"/>
      <c r="G990" s="1534"/>
      <c r="H990" s="1534"/>
      <c r="I990" s="1534"/>
      <c r="J990" s="1534"/>
      <c r="K990" s="1534"/>
      <c r="L990" s="1534"/>
      <c r="M990" s="1534"/>
      <c r="N990" s="1534"/>
      <c r="O990" s="1534"/>
      <c r="P990" s="1534"/>
      <c r="Q990" s="1534"/>
      <c r="R990" s="1534"/>
      <c r="S990" s="1534"/>
      <c r="T990" s="1534"/>
      <c r="U990" s="1534"/>
      <c r="V990" s="1534"/>
      <c r="W990" s="1534"/>
      <c r="X990" s="1534"/>
      <c r="Y990" s="1534"/>
      <c r="Z990" s="1534"/>
      <c r="AA990" s="1534"/>
      <c r="AB990" s="1534"/>
      <c r="AC990" s="1534"/>
      <c r="AD990" s="1534"/>
      <c r="AE990" s="1534"/>
      <c r="AF990" s="1534"/>
      <c r="AG990" s="1534"/>
      <c r="AH990" s="1534"/>
      <c r="AI990" s="1534"/>
      <c r="AJ990" s="1534"/>
      <c r="AK990" s="1534"/>
      <c r="AL990" s="1534"/>
      <c r="AM990" s="1534"/>
      <c r="AN990" s="1534"/>
      <c r="AO990" s="1534"/>
      <c r="AP990" s="1534"/>
      <c r="AQ990" s="1534"/>
      <c r="AR990" s="1534"/>
      <c r="AS990" s="1534"/>
      <c r="AT990" s="1534"/>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807" t="s">
        <v>636</v>
      </c>
      <c r="E994" s="1808"/>
      <c r="F994" s="1808"/>
      <c r="G994" s="1808"/>
      <c r="H994" s="1808"/>
      <c r="I994" s="1808"/>
      <c r="J994" s="1808"/>
      <c r="K994" s="1808"/>
      <c r="L994" s="1808"/>
      <c r="M994" s="1808"/>
      <c r="N994" s="1808"/>
      <c r="O994" s="1808"/>
      <c r="P994" s="1808"/>
      <c r="Q994" s="1809"/>
      <c r="R994" s="1807" t="s">
        <v>637</v>
      </c>
      <c r="S994" s="1808"/>
      <c r="T994" s="1808"/>
      <c r="U994" s="1808"/>
      <c r="V994" s="1808"/>
      <c r="W994" s="1808"/>
      <c r="X994" s="1808"/>
      <c r="Y994" s="1808"/>
      <c r="Z994" s="1808"/>
      <c r="AA994" s="1809"/>
      <c r="AB994" s="1807" t="s">
        <v>638</v>
      </c>
      <c r="AC994" s="1808"/>
      <c r="AD994" s="1808"/>
      <c r="AE994" s="1808"/>
      <c r="AF994" s="1808"/>
      <c r="AG994" s="1808"/>
      <c r="AH994" s="1808"/>
      <c r="AI994" s="1809"/>
      <c r="AJ994" s="1807" t="s">
        <v>639</v>
      </c>
      <c r="AK994" s="1808"/>
      <c r="AL994" s="1808"/>
      <c r="AM994" s="1808"/>
      <c r="AN994" s="1808"/>
      <c r="AO994" s="1808"/>
      <c r="AP994" s="1808"/>
      <c r="AQ994" s="1809"/>
      <c r="AR994" s="68"/>
      <c r="AS994" s="68"/>
      <c r="AT994" s="68"/>
      <c r="AU994" s="68"/>
      <c r="AV994" s="68"/>
      <c r="AW994" s="68"/>
      <c r="AX994" s="68"/>
      <c r="AY994" s="68"/>
      <c r="AZ994" s="30"/>
      <c r="BB994" s="14"/>
      <c r="BC994" s="14"/>
    </row>
    <row r="995" spans="1:55" ht="12.9" customHeight="1">
      <c r="A995" s="14"/>
      <c r="B995" s="73"/>
      <c r="C995" s="925"/>
      <c r="D995" s="1677" t="s">
        <v>631</v>
      </c>
      <c r="E995" s="1678"/>
      <c r="F995" s="1678"/>
      <c r="G995" s="1678"/>
      <c r="H995" s="1678"/>
      <c r="I995" s="1678"/>
      <c r="J995" s="1678"/>
      <c r="K995" s="1678"/>
      <c r="L995" s="1678"/>
      <c r="M995" s="1678"/>
      <c r="N995" s="1678"/>
      <c r="O995" s="1678"/>
      <c r="P995" s="1678"/>
      <c r="Q995" s="1679"/>
      <c r="R995" s="1738">
        <f>IF(ISNA(IF($CU$122="4%",(INDEX($CS$160:$CW$217,MATCH($DG$122,$CR$160:$CR$217,0),MATCH(D995,$CS$159:$CW$159,0))),(INDEX($CZ$160:$DD$217,MATCH($DG$122,$CY$160:$CY$217,0),MATCH(D995,$CZ$159:$DD$159,0))))),0,IF($CU$122="4%",(INDEX($CS$160:$CW$217,MATCH($DG$122,$CR$160:$CR$217,0),MATCH(D995,$CS$159:$CW$159,0))),(INDEX($CZ$160:$DD$217,MATCH($DG$122,$CY$160:$CY$217,0),MATCH(D995,$CZ$159:$DD$159,0)))))</f>
        <v>491221</v>
      </c>
      <c r="S995" s="1738"/>
      <c r="T995" s="1738"/>
      <c r="U995" s="1738"/>
      <c r="V995" s="1738"/>
      <c r="W995" s="1738"/>
      <c r="X995" s="1738"/>
      <c r="Y995" s="1738"/>
      <c r="Z995" s="1738"/>
      <c r="AA995" s="1738"/>
      <c r="AB995" s="1735">
        <f>CP810</f>
        <v>22</v>
      </c>
      <c r="AC995" s="1736"/>
      <c r="AD995" s="1736"/>
      <c r="AE995" s="1736"/>
      <c r="AF995" s="1736"/>
      <c r="AG995" s="1736"/>
      <c r="AH995" s="1736"/>
      <c r="AI995" s="1737"/>
      <c r="AJ995" s="1707">
        <f>IF(ISERROR((R995*AB995)),0,(R995*AB995))</f>
        <v>10806862</v>
      </c>
      <c r="AK995" s="1708"/>
      <c r="AL995" s="1708"/>
      <c r="AM995" s="1708"/>
      <c r="AN995" s="1708"/>
      <c r="AO995" s="1708"/>
      <c r="AP995" s="1708"/>
      <c r="AQ995" s="1709"/>
      <c r="AR995" s="68"/>
      <c r="AS995" s="68"/>
      <c r="AT995" s="68"/>
      <c r="AU995" s="68"/>
      <c r="AV995" s="68"/>
      <c r="AW995" s="68"/>
      <c r="AX995" s="68"/>
      <c r="AY995" s="68"/>
      <c r="AZ995" s="30"/>
      <c r="BB995" s="14"/>
      <c r="BC995" s="14"/>
    </row>
    <row r="996" spans="1:55" ht="12.9" customHeight="1">
      <c r="A996" s="14"/>
      <c r="B996" s="73"/>
      <c r="C996" s="83"/>
      <c r="D996" s="1677" t="s">
        <v>324</v>
      </c>
      <c r="E996" s="1678"/>
      <c r="F996" s="1678"/>
      <c r="G996" s="1678"/>
      <c r="H996" s="1678"/>
      <c r="I996" s="1678"/>
      <c r="J996" s="1678"/>
      <c r="K996" s="1678"/>
      <c r="L996" s="1678"/>
      <c r="M996" s="1678"/>
      <c r="N996" s="1678"/>
      <c r="O996" s="1678"/>
      <c r="P996" s="1678"/>
      <c r="Q996" s="1679"/>
      <c r="R996" s="1738">
        <f>IF(ISNA(IF($CU$122="4%",(INDEX($CS$160:$CW$217,MATCH($DG$122,$CR$160:$CR$217,0),MATCH(D996,$CS$159:$CW$159,0))),(INDEX($CZ$160:$DD$217,MATCH($DG$122,$CY$160:$CY$217,0),MATCH(D996,$CZ$159:$DD$159,0))))),0,IF($CU$122="4%",(INDEX($CS$160:$CW$217,MATCH($DG$122,$CR$160:$CR$217,0),MATCH(D996,$CS$159:$CW$159,0))),(INDEX($CZ$160:$DD$217,MATCH($DG$122,$CY$160:$CY$217,0),MATCH(D996,$CZ$159:$DD$159,0)))))</f>
        <v>566373</v>
      </c>
      <c r="S996" s="1738"/>
      <c r="T996" s="1738"/>
      <c r="U996" s="1738"/>
      <c r="V996" s="1738"/>
      <c r="W996" s="1738"/>
      <c r="X996" s="1738"/>
      <c r="Y996" s="1738"/>
      <c r="Z996" s="1738"/>
      <c r="AA996" s="1738"/>
      <c r="AB996" s="1735">
        <f>CU810</f>
        <v>10</v>
      </c>
      <c r="AC996" s="1736"/>
      <c r="AD996" s="1736"/>
      <c r="AE996" s="1736"/>
      <c r="AF996" s="1736"/>
      <c r="AG996" s="1736"/>
      <c r="AH996" s="1736"/>
      <c r="AI996" s="1737"/>
      <c r="AJ996" s="1707">
        <f>IF(ISERROR((R996*AB996)),0,(R996*AB996))</f>
        <v>5663730</v>
      </c>
      <c r="AK996" s="1708"/>
      <c r="AL996" s="1708"/>
      <c r="AM996" s="1708"/>
      <c r="AN996" s="1708"/>
      <c r="AO996" s="1708"/>
      <c r="AP996" s="1708"/>
      <c r="AQ996" s="1709"/>
      <c r="AR996" s="68"/>
      <c r="AS996" s="68"/>
      <c r="AT996" s="68"/>
      <c r="AU996" s="68"/>
      <c r="AV996" s="68"/>
      <c r="AW996" s="68"/>
      <c r="AX996" s="68"/>
      <c r="AY996" s="68"/>
      <c r="AZ996" s="30"/>
      <c r="BB996" s="14"/>
      <c r="BC996" s="14"/>
    </row>
    <row r="997" spans="1:55" ht="12.9" customHeight="1">
      <c r="A997" s="14"/>
      <c r="B997" s="73"/>
      <c r="C997" s="83"/>
      <c r="D997" s="1677" t="s">
        <v>163</v>
      </c>
      <c r="E997" s="1678"/>
      <c r="F997" s="1678"/>
      <c r="G997" s="1678"/>
      <c r="H997" s="1678"/>
      <c r="I997" s="1678"/>
      <c r="J997" s="1678"/>
      <c r="K997" s="1678"/>
      <c r="L997" s="1678"/>
      <c r="M997" s="1678"/>
      <c r="N997" s="1678"/>
      <c r="O997" s="1678"/>
      <c r="P997" s="1678"/>
      <c r="Q997" s="1679"/>
      <c r="R997" s="1738">
        <f>IF(ISNA(IF($CU$122="4%",(INDEX($CS$160:$CW$217,MATCH($DG$122,$CR$160:$CR$217,0),MATCH(D997,$CS$159:$CW$159,0))),(INDEX($CZ$160:$DD$217,MATCH($DG$122,$CY$160:$CY$217,0),MATCH(D997,$CZ$159:$DD$159,0))))),0,IF($CU$122="4%",(INDEX($CS$160:$CW$217,MATCH($DG$122,$CR$160:$CR$217,0),MATCH(D997,$CS$159:$CW$159,0))),(INDEX($CZ$160:$DD$217,MATCH($DG$122,$CY$160:$CY$217,0),MATCH(D997,$CZ$159:$DD$159,0)))))</f>
        <v>683200</v>
      </c>
      <c r="S997" s="1738"/>
      <c r="T997" s="1738"/>
      <c r="U997" s="1738"/>
      <c r="V997" s="1738"/>
      <c r="W997" s="1738"/>
      <c r="X997" s="1738"/>
      <c r="Y997" s="1738"/>
      <c r="Z997" s="1738"/>
      <c r="AA997" s="1738"/>
      <c r="AB997" s="1735">
        <f>CZ810</f>
        <v>69</v>
      </c>
      <c r="AC997" s="1736"/>
      <c r="AD997" s="1736"/>
      <c r="AE997" s="1736"/>
      <c r="AF997" s="1736"/>
      <c r="AG997" s="1736"/>
      <c r="AH997" s="1736"/>
      <c r="AI997" s="1737"/>
      <c r="AJ997" s="1707">
        <f>IF(ISERROR((R997*AB997)),0,(R997*AB997))</f>
        <v>47140800</v>
      </c>
      <c r="AK997" s="1708"/>
      <c r="AL997" s="1708"/>
      <c r="AM997" s="1708"/>
      <c r="AN997" s="1708"/>
      <c r="AO997" s="1708"/>
      <c r="AP997" s="1708"/>
      <c r="AQ997" s="1709"/>
      <c r="AR997" s="68"/>
      <c r="AS997" s="68"/>
      <c r="AT997" s="68"/>
      <c r="AU997" s="68"/>
      <c r="AV997" s="68"/>
      <c r="AW997" s="68"/>
      <c r="AX997" s="68"/>
      <c r="AY997" s="68"/>
      <c r="AZ997" s="30"/>
      <c r="BB997" s="14"/>
      <c r="BC997" s="14"/>
    </row>
    <row r="998" spans="1:55" ht="12.9" customHeight="1">
      <c r="A998" s="14"/>
      <c r="B998" s="73"/>
      <c r="C998" s="83"/>
      <c r="D998" s="1677" t="s">
        <v>164</v>
      </c>
      <c r="E998" s="1678"/>
      <c r="F998" s="1678"/>
      <c r="G998" s="1678"/>
      <c r="H998" s="1678"/>
      <c r="I998" s="1678"/>
      <c r="J998" s="1678"/>
      <c r="K998" s="1678"/>
      <c r="L998" s="1678"/>
      <c r="M998" s="1678"/>
      <c r="N998" s="1678"/>
      <c r="O998" s="1678"/>
      <c r="P998" s="1678"/>
      <c r="Q998" s="1679"/>
      <c r="R998" s="1738">
        <f>IF(ISNA(IF($CU$122="4%",(INDEX($CS$160:$CW$217,MATCH($DG$122,$CR$160:$CR$217,0),MATCH(D998,$CS$159:$CW$159,0))),(INDEX($CZ$160:$DD$217,MATCH($DG$122,$CY$160:$CY$217,0),MATCH(D998,$CZ$159:$DD$159,0))))),0,IF($CU$122="4%",(INDEX($CS$160:$CW$217,MATCH($DG$122,$CR$160:$CR$217,0),MATCH(D998,$CS$159:$CW$159,0))),(INDEX($CZ$160:$DD$217,MATCH($DG$122,$CY$160:$CY$217,0),MATCH(D998,$CZ$159:$DD$159,0)))))</f>
        <v>874496</v>
      </c>
      <c r="S998" s="1738"/>
      <c r="T998" s="1738"/>
      <c r="U998" s="1738"/>
      <c r="V998" s="1738"/>
      <c r="W998" s="1738"/>
      <c r="X998" s="1738"/>
      <c r="Y998" s="1738"/>
      <c r="Z998" s="1738"/>
      <c r="AA998" s="1738"/>
      <c r="AB998" s="1735">
        <f>DE810</f>
        <v>49</v>
      </c>
      <c r="AC998" s="1736"/>
      <c r="AD998" s="1736"/>
      <c r="AE998" s="1736"/>
      <c r="AF998" s="1736"/>
      <c r="AG998" s="1736"/>
      <c r="AH998" s="1736"/>
      <c r="AI998" s="1737"/>
      <c r="AJ998" s="1707">
        <f>IF(ISERROR((R998*AB998)),0,(R998*AB998))</f>
        <v>42850304</v>
      </c>
      <c r="AK998" s="1708"/>
      <c r="AL998" s="1708"/>
      <c r="AM998" s="1708"/>
      <c r="AN998" s="1708"/>
      <c r="AO998" s="1708"/>
      <c r="AP998" s="1708"/>
      <c r="AQ998" s="1709"/>
      <c r="AR998" s="68"/>
      <c r="AS998" s="68"/>
      <c r="AT998" s="68"/>
      <c r="AU998" s="68"/>
      <c r="AV998" s="68"/>
      <c r="AW998" s="68"/>
      <c r="AX998" s="68"/>
      <c r="AY998" s="68"/>
      <c r="AZ998" s="30"/>
      <c r="BA998" s="34"/>
      <c r="BB998" s="14"/>
      <c r="BC998" s="14"/>
    </row>
    <row r="999" spans="1:55" ht="12.9" customHeight="1">
      <c r="A999" s="14"/>
      <c r="B999" s="47"/>
      <c r="C999" s="78"/>
      <c r="D999" s="1677" t="s">
        <v>459</v>
      </c>
      <c r="E999" s="1678"/>
      <c r="F999" s="1678"/>
      <c r="G999" s="1678"/>
      <c r="H999" s="1678"/>
      <c r="I999" s="1678"/>
      <c r="J999" s="1678"/>
      <c r="K999" s="1678"/>
      <c r="L999" s="1678"/>
      <c r="M999" s="1678"/>
      <c r="N999" s="1678"/>
      <c r="O999" s="1678"/>
      <c r="P999" s="1678"/>
      <c r="Q999" s="1679"/>
      <c r="R999" s="1738">
        <f>IF(ISNA(IF($CU$122="4%",(INDEX($CS$160:$CW$217,MATCH($DG$122,$CR$160:$CR$217,0),MATCH(D999,$CS$159:$CW$159,0))),(INDEX($CZ$160:$DD$217,MATCH($DG$122,$CY$160:$CY$217,0),MATCH(D999,$CZ$159:$DD$159,0))))),0,IF($CU$122="4%",(INDEX($CS$160:$CW$217,MATCH($DG$122,$CR$160:$CR$217,0),MATCH(D999,$CS$159:$CW$159,0))),(INDEX($CZ$160:$DD$217,MATCH($DG$122,$CY$160:$CY$217,0),MATCH(D999,$CZ$159:$DD$159,0)))))</f>
        <v>974243</v>
      </c>
      <c r="S999" s="1738"/>
      <c r="T999" s="1738"/>
      <c r="U999" s="1738"/>
      <c r="V999" s="1738"/>
      <c r="W999" s="1738"/>
      <c r="X999" s="1738"/>
      <c r="Y999" s="1738"/>
      <c r="Z999" s="1738"/>
      <c r="AA999" s="1738"/>
      <c r="AB999" s="1735">
        <f>DO810+DJ810</f>
        <v>0</v>
      </c>
      <c r="AC999" s="1736"/>
      <c r="AD999" s="1736"/>
      <c r="AE999" s="1736"/>
      <c r="AF999" s="1736"/>
      <c r="AG999" s="1736"/>
      <c r="AH999" s="1736"/>
      <c r="AI999" s="1737"/>
      <c r="AJ999" s="1707">
        <f>IF(ISERROR((R999*AB999)),0,(R999*AB999))</f>
        <v>0</v>
      </c>
      <c r="AK999" s="1708"/>
      <c r="AL999" s="1708"/>
      <c r="AM999" s="1708"/>
      <c r="AN999" s="1708"/>
      <c r="AO999" s="1708"/>
      <c r="AP999" s="1708"/>
      <c r="AQ999" s="1709"/>
      <c r="AR999" s="68"/>
      <c r="AS999" s="68"/>
      <c r="AT999" s="68"/>
      <c r="AU999" s="68"/>
      <c r="AV999" s="68"/>
      <c r="AW999" s="68"/>
      <c r="AX999" s="68"/>
      <c r="AY999" s="68"/>
      <c r="AZ999" s="30"/>
      <c r="BB999" s="14"/>
      <c r="BC999" s="14"/>
    </row>
    <row r="1000" spans="1:55" ht="12.9" customHeight="1">
      <c r="A1000" s="14"/>
      <c r="B1000" s="1766" t="s">
        <v>789</v>
      </c>
      <c r="C1000" s="1767"/>
      <c r="D1000" s="1767"/>
      <c r="E1000" s="1767"/>
      <c r="F1000" s="1767"/>
      <c r="G1000" s="1767"/>
      <c r="H1000" s="1767"/>
      <c r="I1000" s="1767"/>
      <c r="J1000" s="1767"/>
      <c r="K1000" s="1767"/>
      <c r="L1000" s="1767"/>
      <c r="M1000" s="1767"/>
      <c r="N1000" s="1767"/>
      <c r="O1000" s="1767"/>
      <c r="P1000" s="1767"/>
      <c r="Q1000" s="1767"/>
      <c r="R1000" s="1767"/>
      <c r="S1000" s="1767"/>
      <c r="T1000" s="1767"/>
      <c r="U1000" s="1767"/>
      <c r="V1000" s="1767"/>
      <c r="W1000" s="1767"/>
      <c r="X1000" s="1767"/>
      <c r="Y1000" s="1767"/>
      <c r="Z1000" s="1767"/>
      <c r="AA1000" s="1768"/>
      <c r="AB1000" s="1735">
        <f>SUM(AB995:AI999)</f>
        <v>150</v>
      </c>
      <c r="AC1000" s="1736"/>
      <c r="AD1000" s="1736"/>
      <c r="AE1000" s="1736"/>
      <c r="AF1000" s="1736"/>
      <c r="AG1000" s="1736"/>
      <c r="AH1000" s="1736"/>
      <c r="AI1000" s="1737"/>
      <c r="AJ1000" s="1707"/>
      <c r="AK1000" s="1708"/>
      <c r="AL1000" s="1708"/>
      <c r="AM1000" s="1708"/>
      <c r="AN1000" s="1708"/>
      <c r="AO1000" s="1708"/>
      <c r="AP1000" s="1708"/>
      <c r="AQ1000" s="1709"/>
      <c r="AR1000" s="68"/>
      <c r="AS1000" s="68"/>
      <c r="AT1000" s="68"/>
      <c r="AU1000" s="68"/>
      <c r="AV1000" s="68"/>
      <c r="AW1000" s="68"/>
      <c r="AX1000" s="68"/>
      <c r="AY1000" s="68"/>
      <c r="AZ1000" s="34"/>
      <c r="BA1000" s="34"/>
      <c r="BB1000" s="14"/>
      <c r="BC1000" s="14"/>
    </row>
    <row r="1001" spans="1:55" ht="12.9" customHeight="1">
      <c r="A1001" s="14"/>
      <c r="B1001" s="1760" t="s">
        <v>511</v>
      </c>
      <c r="C1001" s="1761"/>
      <c r="D1001" s="1761"/>
      <c r="E1001" s="1761"/>
      <c r="F1001" s="1761"/>
      <c r="G1001" s="1761"/>
      <c r="H1001" s="1761"/>
      <c r="I1001" s="1761"/>
      <c r="J1001" s="1761"/>
      <c r="K1001" s="1761"/>
      <c r="L1001" s="1761"/>
      <c r="M1001" s="1761"/>
      <c r="N1001" s="1761"/>
      <c r="O1001" s="1761"/>
      <c r="P1001" s="1761"/>
      <c r="Q1001" s="1761"/>
      <c r="R1001" s="1761"/>
      <c r="S1001" s="1761"/>
      <c r="T1001" s="1761"/>
      <c r="U1001" s="1761"/>
      <c r="V1001" s="1761"/>
      <c r="W1001" s="1761"/>
      <c r="X1001" s="1761"/>
      <c r="Y1001" s="1761"/>
      <c r="Z1001" s="1761"/>
      <c r="AA1001" s="1761"/>
      <c r="AB1001" s="1761"/>
      <c r="AC1001" s="1761"/>
      <c r="AD1001" s="1761"/>
      <c r="AE1001" s="1761"/>
      <c r="AF1001" s="1761"/>
      <c r="AG1001" s="1761"/>
      <c r="AH1001" s="1761"/>
      <c r="AI1001" s="1762"/>
      <c r="AJ1001" s="1707">
        <f>SUM(AJ995:AQ999)</f>
        <v>106461696</v>
      </c>
      <c r="AK1001" s="1708"/>
      <c r="AL1001" s="1708"/>
      <c r="AM1001" s="1708"/>
      <c r="AN1001" s="1708"/>
      <c r="AO1001" s="1708"/>
      <c r="AP1001" s="1708"/>
      <c r="AQ1001" s="1709"/>
      <c r="AR1001" s="68"/>
      <c r="AS1001" s="68"/>
      <c r="AT1001" s="68"/>
      <c r="AU1001" s="68"/>
      <c r="AV1001" s="68"/>
      <c r="AW1001" s="68"/>
      <c r="AX1001" s="68"/>
      <c r="AY1001" s="68"/>
      <c r="AZ1001" s="34"/>
      <c r="BB1001" s="34"/>
      <c r="BC1001" s="34"/>
    </row>
    <row r="1002" spans="1:55" ht="12.9" customHeight="1">
      <c r="A1002" s="14"/>
      <c r="B1002" s="1757"/>
      <c r="C1002" s="1758"/>
      <c r="D1002" s="1758"/>
      <c r="E1002" s="1758"/>
      <c r="F1002" s="1758"/>
      <c r="G1002" s="1758"/>
      <c r="H1002" s="1758"/>
      <c r="I1002" s="1758"/>
      <c r="J1002" s="1758"/>
      <c r="K1002" s="1758"/>
      <c r="L1002" s="1758"/>
      <c r="M1002" s="1758"/>
      <c r="N1002" s="1758"/>
      <c r="O1002" s="1758"/>
      <c r="P1002" s="1758"/>
      <c r="Q1002" s="1758"/>
      <c r="R1002" s="1758"/>
      <c r="S1002" s="1758"/>
      <c r="T1002" s="1758"/>
      <c r="U1002" s="1758"/>
      <c r="V1002" s="1758"/>
      <c r="W1002" s="1758"/>
      <c r="X1002" s="1758"/>
      <c r="Y1002" s="1758"/>
      <c r="Z1002" s="1758"/>
      <c r="AA1002" s="1758"/>
      <c r="AB1002" s="1758"/>
      <c r="AC1002" s="1758"/>
      <c r="AD1002" s="1758"/>
      <c r="AE1002" s="1759"/>
      <c r="AF1002" s="1784" t="s">
        <v>664</v>
      </c>
      <c r="AG1002" s="1785"/>
      <c r="AH1002" s="1785"/>
      <c r="AI1002" s="1786"/>
      <c r="AJ1002" s="1757"/>
      <c r="AK1002" s="1758"/>
      <c r="AL1002" s="1758"/>
      <c r="AM1002" s="1758"/>
      <c r="AN1002" s="1758"/>
      <c r="AO1002" s="1758"/>
      <c r="AP1002" s="1758"/>
      <c r="AQ1002" s="1759"/>
      <c r="AR1002" s="68"/>
      <c r="AS1002" s="68"/>
      <c r="AT1002" s="68"/>
      <c r="AU1002" s="68"/>
      <c r="AV1002" s="68"/>
      <c r="AW1002" s="68"/>
      <c r="AX1002" s="68"/>
      <c r="AY1002" s="68"/>
      <c r="AZ1002" s="34"/>
      <c r="BA1002" s="34"/>
      <c r="BB1002" s="34"/>
      <c r="BC1002" s="34"/>
    </row>
    <row r="1003" spans="1:55" ht="12.9" customHeight="1">
      <c r="A1003" s="14"/>
      <c r="B1003" s="73"/>
      <c r="C1003" s="923" t="s">
        <v>666</v>
      </c>
      <c r="D1003" s="1763" t="s">
        <v>1218</v>
      </c>
      <c r="E1003" s="1764"/>
      <c r="F1003" s="1764"/>
      <c r="G1003" s="1764"/>
      <c r="H1003" s="1764"/>
      <c r="I1003" s="1764"/>
      <c r="J1003" s="1764"/>
      <c r="K1003" s="1764"/>
      <c r="L1003" s="1764"/>
      <c r="M1003" s="1764"/>
      <c r="N1003" s="1764"/>
      <c r="O1003" s="1764"/>
      <c r="P1003" s="1764"/>
      <c r="Q1003" s="1764"/>
      <c r="R1003" s="1764"/>
      <c r="S1003" s="1764"/>
      <c r="T1003" s="1764"/>
      <c r="U1003" s="1764"/>
      <c r="V1003" s="1764"/>
      <c r="W1003" s="1764"/>
      <c r="X1003" s="1764"/>
      <c r="Y1003" s="1764"/>
      <c r="Z1003" s="1764"/>
      <c r="AA1003" s="1764"/>
      <c r="AB1003" s="1764"/>
      <c r="AC1003" s="1764"/>
      <c r="AD1003" s="1764"/>
      <c r="AE1003" s="1765"/>
      <c r="AF1003" s="79"/>
      <c r="AG1003" s="1787" t="s">
        <v>544</v>
      </c>
      <c r="AH1003" s="1788"/>
      <c r="AI1003" s="87"/>
      <c r="AJ1003" s="1742">
        <f>ROUND(IF(AND(AG1003="yes",D1009&gt;0),AJ1001*0.2,0),0)</f>
        <v>21292339</v>
      </c>
      <c r="AK1003" s="1743"/>
      <c r="AL1003" s="1743"/>
      <c r="AM1003" s="1743"/>
      <c r="AN1003" s="1743"/>
      <c r="AO1003" s="1743"/>
      <c r="AP1003" s="1743"/>
      <c r="AQ1003" s="1744"/>
      <c r="AR1003" s="68"/>
      <c r="AS1003" s="68"/>
      <c r="AT1003" s="68"/>
      <c r="AU1003" s="68"/>
      <c r="AV1003" s="68"/>
      <c r="AW1003" s="68"/>
      <c r="AX1003" s="68"/>
      <c r="AY1003" s="68"/>
      <c r="AZ1003" s="34"/>
      <c r="BA1003" s="34"/>
      <c r="BB1003" s="34"/>
      <c r="BC1003" s="34"/>
    </row>
    <row r="1004" spans="1:55" ht="12.9" customHeight="1">
      <c r="A1004" s="14"/>
      <c r="B1004" s="257"/>
      <c r="C1004" s="256"/>
      <c r="D1004" s="1798" t="s">
        <v>2188</v>
      </c>
      <c r="E1004" s="1799"/>
      <c r="F1004" s="1799"/>
      <c r="G1004" s="1799"/>
      <c r="H1004" s="1799"/>
      <c r="I1004" s="1799"/>
      <c r="J1004" s="1799"/>
      <c r="K1004" s="1799"/>
      <c r="L1004" s="1799"/>
      <c r="M1004" s="1799"/>
      <c r="N1004" s="1799"/>
      <c r="O1004" s="1799"/>
      <c r="P1004" s="1799"/>
      <c r="Q1004" s="1799"/>
      <c r="R1004" s="1799"/>
      <c r="S1004" s="1799"/>
      <c r="T1004" s="1799"/>
      <c r="U1004" s="1799"/>
      <c r="V1004" s="1799"/>
      <c r="W1004" s="1799"/>
      <c r="X1004" s="1799"/>
      <c r="Y1004" s="1799"/>
      <c r="Z1004" s="1799"/>
      <c r="AA1004" s="1799"/>
      <c r="AB1004" s="1799"/>
      <c r="AC1004" s="1799"/>
      <c r="AD1004" s="1799"/>
      <c r="AE1004" s="1800"/>
      <c r="AF1004" s="73"/>
      <c r="AG1004" s="14"/>
      <c r="AH1004" s="14"/>
      <c r="AI1004" s="83"/>
      <c r="AJ1004" s="1745"/>
      <c r="AK1004" s="1746"/>
      <c r="AL1004" s="1746"/>
      <c r="AM1004" s="1746"/>
      <c r="AN1004" s="1746"/>
      <c r="AO1004" s="1746"/>
      <c r="AP1004" s="1746"/>
      <c r="AQ1004" s="1747"/>
      <c r="AR1004" s="68"/>
      <c r="AS1004" s="68"/>
      <c r="AT1004" s="68"/>
      <c r="AU1004" s="68"/>
      <c r="AV1004" s="68"/>
      <c r="AW1004" s="68"/>
      <c r="AX1004" s="68"/>
      <c r="AY1004" s="68"/>
      <c r="AZ1004" s="34"/>
      <c r="BA1004" s="34"/>
      <c r="BB1004" s="34"/>
      <c r="BC1004" s="34"/>
    </row>
    <row r="1005" spans="1:55" ht="12.9" customHeight="1">
      <c r="A1005" s="14"/>
      <c r="B1005" s="257"/>
      <c r="C1005" s="256"/>
      <c r="D1005" s="1798"/>
      <c r="E1005" s="1799"/>
      <c r="F1005" s="1799"/>
      <c r="G1005" s="1799"/>
      <c r="H1005" s="1799"/>
      <c r="I1005" s="1799"/>
      <c r="J1005" s="1799"/>
      <c r="K1005" s="1799"/>
      <c r="L1005" s="1799"/>
      <c r="M1005" s="1799"/>
      <c r="N1005" s="1799"/>
      <c r="O1005" s="1799"/>
      <c r="P1005" s="1799"/>
      <c r="Q1005" s="1799"/>
      <c r="R1005" s="1799"/>
      <c r="S1005" s="1799"/>
      <c r="T1005" s="1799"/>
      <c r="U1005" s="1799"/>
      <c r="V1005" s="1799"/>
      <c r="W1005" s="1799"/>
      <c r="X1005" s="1799"/>
      <c r="Y1005" s="1799"/>
      <c r="Z1005" s="1799"/>
      <c r="AA1005" s="1799"/>
      <c r="AB1005" s="1799"/>
      <c r="AC1005" s="1799"/>
      <c r="AD1005" s="1799"/>
      <c r="AE1005" s="1800"/>
      <c r="AF1005" s="73"/>
      <c r="AG1005" s="14"/>
      <c r="AH1005" s="14"/>
      <c r="AI1005" s="83"/>
      <c r="AJ1005" s="1745"/>
      <c r="AK1005" s="1746"/>
      <c r="AL1005" s="1746"/>
      <c r="AM1005" s="1746"/>
      <c r="AN1005" s="1746"/>
      <c r="AO1005" s="1746"/>
      <c r="AP1005" s="1746"/>
      <c r="AQ1005" s="1747"/>
      <c r="AR1005" s="68"/>
      <c r="AS1005" s="68"/>
      <c r="AT1005" s="68"/>
      <c r="AU1005" s="68"/>
      <c r="AV1005" s="68"/>
      <c r="AW1005" s="68"/>
      <c r="AX1005" s="68"/>
      <c r="AY1005" s="68"/>
      <c r="AZ1005" s="34"/>
      <c r="BA1005" s="34"/>
      <c r="BB1005" s="34"/>
      <c r="BC1005" s="34"/>
    </row>
    <row r="1006" spans="1:55" ht="12.9" customHeight="1">
      <c r="A1006" s="14"/>
      <c r="B1006" s="257"/>
      <c r="C1006" s="256"/>
      <c r="D1006" s="1798"/>
      <c r="E1006" s="1799"/>
      <c r="F1006" s="1799"/>
      <c r="G1006" s="1799"/>
      <c r="H1006" s="1799"/>
      <c r="I1006" s="1799"/>
      <c r="J1006" s="1799"/>
      <c r="K1006" s="1799"/>
      <c r="L1006" s="1799"/>
      <c r="M1006" s="1799"/>
      <c r="N1006" s="1799"/>
      <c r="O1006" s="1799"/>
      <c r="P1006" s="1799"/>
      <c r="Q1006" s="1799"/>
      <c r="R1006" s="1799"/>
      <c r="S1006" s="1799"/>
      <c r="T1006" s="1799"/>
      <c r="U1006" s="1799"/>
      <c r="V1006" s="1799"/>
      <c r="W1006" s="1799"/>
      <c r="X1006" s="1799"/>
      <c r="Y1006" s="1799"/>
      <c r="Z1006" s="1799"/>
      <c r="AA1006" s="1799"/>
      <c r="AB1006" s="1799"/>
      <c r="AC1006" s="1799"/>
      <c r="AD1006" s="1799"/>
      <c r="AE1006" s="1800"/>
      <c r="AF1006" s="73"/>
      <c r="AG1006" s="14"/>
      <c r="AH1006" s="14"/>
      <c r="AI1006" s="83"/>
      <c r="AJ1006" s="1745"/>
      <c r="AK1006" s="1746"/>
      <c r="AL1006" s="1746"/>
      <c r="AM1006" s="1746"/>
      <c r="AN1006" s="1746"/>
      <c r="AO1006" s="1746"/>
      <c r="AP1006" s="1746"/>
      <c r="AQ1006" s="1747"/>
      <c r="AR1006" s="68"/>
      <c r="AS1006" s="68"/>
      <c r="AT1006" s="68"/>
      <c r="AU1006" s="68"/>
      <c r="AV1006" s="68"/>
      <c r="AW1006" s="68"/>
      <c r="AX1006" s="68"/>
      <c r="AY1006" s="68"/>
      <c r="AZ1006" s="34"/>
      <c r="BA1006" s="34"/>
      <c r="BB1006" s="34"/>
      <c r="BC1006" s="34"/>
    </row>
    <row r="1007" spans="1:55" ht="12.9" customHeight="1">
      <c r="A1007" s="14"/>
      <c r="B1007" s="257"/>
      <c r="C1007" s="256"/>
      <c r="D1007" s="1798"/>
      <c r="E1007" s="1799"/>
      <c r="F1007" s="1799"/>
      <c r="G1007" s="1799"/>
      <c r="H1007" s="1799"/>
      <c r="I1007" s="1799"/>
      <c r="J1007" s="1799"/>
      <c r="K1007" s="1799"/>
      <c r="L1007" s="1799"/>
      <c r="M1007" s="1799"/>
      <c r="N1007" s="1799"/>
      <c r="O1007" s="1799"/>
      <c r="P1007" s="1799"/>
      <c r="Q1007" s="1799"/>
      <c r="R1007" s="1799"/>
      <c r="S1007" s="1799"/>
      <c r="T1007" s="1799"/>
      <c r="U1007" s="1799"/>
      <c r="V1007" s="1799"/>
      <c r="W1007" s="1799"/>
      <c r="X1007" s="1799"/>
      <c r="Y1007" s="1799"/>
      <c r="Z1007" s="1799"/>
      <c r="AA1007" s="1799"/>
      <c r="AB1007" s="1799"/>
      <c r="AC1007" s="1799"/>
      <c r="AD1007" s="1799"/>
      <c r="AE1007" s="1800"/>
      <c r="AF1007" s="73"/>
      <c r="AG1007" s="14"/>
      <c r="AH1007" s="14"/>
      <c r="AI1007" s="83"/>
      <c r="AJ1007" s="1745"/>
      <c r="AK1007" s="1746"/>
      <c r="AL1007" s="1746"/>
      <c r="AM1007" s="1746"/>
      <c r="AN1007" s="1746"/>
      <c r="AO1007" s="1746"/>
      <c r="AP1007" s="1746"/>
      <c r="AQ1007" s="1747"/>
      <c r="AR1007" s="68"/>
      <c r="AS1007" s="68"/>
      <c r="AT1007" s="68"/>
      <c r="AU1007" s="68"/>
      <c r="AV1007" s="68"/>
      <c r="AW1007" s="68"/>
      <c r="AX1007" s="68"/>
      <c r="AY1007" s="68"/>
      <c r="AZ1007" s="34"/>
      <c r="BA1007" s="34"/>
      <c r="BB1007" s="34"/>
      <c r="BC1007" s="34"/>
    </row>
    <row r="1008" spans="1:55" ht="12.9" customHeight="1">
      <c r="A1008" s="14"/>
      <c r="B1008" s="257"/>
      <c r="C1008" s="256"/>
      <c r="D1008" s="1823" t="s">
        <v>2159</v>
      </c>
      <c r="E1008" s="1824"/>
      <c r="F1008" s="1824"/>
      <c r="G1008" s="1824"/>
      <c r="H1008" s="1824"/>
      <c r="I1008" s="1824"/>
      <c r="J1008" s="1824"/>
      <c r="K1008" s="1824"/>
      <c r="L1008" s="1824"/>
      <c r="M1008" s="1824"/>
      <c r="N1008" s="1824"/>
      <c r="O1008" s="1824"/>
      <c r="P1008" s="1824"/>
      <c r="Q1008" s="1824"/>
      <c r="R1008" s="1824"/>
      <c r="S1008" s="1824"/>
      <c r="T1008" s="1824"/>
      <c r="U1008" s="1824"/>
      <c r="V1008" s="1824"/>
      <c r="W1008" s="1824"/>
      <c r="X1008" s="1824"/>
      <c r="Y1008" s="1824"/>
      <c r="Z1008" s="1824"/>
      <c r="AA1008" s="1824"/>
      <c r="AB1008" s="1824"/>
      <c r="AC1008" s="1824"/>
      <c r="AD1008" s="1824"/>
      <c r="AE1008" s="1825"/>
      <c r="AF1008" s="73"/>
      <c r="AG1008" s="14"/>
      <c r="AH1008" s="14"/>
      <c r="AI1008" s="83"/>
      <c r="AJ1008" s="1745"/>
      <c r="AK1008" s="1746"/>
      <c r="AL1008" s="1746"/>
      <c r="AM1008" s="1746"/>
      <c r="AN1008" s="1746"/>
      <c r="AO1008" s="1746"/>
      <c r="AP1008" s="1746"/>
      <c r="AQ1008" s="1747"/>
      <c r="AR1008" s="68"/>
      <c r="AS1008" s="68"/>
      <c r="AT1008" s="68"/>
      <c r="AU1008" s="68"/>
      <c r="AV1008" s="68"/>
      <c r="AW1008" s="68"/>
      <c r="AX1008" s="68"/>
      <c r="AY1008" s="68"/>
      <c r="AZ1008" s="34"/>
      <c r="BA1008" s="34"/>
      <c r="BB1008" s="34"/>
      <c r="BC1008" s="34"/>
    </row>
    <row r="1009" spans="1:55" ht="12.9" customHeight="1">
      <c r="A1009" s="14"/>
      <c r="B1009" s="257"/>
      <c r="C1009" s="256"/>
      <c r="D1009" s="1820" t="s">
        <v>2786</v>
      </c>
      <c r="E1009" s="1821"/>
      <c r="F1009" s="1821"/>
      <c r="G1009" s="1821"/>
      <c r="H1009" s="1821"/>
      <c r="I1009" s="1821"/>
      <c r="J1009" s="1821"/>
      <c r="K1009" s="1821"/>
      <c r="L1009" s="1821"/>
      <c r="M1009" s="1821"/>
      <c r="N1009" s="1821"/>
      <c r="O1009" s="1821"/>
      <c r="P1009" s="1821"/>
      <c r="Q1009" s="1821"/>
      <c r="R1009" s="1821"/>
      <c r="S1009" s="1821"/>
      <c r="T1009" s="1821"/>
      <c r="U1009" s="1821"/>
      <c r="V1009" s="1821"/>
      <c r="W1009" s="1821"/>
      <c r="X1009" s="1821"/>
      <c r="Y1009" s="1821"/>
      <c r="Z1009" s="1821"/>
      <c r="AA1009" s="1821"/>
      <c r="AB1009" s="1821"/>
      <c r="AC1009" s="1821"/>
      <c r="AD1009" s="1821"/>
      <c r="AE1009" s="1822"/>
      <c r="AF1009" s="77"/>
      <c r="AG1009" s="7"/>
      <c r="AH1009" s="7"/>
      <c r="AI1009" s="78"/>
      <c r="AJ1009" s="1754"/>
      <c r="AK1009" s="1755"/>
      <c r="AL1009" s="1755"/>
      <c r="AM1009" s="1755"/>
      <c r="AN1009" s="1755"/>
      <c r="AO1009" s="1755"/>
      <c r="AP1009" s="1755"/>
      <c r="AQ1009" s="1756"/>
      <c r="AR1009" s="68"/>
      <c r="AS1009" s="68"/>
      <c r="AT1009" s="68"/>
      <c r="AU1009" s="68"/>
      <c r="AV1009" s="68"/>
      <c r="AW1009" s="68"/>
      <c r="AX1009" s="68"/>
      <c r="AY1009" s="68"/>
      <c r="AZ1009" s="34"/>
      <c r="BA1009" s="34"/>
      <c r="BB1009" s="34"/>
      <c r="BC1009" s="34"/>
    </row>
    <row r="1010" spans="1:55" ht="12.9" customHeight="1">
      <c r="A1010" s="14"/>
      <c r="B1010" s="255"/>
      <c r="C1010" s="318"/>
      <c r="D1010" s="1724" t="s">
        <v>1284</v>
      </c>
      <c r="E1010" s="1725"/>
      <c r="F1010" s="1725"/>
      <c r="G1010" s="1725"/>
      <c r="H1010" s="1725"/>
      <c r="I1010" s="1725"/>
      <c r="J1010" s="1725"/>
      <c r="K1010" s="1725"/>
      <c r="L1010" s="1725"/>
      <c r="M1010" s="1725"/>
      <c r="N1010" s="1725"/>
      <c r="O1010" s="1725"/>
      <c r="P1010" s="1725"/>
      <c r="Q1010" s="1725"/>
      <c r="R1010" s="1725"/>
      <c r="S1010" s="1725"/>
      <c r="T1010" s="1725"/>
      <c r="U1010" s="1725"/>
      <c r="V1010" s="1725"/>
      <c r="W1010" s="1725"/>
      <c r="X1010" s="1725"/>
      <c r="Y1010" s="1725"/>
      <c r="Z1010" s="1725"/>
      <c r="AA1010" s="1725"/>
      <c r="AB1010" s="1725"/>
      <c r="AC1010" s="1725"/>
      <c r="AD1010" s="1725"/>
      <c r="AE1010" s="1726"/>
      <c r="AF1010" s="79"/>
      <c r="AG1010" s="1769" t="s">
        <v>667</v>
      </c>
      <c r="AH1010" s="1770"/>
      <c r="AI1010" s="87"/>
      <c r="AJ1010" s="1742">
        <f>ROUND(IF(AG1010="yes",AJ1001*0.05,0),0)</f>
        <v>0</v>
      </c>
      <c r="AK1010" s="1743"/>
      <c r="AL1010" s="1743"/>
      <c r="AM1010" s="1743"/>
      <c r="AN1010" s="1743"/>
      <c r="AO1010" s="1743"/>
      <c r="AP1010" s="1743"/>
      <c r="AQ1010" s="1744"/>
      <c r="AR1010" s="68"/>
      <c r="AS1010" s="68"/>
      <c r="AT1010" s="68"/>
      <c r="AU1010" s="68"/>
      <c r="AV1010" s="68"/>
      <c r="AW1010" s="68"/>
      <c r="AX1010" s="68"/>
      <c r="AY1010" s="68"/>
      <c r="AZ1010" s="34"/>
      <c r="BA1010" s="34"/>
      <c r="BB1010" s="34"/>
      <c r="BC1010" s="34"/>
    </row>
    <row r="1011" spans="1:55" ht="12.9" customHeight="1">
      <c r="A1011" s="14"/>
      <c r="B1011" s="257"/>
      <c r="C1011" s="82"/>
      <c r="D1011" s="1798" t="s">
        <v>1282</v>
      </c>
      <c r="E1011" s="1799"/>
      <c r="F1011" s="1799"/>
      <c r="G1011" s="1799"/>
      <c r="H1011" s="1799"/>
      <c r="I1011" s="1799"/>
      <c r="J1011" s="1799"/>
      <c r="K1011" s="1799"/>
      <c r="L1011" s="1799"/>
      <c r="M1011" s="1799"/>
      <c r="N1011" s="1799"/>
      <c r="O1011" s="1799"/>
      <c r="P1011" s="1799"/>
      <c r="Q1011" s="1799"/>
      <c r="R1011" s="1799"/>
      <c r="S1011" s="1799"/>
      <c r="T1011" s="1799"/>
      <c r="U1011" s="1799"/>
      <c r="V1011" s="1799"/>
      <c r="W1011" s="1799"/>
      <c r="X1011" s="1799"/>
      <c r="Y1011" s="1799"/>
      <c r="Z1011" s="1799"/>
      <c r="AA1011" s="1799"/>
      <c r="AB1011" s="1799"/>
      <c r="AC1011" s="1799"/>
      <c r="AD1011" s="1799"/>
      <c r="AE1011" s="1800"/>
      <c r="AF1011" s="73"/>
      <c r="AG1011" s="14"/>
      <c r="AH1011" s="14"/>
      <c r="AI1011" s="83"/>
      <c r="AJ1011" s="1745"/>
      <c r="AK1011" s="1746"/>
      <c r="AL1011" s="1746"/>
      <c r="AM1011" s="1746"/>
      <c r="AN1011" s="1746"/>
      <c r="AO1011" s="1746"/>
      <c r="AP1011" s="1746"/>
      <c r="AQ1011" s="1747"/>
      <c r="AR1011" s="68"/>
      <c r="AS1011" s="68"/>
      <c r="AT1011" s="68"/>
      <c r="AU1011" s="68"/>
      <c r="AV1011" s="68"/>
      <c r="AW1011" s="68"/>
      <c r="AX1011" s="68"/>
      <c r="AY1011" s="34"/>
      <c r="AZ1011" s="34"/>
      <c r="BB1011" s="34"/>
    </row>
    <row r="1012" spans="1:55" ht="12.9" customHeight="1">
      <c r="A1012" s="14"/>
      <c r="B1012" s="257"/>
      <c r="C1012" s="82"/>
      <c r="D1012" s="1798"/>
      <c r="E1012" s="1799"/>
      <c r="F1012" s="1799"/>
      <c r="G1012" s="1799"/>
      <c r="H1012" s="1799"/>
      <c r="I1012" s="1799"/>
      <c r="J1012" s="1799"/>
      <c r="K1012" s="1799"/>
      <c r="L1012" s="1799"/>
      <c r="M1012" s="1799"/>
      <c r="N1012" s="1799"/>
      <c r="O1012" s="1799"/>
      <c r="P1012" s="1799"/>
      <c r="Q1012" s="1799"/>
      <c r="R1012" s="1799"/>
      <c r="S1012" s="1799"/>
      <c r="T1012" s="1799"/>
      <c r="U1012" s="1799"/>
      <c r="V1012" s="1799"/>
      <c r="W1012" s="1799"/>
      <c r="X1012" s="1799"/>
      <c r="Y1012" s="1799"/>
      <c r="Z1012" s="1799"/>
      <c r="AA1012" s="1799"/>
      <c r="AB1012" s="1799"/>
      <c r="AC1012" s="1799"/>
      <c r="AD1012" s="1799"/>
      <c r="AE1012" s="1800"/>
      <c r="AF1012" s="73"/>
      <c r="AG1012" s="14"/>
      <c r="AH1012" s="14"/>
      <c r="AI1012" s="83"/>
      <c r="AJ1012" s="1745"/>
      <c r="AK1012" s="1746"/>
      <c r="AL1012" s="1746"/>
      <c r="AM1012" s="1746"/>
      <c r="AN1012" s="1746"/>
      <c r="AO1012" s="1746"/>
      <c r="AP1012" s="1746"/>
      <c r="AQ1012" s="1747"/>
      <c r="AR1012" s="68"/>
      <c r="AS1012" s="68"/>
      <c r="AT1012" s="68"/>
      <c r="AU1012" s="68"/>
      <c r="AV1012" s="68"/>
      <c r="AW1012" s="68"/>
      <c r="AX1012" s="68"/>
      <c r="AY1012" s="910">
        <f>G761+O805</f>
        <v>149</v>
      </c>
      <c r="AZ1012" s="34"/>
      <c r="BB1012" s="34"/>
    </row>
    <row r="1013" spans="1:55" ht="12.9" customHeight="1">
      <c r="A1013" s="14"/>
      <c r="B1013" s="257"/>
      <c r="C1013" s="82"/>
      <c r="D1013" s="1798"/>
      <c r="E1013" s="1799"/>
      <c r="F1013" s="1799"/>
      <c r="G1013" s="1799"/>
      <c r="H1013" s="1799"/>
      <c r="I1013" s="1799"/>
      <c r="J1013" s="1799"/>
      <c r="K1013" s="1799"/>
      <c r="L1013" s="1799"/>
      <c r="M1013" s="1799"/>
      <c r="N1013" s="1799"/>
      <c r="O1013" s="1799"/>
      <c r="P1013" s="1799"/>
      <c r="Q1013" s="1799"/>
      <c r="R1013" s="1799"/>
      <c r="S1013" s="1799"/>
      <c r="T1013" s="1799"/>
      <c r="U1013" s="1799"/>
      <c r="V1013" s="1799"/>
      <c r="W1013" s="1799"/>
      <c r="X1013" s="1799"/>
      <c r="Y1013" s="1799"/>
      <c r="Z1013" s="1799"/>
      <c r="AA1013" s="1799"/>
      <c r="AB1013" s="1799"/>
      <c r="AC1013" s="1799"/>
      <c r="AD1013" s="1799"/>
      <c r="AE1013" s="1800"/>
      <c r="AF1013" s="73"/>
      <c r="AG1013" s="14"/>
      <c r="AH1013" s="14"/>
      <c r="AI1013" s="83"/>
      <c r="AJ1013" s="1745"/>
      <c r="AK1013" s="1746"/>
      <c r="AL1013" s="1746"/>
      <c r="AM1013" s="1746"/>
      <c r="AN1013" s="1746"/>
      <c r="AO1013" s="1746"/>
      <c r="AP1013" s="1746"/>
      <c r="AQ1013" s="1747"/>
      <c r="AR1013" s="68"/>
      <c r="AS1013" s="68"/>
      <c r="AT1013" s="68"/>
      <c r="AU1013" s="68"/>
      <c r="AV1013" s="68"/>
      <c r="AW1013" s="68"/>
      <c r="AX1013" s="68"/>
      <c r="AY1013" s="14"/>
      <c r="AZ1013" s="34"/>
      <c r="BB1013" s="34"/>
    </row>
    <row r="1014" spans="1:55" ht="12.9" customHeight="1">
      <c r="A1014" s="14"/>
      <c r="B1014" s="257"/>
      <c r="C1014" s="82"/>
      <c r="D1014" s="1798"/>
      <c r="E1014" s="1799"/>
      <c r="F1014" s="1799"/>
      <c r="G1014" s="1799"/>
      <c r="H1014" s="1799"/>
      <c r="I1014" s="1799"/>
      <c r="J1014" s="1799"/>
      <c r="K1014" s="1799"/>
      <c r="L1014" s="1799"/>
      <c r="M1014" s="1799"/>
      <c r="N1014" s="1799"/>
      <c r="O1014" s="1799"/>
      <c r="P1014" s="1799"/>
      <c r="Q1014" s="1799"/>
      <c r="R1014" s="1799"/>
      <c r="S1014" s="1799"/>
      <c r="T1014" s="1799"/>
      <c r="U1014" s="1799"/>
      <c r="V1014" s="1799"/>
      <c r="W1014" s="1799"/>
      <c r="X1014" s="1799"/>
      <c r="Y1014" s="1799"/>
      <c r="Z1014" s="1799"/>
      <c r="AA1014" s="1799"/>
      <c r="AB1014" s="1799"/>
      <c r="AC1014" s="1799"/>
      <c r="AD1014" s="1799"/>
      <c r="AE1014" s="1800"/>
      <c r="AF1014" s="73"/>
      <c r="AG1014" s="14"/>
      <c r="AH1014" s="14"/>
      <c r="AI1014" s="83"/>
      <c r="AJ1014" s="1745"/>
      <c r="AK1014" s="1746"/>
      <c r="AL1014" s="1746"/>
      <c r="AM1014" s="1746"/>
      <c r="AN1014" s="1746"/>
      <c r="AO1014" s="1746"/>
      <c r="AP1014" s="1746"/>
      <c r="AQ1014" s="1747"/>
      <c r="AR1014" s="68"/>
      <c r="AS1014" s="68"/>
      <c r="AT1014" s="68"/>
      <c r="AU1014" s="68"/>
      <c r="AV1014" s="68"/>
      <c r="AW1014" s="68"/>
      <c r="AX1014" s="68"/>
      <c r="AY1014" s="909">
        <f>ROUNDDOWN(X1057/I1057,2)</f>
        <v>0.38</v>
      </c>
      <c r="AZ1014" s="34"/>
      <c r="BB1014" s="34"/>
    </row>
    <row r="1015" spans="1:55" ht="12.9" customHeight="1">
      <c r="A1015" s="14"/>
      <c r="B1015" s="75"/>
      <c r="C1015" s="76"/>
      <c r="D1015" s="1823"/>
      <c r="E1015" s="1824"/>
      <c r="F1015" s="1824"/>
      <c r="G1015" s="1824"/>
      <c r="H1015" s="1824"/>
      <c r="I1015" s="1824"/>
      <c r="J1015" s="1824"/>
      <c r="K1015" s="1824"/>
      <c r="L1015" s="1824"/>
      <c r="M1015" s="1824"/>
      <c r="N1015" s="1824"/>
      <c r="O1015" s="1824"/>
      <c r="P1015" s="1824"/>
      <c r="Q1015" s="1824"/>
      <c r="R1015" s="1824"/>
      <c r="S1015" s="1824"/>
      <c r="T1015" s="1824"/>
      <c r="U1015" s="1824"/>
      <c r="V1015" s="1824"/>
      <c r="W1015" s="1824"/>
      <c r="X1015" s="1824"/>
      <c r="Y1015" s="1824"/>
      <c r="Z1015" s="1824"/>
      <c r="AA1015" s="1824"/>
      <c r="AB1015" s="1824"/>
      <c r="AC1015" s="1824"/>
      <c r="AD1015" s="1824"/>
      <c r="AE1015" s="1825"/>
      <c r="AF1015" s="77"/>
      <c r="AG1015" s="7"/>
      <c r="AH1015" s="7"/>
      <c r="AI1015" s="78"/>
      <c r="AJ1015" s="1754"/>
      <c r="AK1015" s="1755"/>
      <c r="AL1015" s="1755"/>
      <c r="AM1015" s="1755"/>
      <c r="AN1015" s="1755"/>
      <c r="AO1015" s="1755"/>
      <c r="AP1015" s="1755"/>
      <c r="AQ1015" s="1756"/>
      <c r="AR1015" s="68"/>
      <c r="AS1015" s="68"/>
      <c r="AT1015" s="68"/>
      <c r="AU1015" s="68"/>
      <c r="AV1015" s="68"/>
      <c r="AW1015" s="68"/>
      <c r="AX1015" s="68"/>
      <c r="AY1015" s="909">
        <f>ROUNDDOWN(X1061/I1061,2)</f>
        <v>0.49</v>
      </c>
      <c r="AZ1015" s="34"/>
      <c r="BB1015" s="34"/>
    </row>
    <row r="1016" spans="1:55" ht="12.9" customHeight="1">
      <c r="A1016" s="14"/>
      <c r="B1016" s="255"/>
      <c r="C1016" s="80" t="s">
        <v>670</v>
      </c>
      <c r="D1016" s="1724" t="s">
        <v>1670</v>
      </c>
      <c r="E1016" s="1725"/>
      <c r="F1016" s="1725"/>
      <c r="G1016" s="1725"/>
      <c r="H1016" s="1725"/>
      <c r="I1016" s="1725"/>
      <c r="J1016" s="1725"/>
      <c r="K1016" s="1725"/>
      <c r="L1016" s="1725"/>
      <c r="M1016" s="1725"/>
      <c r="N1016" s="1725"/>
      <c r="O1016" s="1725"/>
      <c r="P1016" s="1725"/>
      <c r="Q1016" s="1725"/>
      <c r="R1016" s="1725"/>
      <c r="S1016" s="1725"/>
      <c r="T1016" s="1725"/>
      <c r="U1016" s="1725"/>
      <c r="V1016" s="1725"/>
      <c r="W1016" s="1725"/>
      <c r="X1016" s="1725"/>
      <c r="Y1016" s="1725"/>
      <c r="Z1016" s="1725"/>
      <c r="AA1016" s="1725"/>
      <c r="AB1016" s="1725"/>
      <c r="AC1016" s="1725"/>
      <c r="AD1016" s="1725"/>
      <c r="AE1016" s="1726"/>
      <c r="AF1016" s="86"/>
      <c r="AG1016" s="1769" t="s">
        <v>544</v>
      </c>
      <c r="AH1016" s="1770"/>
      <c r="AI1016" s="87"/>
      <c r="AJ1016" s="1742">
        <f>ROUND(IF(AG1016="yes",AJ1001*0.1,0),0)</f>
        <v>10646170</v>
      </c>
      <c r="AK1016" s="1743"/>
      <c r="AL1016" s="1743"/>
      <c r="AM1016" s="1743"/>
      <c r="AN1016" s="1743"/>
      <c r="AO1016" s="1743"/>
      <c r="AP1016" s="1743"/>
      <c r="AQ1016" s="1744"/>
      <c r="AR1016" s="68"/>
      <c r="AS1016" s="68"/>
      <c r="AT1016" s="68"/>
      <c r="AU1016" s="68"/>
      <c r="AV1016" s="68"/>
      <c r="AW1016" s="68"/>
      <c r="AX1016" s="68"/>
      <c r="BB1016" s="34"/>
    </row>
    <row r="1017" spans="1:55" ht="12.9" customHeight="1">
      <c r="A1017" s="14"/>
      <c r="B1017" s="73"/>
      <c r="C1017" s="74"/>
      <c r="D1017" s="1748" t="s">
        <v>1283</v>
      </c>
      <c r="E1017" s="1749"/>
      <c r="F1017" s="1749"/>
      <c r="G1017" s="1749"/>
      <c r="H1017" s="1749"/>
      <c r="I1017" s="1749"/>
      <c r="J1017" s="1749"/>
      <c r="K1017" s="1749"/>
      <c r="L1017" s="1749"/>
      <c r="M1017" s="1749"/>
      <c r="N1017" s="1749"/>
      <c r="O1017" s="1749"/>
      <c r="P1017" s="1749"/>
      <c r="Q1017" s="1749"/>
      <c r="R1017" s="1749"/>
      <c r="S1017" s="1749"/>
      <c r="T1017" s="1749"/>
      <c r="U1017" s="1749"/>
      <c r="V1017" s="1749"/>
      <c r="W1017" s="1749"/>
      <c r="X1017" s="1749"/>
      <c r="Y1017" s="1749"/>
      <c r="Z1017" s="1749"/>
      <c r="AA1017" s="1749"/>
      <c r="AB1017" s="1749"/>
      <c r="AC1017" s="1749"/>
      <c r="AD1017" s="1749"/>
      <c r="AE1017" s="1750"/>
      <c r="AF1017" s="73"/>
      <c r="AI1017" s="83"/>
      <c r="AJ1017" s="1745"/>
      <c r="AK1017" s="1746"/>
      <c r="AL1017" s="1746"/>
      <c r="AM1017" s="1746"/>
      <c r="AN1017" s="1746"/>
      <c r="AO1017" s="1746"/>
      <c r="AP1017" s="1746"/>
      <c r="AQ1017" s="1747"/>
      <c r="AR1017" s="68"/>
      <c r="AS1017" s="68"/>
      <c r="AT1017" s="68"/>
      <c r="AU1017" s="68"/>
      <c r="AV1017" s="68"/>
      <c r="AW1017" s="68"/>
      <c r="AX1017" s="68"/>
    </row>
    <row r="1018" spans="1:55" ht="12.9" customHeight="1">
      <c r="A1018" s="14"/>
      <c r="B1018" s="73"/>
      <c r="C1018" s="74"/>
      <c r="D1018" s="1748"/>
      <c r="E1018" s="1749"/>
      <c r="F1018" s="1749"/>
      <c r="G1018" s="1749"/>
      <c r="H1018" s="1749"/>
      <c r="I1018" s="1749"/>
      <c r="J1018" s="1749"/>
      <c r="K1018" s="1749"/>
      <c r="L1018" s="1749"/>
      <c r="M1018" s="1749"/>
      <c r="N1018" s="1749"/>
      <c r="O1018" s="1749"/>
      <c r="P1018" s="1749"/>
      <c r="Q1018" s="1749"/>
      <c r="R1018" s="1749"/>
      <c r="S1018" s="1749"/>
      <c r="T1018" s="1749"/>
      <c r="U1018" s="1749"/>
      <c r="V1018" s="1749"/>
      <c r="W1018" s="1749"/>
      <c r="X1018" s="1749"/>
      <c r="Y1018" s="1749"/>
      <c r="Z1018" s="1749"/>
      <c r="AA1018" s="1749"/>
      <c r="AB1018" s="1749"/>
      <c r="AC1018" s="1749"/>
      <c r="AD1018" s="1749"/>
      <c r="AE1018" s="1750"/>
      <c r="AF1018" s="73"/>
      <c r="AG1018" s="14"/>
      <c r="AH1018" s="14"/>
      <c r="AI1018" s="83"/>
      <c r="AJ1018" s="1745"/>
      <c r="AK1018" s="1746"/>
      <c r="AL1018" s="1746"/>
      <c r="AM1018" s="1746"/>
      <c r="AN1018" s="1746"/>
      <c r="AO1018" s="1746"/>
      <c r="AP1018" s="1746"/>
      <c r="AQ1018" s="1747"/>
      <c r="AR1018" s="68"/>
      <c r="AS1018" s="68"/>
      <c r="AT1018" s="68"/>
      <c r="AU1018" s="68"/>
      <c r="AV1018" s="68"/>
      <c r="AW1018" s="68"/>
      <c r="AX1018" s="68"/>
    </row>
    <row r="1019" spans="1:55" ht="12.9" customHeight="1">
      <c r="A1019" s="14"/>
      <c r="B1019" s="85"/>
      <c r="C1019" s="76"/>
      <c r="D1019" s="1751"/>
      <c r="E1019" s="1752"/>
      <c r="F1019" s="1752"/>
      <c r="G1019" s="1752"/>
      <c r="H1019" s="1752"/>
      <c r="I1019" s="1752"/>
      <c r="J1019" s="1752"/>
      <c r="K1019" s="1752"/>
      <c r="L1019" s="1752"/>
      <c r="M1019" s="1752"/>
      <c r="N1019" s="1752"/>
      <c r="O1019" s="1752"/>
      <c r="P1019" s="1752"/>
      <c r="Q1019" s="1752"/>
      <c r="R1019" s="1752"/>
      <c r="S1019" s="1752"/>
      <c r="T1019" s="1752"/>
      <c r="U1019" s="1752"/>
      <c r="V1019" s="1752"/>
      <c r="W1019" s="1752"/>
      <c r="X1019" s="1752"/>
      <c r="Y1019" s="1752"/>
      <c r="Z1019" s="1752"/>
      <c r="AA1019" s="1752"/>
      <c r="AB1019" s="1752"/>
      <c r="AC1019" s="1752"/>
      <c r="AD1019" s="1752"/>
      <c r="AE1019" s="1753"/>
      <c r="AF1019" s="77"/>
      <c r="AG1019" s="7"/>
      <c r="AH1019" s="7"/>
      <c r="AI1019" s="78"/>
      <c r="AJ1019" s="1754"/>
      <c r="AK1019" s="1755"/>
      <c r="AL1019" s="1755"/>
      <c r="AM1019" s="1755"/>
      <c r="AN1019" s="1755"/>
      <c r="AO1019" s="1755"/>
      <c r="AP1019" s="1755"/>
      <c r="AQ1019" s="1756"/>
      <c r="AR1019" s="68"/>
      <c r="AS1019" s="68"/>
      <c r="AT1019" s="68"/>
      <c r="AU1019" s="68"/>
      <c r="AV1019" s="68"/>
      <c r="AW1019" s="68"/>
      <c r="AX1019" s="68"/>
    </row>
    <row r="1020" spans="1:55" ht="12.9" customHeight="1">
      <c r="A1020" s="14"/>
      <c r="B1020" s="79"/>
      <c r="C1020" s="80" t="s">
        <v>211</v>
      </c>
      <c r="D1020" s="1724" t="s">
        <v>1285</v>
      </c>
      <c r="E1020" s="1725"/>
      <c r="F1020" s="1725"/>
      <c r="G1020" s="1725"/>
      <c r="H1020" s="1725"/>
      <c r="I1020" s="1725"/>
      <c r="J1020" s="1725"/>
      <c r="K1020" s="1725"/>
      <c r="L1020" s="1725"/>
      <c r="M1020" s="1725"/>
      <c r="N1020" s="1725"/>
      <c r="O1020" s="1725"/>
      <c r="P1020" s="1725"/>
      <c r="Q1020" s="1725"/>
      <c r="R1020" s="1725"/>
      <c r="S1020" s="1725"/>
      <c r="T1020" s="1725"/>
      <c r="U1020" s="1725"/>
      <c r="V1020" s="1725"/>
      <c r="W1020" s="1725"/>
      <c r="X1020" s="1725"/>
      <c r="Y1020" s="1725"/>
      <c r="Z1020" s="1725"/>
      <c r="AA1020" s="1725"/>
      <c r="AB1020" s="1725"/>
      <c r="AC1020" s="1725"/>
      <c r="AD1020" s="1725"/>
      <c r="AE1020" s="1726"/>
      <c r="AF1020" s="79"/>
      <c r="AG1020" s="1769" t="s">
        <v>667</v>
      </c>
      <c r="AH1020" s="1770"/>
      <c r="AI1020" s="87"/>
      <c r="AJ1020" s="1742">
        <f>ROUND(IF(AG1020="yes",AJ1001*0.02,0),0)</f>
        <v>0</v>
      </c>
      <c r="AK1020" s="1743"/>
      <c r="AL1020" s="1743"/>
      <c r="AM1020" s="1743"/>
      <c r="AN1020" s="1743"/>
      <c r="AO1020" s="1743"/>
      <c r="AP1020" s="1743"/>
      <c r="AQ1020" s="1744"/>
      <c r="AR1020" s="68"/>
      <c r="AS1020" s="68"/>
      <c r="AT1020" s="68"/>
      <c r="AU1020" s="68"/>
      <c r="AV1020" s="68"/>
      <c r="AW1020" s="68"/>
      <c r="AX1020" s="68"/>
    </row>
    <row r="1021" spans="1:55" ht="14.25" customHeight="1">
      <c r="A1021" s="14"/>
      <c r="B1021" s="73"/>
      <c r="C1021" s="74"/>
      <c r="D1021" s="1751" t="s">
        <v>1286</v>
      </c>
      <c r="E1021" s="1752"/>
      <c r="F1021" s="1752"/>
      <c r="G1021" s="1752"/>
      <c r="H1021" s="1752"/>
      <c r="I1021" s="1752"/>
      <c r="J1021" s="1752"/>
      <c r="K1021" s="1752"/>
      <c r="L1021" s="1752"/>
      <c r="M1021" s="1752"/>
      <c r="N1021" s="1752"/>
      <c r="O1021" s="1752"/>
      <c r="P1021" s="1752"/>
      <c r="Q1021" s="1752"/>
      <c r="R1021" s="1752"/>
      <c r="S1021" s="1752"/>
      <c r="T1021" s="1752"/>
      <c r="U1021" s="1752"/>
      <c r="V1021" s="1752"/>
      <c r="W1021" s="1752"/>
      <c r="X1021" s="1752"/>
      <c r="Y1021" s="1752"/>
      <c r="Z1021" s="1752"/>
      <c r="AA1021" s="1752"/>
      <c r="AB1021" s="1752"/>
      <c r="AC1021" s="1752"/>
      <c r="AD1021" s="1752"/>
      <c r="AE1021" s="1753"/>
      <c r="AF1021" s="77"/>
      <c r="AG1021" s="7"/>
      <c r="AH1021" s="7"/>
      <c r="AI1021" s="78"/>
      <c r="AJ1021" s="1754"/>
      <c r="AK1021" s="1755"/>
      <c r="AL1021" s="1755"/>
      <c r="AM1021" s="1755"/>
      <c r="AN1021" s="1755"/>
      <c r="AO1021" s="1755"/>
      <c r="AP1021" s="1755"/>
      <c r="AQ1021" s="1756"/>
      <c r="AR1021" s="68"/>
      <c r="AS1021" s="68"/>
      <c r="AT1021" s="68"/>
      <c r="AU1021" s="68"/>
      <c r="AV1021" s="68"/>
      <c r="AW1021" s="68"/>
      <c r="AX1021" s="3" t="s">
        <v>1816</v>
      </c>
      <c r="AZ1021" s="3" t="s">
        <v>2532</v>
      </c>
    </row>
    <row r="1022" spans="1:55" ht="12.9" customHeight="1">
      <c r="A1022" s="14"/>
      <c r="B1022" s="79"/>
      <c r="C1022" s="80" t="s">
        <v>214</v>
      </c>
      <c r="D1022" s="1724" t="s">
        <v>1287</v>
      </c>
      <c r="E1022" s="1725"/>
      <c r="F1022" s="1725"/>
      <c r="G1022" s="1725"/>
      <c r="H1022" s="1725"/>
      <c r="I1022" s="1725"/>
      <c r="J1022" s="1725"/>
      <c r="K1022" s="1725"/>
      <c r="L1022" s="1725"/>
      <c r="M1022" s="1725"/>
      <c r="N1022" s="1725"/>
      <c r="O1022" s="1725"/>
      <c r="P1022" s="1725"/>
      <c r="Q1022" s="1725"/>
      <c r="R1022" s="1725"/>
      <c r="S1022" s="1725"/>
      <c r="T1022" s="1725"/>
      <c r="U1022" s="1725"/>
      <c r="V1022" s="1725"/>
      <c r="W1022" s="1725"/>
      <c r="X1022" s="1725"/>
      <c r="Y1022" s="1725"/>
      <c r="Z1022" s="1725"/>
      <c r="AA1022" s="1725"/>
      <c r="AB1022" s="1725"/>
      <c r="AC1022" s="1725"/>
      <c r="AD1022" s="1725"/>
      <c r="AE1022" s="1726"/>
      <c r="AF1022" s="79"/>
      <c r="AG1022" s="1769" t="s">
        <v>667</v>
      </c>
      <c r="AH1022" s="1770"/>
      <c r="AI1022" s="79"/>
      <c r="AJ1022" s="1742">
        <f>ROUND(IF(AG1022="yes",AJ1001*0.02,0),0)</f>
        <v>0</v>
      </c>
      <c r="AK1022" s="1743"/>
      <c r="AL1022" s="1743"/>
      <c r="AM1022" s="1743"/>
      <c r="AN1022" s="1743"/>
      <c r="AO1022" s="1743"/>
      <c r="AP1022" s="1743"/>
      <c r="AQ1022" s="1744"/>
      <c r="AR1022" s="68"/>
      <c r="AS1022" s="68"/>
      <c r="AT1022" s="68"/>
      <c r="AU1022" s="68"/>
      <c r="AV1022" s="68"/>
      <c r="AW1022" s="68"/>
      <c r="AX1022" s="3">
        <v>1</v>
      </c>
      <c r="AY1022" s="200">
        <f>IF((_xlfn.XLOOKUP(AX1022,$C$1074:$C$1112,$A$1074:$A$1112,"",0,1))="Yes",AZ1022,0)</f>
        <v>0</v>
      </c>
      <c r="AZ1022" s="1189">
        <v>0.2</v>
      </c>
    </row>
    <row r="1023" spans="1:55" ht="12.9" customHeight="1">
      <c r="A1023" s="14"/>
      <c r="B1023" s="73"/>
      <c r="C1023" s="74"/>
      <c r="D1023" s="1748" t="s">
        <v>1288</v>
      </c>
      <c r="E1023" s="1749"/>
      <c r="F1023" s="1749"/>
      <c r="G1023" s="1749"/>
      <c r="H1023" s="1749"/>
      <c r="I1023" s="1749"/>
      <c r="J1023" s="1749"/>
      <c r="K1023" s="1749"/>
      <c r="L1023" s="1749"/>
      <c r="M1023" s="1749"/>
      <c r="N1023" s="1749"/>
      <c r="O1023" s="1749"/>
      <c r="P1023" s="1749"/>
      <c r="Q1023" s="1749"/>
      <c r="R1023" s="1749"/>
      <c r="S1023" s="1749"/>
      <c r="T1023" s="1749"/>
      <c r="U1023" s="1749"/>
      <c r="V1023" s="1749"/>
      <c r="W1023" s="1749"/>
      <c r="X1023" s="1749"/>
      <c r="Y1023" s="1749"/>
      <c r="Z1023" s="1749"/>
      <c r="AA1023" s="1749"/>
      <c r="AB1023" s="1749"/>
      <c r="AC1023" s="1749"/>
      <c r="AD1023" s="1749"/>
      <c r="AE1023" s="1750"/>
      <c r="AF1023" s="1857" t="str">
        <f>IF(AND(AG1022="yes",T212&lt;&gt;1),"The project may not be eligible for this boost","")</f>
        <v/>
      </c>
      <c r="AG1023" s="1858"/>
      <c r="AH1023" s="1858"/>
      <c r="AI1023" s="1859"/>
      <c r="AJ1023" s="1745"/>
      <c r="AK1023" s="1746"/>
      <c r="AL1023" s="1746"/>
      <c r="AM1023" s="1746"/>
      <c r="AN1023" s="1746"/>
      <c r="AO1023" s="1746"/>
      <c r="AP1023" s="1746"/>
      <c r="AQ1023" s="1747"/>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751"/>
      <c r="E1024" s="1752"/>
      <c r="F1024" s="1752"/>
      <c r="G1024" s="1752"/>
      <c r="H1024" s="1752"/>
      <c r="I1024" s="1752"/>
      <c r="J1024" s="1752"/>
      <c r="K1024" s="1752"/>
      <c r="L1024" s="1752"/>
      <c r="M1024" s="1752"/>
      <c r="N1024" s="1752"/>
      <c r="O1024" s="1752"/>
      <c r="P1024" s="1752"/>
      <c r="Q1024" s="1752"/>
      <c r="R1024" s="1752"/>
      <c r="S1024" s="1752"/>
      <c r="T1024" s="1752"/>
      <c r="U1024" s="1752"/>
      <c r="V1024" s="1752"/>
      <c r="W1024" s="1752"/>
      <c r="X1024" s="1752"/>
      <c r="Y1024" s="1752"/>
      <c r="Z1024" s="1752"/>
      <c r="AA1024" s="1752"/>
      <c r="AB1024" s="1752"/>
      <c r="AC1024" s="1752"/>
      <c r="AD1024" s="1752"/>
      <c r="AE1024" s="1753"/>
      <c r="AF1024" s="1860"/>
      <c r="AG1024" s="1861"/>
      <c r="AH1024" s="1861"/>
      <c r="AI1024" s="1862"/>
      <c r="AJ1024" s="1754"/>
      <c r="AK1024" s="1755"/>
      <c r="AL1024" s="1755"/>
      <c r="AM1024" s="1755"/>
      <c r="AN1024" s="1755"/>
      <c r="AO1024" s="1755"/>
      <c r="AP1024" s="1755"/>
      <c r="AQ1024" s="1756"/>
      <c r="AR1024" s="68"/>
      <c r="AS1024" s="68"/>
      <c r="AT1024" s="68"/>
      <c r="AU1024" s="68"/>
      <c r="AV1024" s="68"/>
      <c r="AW1024" s="68"/>
      <c r="AX1024" s="3">
        <v>3</v>
      </c>
      <c r="AY1024" s="200">
        <f t="shared" si="55"/>
        <v>0</v>
      </c>
      <c r="AZ1024" s="1189">
        <v>0.05</v>
      </c>
    </row>
    <row r="1025" spans="1:52" ht="12.9" customHeight="1">
      <c r="A1025" s="14"/>
      <c r="B1025" s="79"/>
      <c r="C1025" s="80" t="s">
        <v>217</v>
      </c>
      <c r="D1025" s="1763" t="s">
        <v>2189</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69" t="s">
        <v>667</v>
      </c>
      <c r="AH1025" s="1770"/>
      <c r="AI1025" s="87"/>
      <c r="AJ1025" s="1742">
        <f>IF(AG1025="yes",AJ1001*AY1033,0)</f>
        <v>0</v>
      </c>
      <c r="AK1025" s="1743"/>
      <c r="AL1025" s="1743"/>
      <c r="AM1025" s="1743"/>
      <c r="AN1025" s="1743"/>
      <c r="AO1025" s="1743"/>
      <c r="AP1025" s="1743"/>
      <c r="AQ1025" s="1744"/>
      <c r="AR1025" s="68"/>
      <c r="AS1025" s="68"/>
      <c r="AT1025" s="68"/>
      <c r="AU1025" s="68"/>
      <c r="AV1025" s="68"/>
      <c r="AW1025" s="68"/>
      <c r="AX1025" s="3">
        <v>4</v>
      </c>
      <c r="AY1025" s="200">
        <f t="shared" si="55"/>
        <v>0</v>
      </c>
      <c r="AZ1025" s="1189">
        <v>0.02</v>
      </c>
    </row>
    <row r="1026" spans="1:52" ht="12.9" customHeight="1">
      <c r="A1026" s="14"/>
      <c r="B1026" s="73"/>
      <c r="C1026" s="74"/>
      <c r="D1026" s="1748" t="s">
        <v>2598</v>
      </c>
      <c r="E1026" s="1749"/>
      <c r="F1026" s="1749"/>
      <c r="G1026" s="1749"/>
      <c r="H1026" s="1749"/>
      <c r="I1026" s="1749"/>
      <c r="J1026" s="1749"/>
      <c r="K1026" s="1749"/>
      <c r="L1026" s="1749"/>
      <c r="M1026" s="1749"/>
      <c r="N1026" s="1749"/>
      <c r="O1026" s="1749"/>
      <c r="P1026" s="1749"/>
      <c r="Q1026" s="1749"/>
      <c r="R1026" s="1749"/>
      <c r="S1026" s="1749"/>
      <c r="T1026" s="1749"/>
      <c r="U1026" s="1749"/>
      <c r="V1026" s="1749"/>
      <c r="W1026" s="1749"/>
      <c r="X1026" s="1749"/>
      <c r="Y1026" s="1749"/>
      <c r="Z1026" s="1749"/>
      <c r="AA1026" s="1749"/>
      <c r="AB1026" s="1749"/>
      <c r="AC1026" s="1749"/>
      <c r="AD1026" s="1749"/>
      <c r="AE1026" s="1750"/>
      <c r="AF1026" s="1851" t="str">
        <f>IF(AND(AG1025="Yes",AY1033=0),AY1036,"")</f>
        <v/>
      </c>
      <c r="AG1026" s="1852"/>
      <c r="AH1026" s="1852"/>
      <c r="AI1026" s="1853"/>
      <c r="AJ1026" s="1745"/>
      <c r="AK1026" s="1746"/>
      <c r="AL1026" s="1746"/>
      <c r="AM1026" s="1746"/>
      <c r="AN1026" s="1746"/>
      <c r="AO1026" s="1746"/>
      <c r="AP1026" s="1746"/>
      <c r="AQ1026" s="1747"/>
      <c r="AR1026" s="68"/>
      <c r="AS1026" s="68"/>
      <c r="AT1026" s="68"/>
      <c r="AU1026" s="68"/>
      <c r="AV1026" s="68"/>
      <c r="AW1026" s="68"/>
      <c r="AX1026" s="3">
        <v>5</v>
      </c>
      <c r="AY1026" s="200">
        <f t="shared" si="55"/>
        <v>0</v>
      </c>
      <c r="AZ1026" s="1189">
        <v>0.04</v>
      </c>
    </row>
    <row r="1027" spans="1:52" ht="12.9" customHeight="1">
      <c r="A1027" s="14"/>
      <c r="B1027" s="73"/>
      <c r="C1027" s="74"/>
      <c r="D1027" s="1748"/>
      <c r="E1027" s="1749"/>
      <c r="F1027" s="1749"/>
      <c r="G1027" s="1749"/>
      <c r="H1027" s="1749"/>
      <c r="I1027" s="1749"/>
      <c r="J1027" s="1749"/>
      <c r="K1027" s="1749"/>
      <c r="L1027" s="1749"/>
      <c r="M1027" s="1749"/>
      <c r="N1027" s="1749"/>
      <c r="O1027" s="1749"/>
      <c r="P1027" s="1749"/>
      <c r="Q1027" s="1749"/>
      <c r="R1027" s="1749"/>
      <c r="S1027" s="1749"/>
      <c r="T1027" s="1749"/>
      <c r="U1027" s="1749"/>
      <c r="V1027" s="1749"/>
      <c r="W1027" s="1749"/>
      <c r="X1027" s="1749"/>
      <c r="Y1027" s="1749"/>
      <c r="Z1027" s="1749"/>
      <c r="AA1027" s="1749"/>
      <c r="AB1027" s="1749"/>
      <c r="AC1027" s="1749"/>
      <c r="AD1027" s="1749"/>
      <c r="AE1027" s="1750"/>
      <c r="AF1027" s="1851"/>
      <c r="AG1027" s="1852"/>
      <c r="AH1027" s="1852"/>
      <c r="AI1027" s="1853"/>
      <c r="AJ1027" s="1745"/>
      <c r="AK1027" s="1746"/>
      <c r="AL1027" s="1746"/>
      <c r="AM1027" s="1746"/>
      <c r="AN1027" s="1746"/>
      <c r="AO1027" s="1746"/>
      <c r="AP1027" s="1746"/>
      <c r="AQ1027" s="1747"/>
      <c r="AR1027" s="68"/>
      <c r="AS1027" s="68"/>
      <c r="AT1027" s="68"/>
      <c r="AU1027" s="68"/>
      <c r="AV1027" s="68"/>
      <c r="AW1027" s="68"/>
      <c r="AX1027" s="3">
        <v>6</v>
      </c>
      <c r="AY1027" s="200">
        <f t="shared" si="55"/>
        <v>0</v>
      </c>
      <c r="AZ1027" s="1189">
        <v>0.04</v>
      </c>
    </row>
    <row r="1028" spans="1:52" ht="12.9" customHeight="1">
      <c r="A1028" s="14"/>
      <c r="B1028" s="81"/>
      <c r="C1028" s="82"/>
      <c r="D1028" s="1751"/>
      <c r="E1028" s="1752"/>
      <c r="F1028" s="1752"/>
      <c r="G1028" s="1752"/>
      <c r="H1028" s="1752"/>
      <c r="I1028" s="1752"/>
      <c r="J1028" s="1752"/>
      <c r="K1028" s="1752"/>
      <c r="L1028" s="1752"/>
      <c r="M1028" s="1752"/>
      <c r="N1028" s="1752"/>
      <c r="O1028" s="1752"/>
      <c r="P1028" s="1752"/>
      <c r="Q1028" s="1752"/>
      <c r="R1028" s="1752"/>
      <c r="S1028" s="1752"/>
      <c r="T1028" s="1752"/>
      <c r="U1028" s="1752"/>
      <c r="V1028" s="1752"/>
      <c r="W1028" s="1752"/>
      <c r="X1028" s="1752"/>
      <c r="Y1028" s="1752"/>
      <c r="Z1028" s="1752"/>
      <c r="AA1028" s="1752"/>
      <c r="AB1028" s="1752"/>
      <c r="AC1028" s="1752"/>
      <c r="AD1028" s="1752"/>
      <c r="AE1028" s="1753"/>
      <c r="AF1028" s="1854"/>
      <c r="AG1028" s="1855"/>
      <c r="AH1028" s="1855"/>
      <c r="AI1028" s="1856"/>
      <c r="AJ1028" s="1754"/>
      <c r="AK1028" s="1755"/>
      <c r="AL1028" s="1755"/>
      <c r="AM1028" s="1755"/>
      <c r="AN1028" s="1755"/>
      <c r="AO1028" s="1755"/>
      <c r="AP1028" s="1755"/>
      <c r="AQ1028" s="1756"/>
      <c r="AR1028" s="68"/>
      <c r="AS1028" s="68"/>
      <c r="AT1028" s="68"/>
      <c r="AU1028" s="68"/>
      <c r="AV1028" s="68"/>
      <c r="AW1028" s="68"/>
      <c r="AX1028" s="3">
        <v>7</v>
      </c>
      <c r="AY1028" s="200">
        <f t="shared" si="55"/>
        <v>0</v>
      </c>
      <c r="AZ1028" s="1189">
        <v>0.01</v>
      </c>
    </row>
    <row r="1029" spans="1:52" ht="12.9" customHeight="1">
      <c r="A1029" s="14"/>
      <c r="B1029" s="79"/>
      <c r="C1029" s="80" t="s">
        <v>222</v>
      </c>
      <c r="D1029" s="1789" t="s">
        <v>1289</v>
      </c>
      <c r="E1029" s="1790"/>
      <c r="F1029" s="1790"/>
      <c r="G1029" s="1790"/>
      <c r="H1029" s="1790"/>
      <c r="I1029" s="1790"/>
      <c r="J1029" s="1790"/>
      <c r="K1029" s="1790"/>
      <c r="L1029" s="1790"/>
      <c r="M1029" s="1790"/>
      <c r="N1029" s="1790"/>
      <c r="O1029" s="1790"/>
      <c r="P1029" s="1790"/>
      <c r="Q1029" s="1790"/>
      <c r="R1029" s="1790"/>
      <c r="S1029" s="1790"/>
      <c r="T1029" s="1790"/>
      <c r="U1029" s="1790"/>
      <c r="V1029" s="1790"/>
      <c r="W1029" s="1790"/>
      <c r="X1029" s="1790"/>
      <c r="Y1029" s="1790"/>
      <c r="Z1029" s="1790"/>
      <c r="AA1029" s="1790"/>
      <c r="AB1029" s="1790"/>
      <c r="AC1029" s="1790"/>
      <c r="AD1029" s="1790"/>
      <c r="AE1029" s="1791"/>
      <c r="AF1029" s="79"/>
      <c r="AG1029" s="1769" t="s">
        <v>667</v>
      </c>
      <c r="AH1029" s="1770"/>
      <c r="AI1029" s="87"/>
      <c r="AJ1029" s="1742">
        <f>ROUND(IF(AND(AG1029="Yes",J1033&lt;&gt;"N/A",AF1032&lt;&gt;""),MIN(AF1032,(0.15*AJ1001)),0),0)</f>
        <v>0</v>
      </c>
      <c r="AK1029" s="1743"/>
      <c r="AL1029" s="1743"/>
      <c r="AM1029" s="1743"/>
      <c r="AN1029" s="1743"/>
      <c r="AO1029" s="1743"/>
      <c r="AP1029" s="1743"/>
      <c r="AQ1029" s="1744"/>
      <c r="AR1029" s="68"/>
      <c r="AS1029" s="68"/>
      <c r="AT1029" s="68"/>
      <c r="AU1029" s="68"/>
      <c r="AV1029" s="68"/>
      <c r="AW1029" s="68"/>
      <c r="AX1029" s="3">
        <v>8</v>
      </c>
      <c r="AY1029" s="200">
        <f t="shared" si="55"/>
        <v>0</v>
      </c>
      <c r="AZ1029" s="1189">
        <v>0.01</v>
      </c>
    </row>
    <row r="1030" spans="1:52" ht="12.9" customHeight="1">
      <c r="A1030" s="14"/>
      <c r="B1030" s="81"/>
      <c r="C1030" s="84"/>
      <c r="D1030" s="1792"/>
      <c r="E1030" s="1793"/>
      <c r="F1030" s="1793"/>
      <c r="G1030" s="1793"/>
      <c r="H1030" s="1793"/>
      <c r="I1030" s="1793"/>
      <c r="J1030" s="1793"/>
      <c r="K1030" s="1793"/>
      <c r="L1030" s="1793"/>
      <c r="M1030" s="1793"/>
      <c r="N1030" s="1793"/>
      <c r="O1030" s="1793"/>
      <c r="P1030" s="1793"/>
      <c r="Q1030" s="1793"/>
      <c r="R1030" s="1793"/>
      <c r="S1030" s="1793"/>
      <c r="T1030" s="1793"/>
      <c r="U1030" s="1793"/>
      <c r="V1030" s="1793"/>
      <c r="W1030" s="1793"/>
      <c r="X1030" s="1793"/>
      <c r="Y1030" s="1793"/>
      <c r="Z1030" s="1793"/>
      <c r="AA1030" s="1793"/>
      <c r="AB1030" s="1793"/>
      <c r="AC1030" s="1793"/>
      <c r="AD1030" s="1793"/>
      <c r="AE1030" s="1794"/>
      <c r="AF1030" s="1814" t="str">
        <f>IF(AG1029="yes","Please Select Type and Enter Amount:","")</f>
        <v/>
      </c>
      <c r="AG1030" s="1815"/>
      <c r="AH1030" s="1815"/>
      <c r="AI1030" s="1816"/>
      <c r="AJ1030" s="1745"/>
      <c r="AK1030" s="1746"/>
      <c r="AL1030" s="1746"/>
      <c r="AM1030" s="1746"/>
      <c r="AN1030" s="1746"/>
      <c r="AO1030" s="1746"/>
      <c r="AP1030" s="1746"/>
      <c r="AQ1030" s="1747"/>
      <c r="AR1030" s="68"/>
      <c r="AS1030" s="68"/>
      <c r="AT1030" s="68"/>
      <c r="AU1030" s="68"/>
      <c r="AV1030" s="68"/>
      <c r="AW1030" s="68"/>
      <c r="AX1030" s="3">
        <v>9</v>
      </c>
      <c r="AY1030" s="200">
        <f t="shared" si="55"/>
        <v>0</v>
      </c>
      <c r="AZ1030" s="1189">
        <v>0.01</v>
      </c>
    </row>
    <row r="1031" spans="1:52" ht="12.9" customHeight="1">
      <c r="A1031" s="14"/>
      <c r="B1031" s="81"/>
      <c r="C1031" s="84"/>
      <c r="D1031" s="1748" t="s">
        <v>1290</v>
      </c>
      <c r="E1031" s="1749"/>
      <c r="F1031" s="1749"/>
      <c r="G1031" s="1749"/>
      <c r="H1031" s="1749"/>
      <c r="I1031" s="1749"/>
      <c r="J1031" s="1749"/>
      <c r="K1031" s="1749"/>
      <c r="L1031" s="1749"/>
      <c r="M1031" s="1749"/>
      <c r="N1031" s="1749"/>
      <c r="O1031" s="1749"/>
      <c r="P1031" s="1749"/>
      <c r="Q1031" s="1749"/>
      <c r="R1031" s="1749"/>
      <c r="S1031" s="1749"/>
      <c r="T1031" s="1749"/>
      <c r="U1031" s="1749"/>
      <c r="V1031" s="1749"/>
      <c r="W1031" s="1749"/>
      <c r="X1031" s="1749"/>
      <c r="Y1031" s="1749"/>
      <c r="Z1031" s="1749"/>
      <c r="AA1031" s="1749"/>
      <c r="AB1031" s="1749"/>
      <c r="AC1031" s="1749"/>
      <c r="AD1031" s="1749"/>
      <c r="AE1031" s="1750"/>
      <c r="AF1031" s="1814"/>
      <c r="AG1031" s="1815"/>
      <c r="AH1031" s="1815"/>
      <c r="AI1031" s="1816"/>
      <c r="AJ1031" s="1745"/>
      <c r="AK1031" s="1746"/>
      <c r="AL1031" s="1746"/>
      <c r="AM1031" s="1746"/>
      <c r="AN1031" s="1746"/>
      <c r="AO1031" s="1746"/>
      <c r="AP1031" s="1746"/>
      <c r="AQ1031" s="1747"/>
      <c r="AR1031" s="68"/>
      <c r="AS1031" s="68"/>
      <c r="AT1031" s="68"/>
      <c r="AU1031" s="68"/>
      <c r="AV1031" s="68"/>
      <c r="AW1031" s="68"/>
      <c r="AX1031" s="3">
        <v>10</v>
      </c>
      <c r="AY1031" s="200">
        <f t="shared" si="55"/>
        <v>0</v>
      </c>
      <c r="AZ1031" s="1189">
        <v>0.02</v>
      </c>
    </row>
    <row r="1032" spans="1:52" ht="12.9" customHeight="1">
      <c r="A1032" s="14"/>
      <c r="B1032" s="81"/>
      <c r="C1032" s="84"/>
      <c r="D1032" s="1748"/>
      <c r="E1032" s="1749"/>
      <c r="F1032" s="1749"/>
      <c r="G1032" s="1749"/>
      <c r="H1032" s="1749"/>
      <c r="I1032" s="1749"/>
      <c r="J1032" s="1749"/>
      <c r="K1032" s="1749"/>
      <c r="L1032" s="1749"/>
      <c r="M1032" s="1749"/>
      <c r="N1032" s="1749"/>
      <c r="O1032" s="1749"/>
      <c r="P1032" s="1749"/>
      <c r="Q1032" s="1749"/>
      <c r="R1032" s="1749"/>
      <c r="S1032" s="1749"/>
      <c r="T1032" s="1749"/>
      <c r="U1032" s="1749"/>
      <c r="V1032" s="1749"/>
      <c r="W1032" s="1749"/>
      <c r="X1032" s="1749"/>
      <c r="Y1032" s="1749"/>
      <c r="Z1032" s="1749"/>
      <c r="AA1032" s="1749"/>
      <c r="AB1032" s="1749"/>
      <c r="AC1032" s="1749"/>
      <c r="AD1032" s="1749"/>
      <c r="AE1032" s="1750"/>
      <c r="AF1032" s="1810"/>
      <c r="AG1032" s="1810"/>
      <c r="AH1032" s="1810"/>
      <c r="AI1032" s="1810"/>
      <c r="AJ1032" s="1745"/>
      <c r="AK1032" s="1746"/>
      <c r="AL1032" s="1746"/>
      <c r="AM1032" s="1746"/>
      <c r="AN1032" s="1746"/>
      <c r="AO1032" s="1746"/>
      <c r="AP1032" s="1746"/>
      <c r="AQ1032" s="1747"/>
      <c r="AR1032" s="68"/>
      <c r="AS1032" s="68"/>
      <c r="AT1032" s="68"/>
      <c r="AU1032" s="68"/>
      <c r="AV1032" s="68"/>
      <c r="AW1032" s="68"/>
      <c r="AX1032" s="3">
        <v>11</v>
      </c>
      <c r="AY1032" s="200">
        <f t="shared" si="55"/>
        <v>0</v>
      </c>
      <c r="AZ1032" s="1189">
        <v>0.02</v>
      </c>
    </row>
    <row r="1033" spans="1:52" ht="12.9" customHeight="1">
      <c r="A1033" s="14"/>
      <c r="B1033" s="81"/>
      <c r="C1033" s="84"/>
      <c r="D1033" s="526" t="s">
        <v>358</v>
      </c>
      <c r="E1033" s="90"/>
      <c r="F1033" s="90"/>
      <c r="G1033" s="104"/>
      <c r="H1033" s="104"/>
      <c r="I1033" s="49"/>
      <c r="J1033" s="1847" t="s">
        <v>590</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10"/>
      <c r="AG1033" s="1810"/>
      <c r="AH1033" s="1810"/>
      <c r="AI1033" s="1810"/>
      <c r="AJ1033" s="1754"/>
      <c r="AK1033" s="1755"/>
      <c r="AL1033" s="1755"/>
      <c r="AM1033" s="1755"/>
      <c r="AN1033" s="1755"/>
      <c r="AO1033" s="1755"/>
      <c r="AP1033" s="1755"/>
      <c r="AQ1033" s="1756"/>
      <c r="AR1033" s="68"/>
      <c r="AS1033" s="68"/>
      <c r="AT1033" s="68"/>
      <c r="AU1033" s="68"/>
      <c r="AV1033" s="68"/>
      <c r="AW1033" s="68"/>
      <c r="AX1033" s="1027" t="s">
        <v>2531</v>
      </c>
      <c r="AY1033" s="201">
        <f>IF(SUM(AY1022:AY1032)&lt;=0.2,SUM(AY1022:AY1032),0.2)</f>
        <v>0</v>
      </c>
    </row>
    <row r="1034" spans="1:52" ht="12.9" customHeight="1">
      <c r="A1034" s="14"/>
      <c r="B1034" s="79"/>
      <c r="C1034" s="80" t="s">
        <v>228</v>
      </c>
      <c r="D1034" s="1724" t="s">
        <v>1291</v>
      </c>
      <c r="E1034" s="1725"/>
      <c r="F1034" s="1725"/>
      <c r="G1034" s="1725"/>
      <c r="H1034" s="1725"/>
      <c r="I1034" s="1725"/>
      <c r="J1034" s="1725"/>
      <c r="K1034" s="1725"/>
      <c r="L1034" s="1725"/>
      <c r="M1034" s="1725"/>
      <c r="N1034" s="1725"/>
      <c r="O1034" s="1725"/>
      <c r="P1034" s="1725"/>
      <c r="Q1034" s="1725"/>
      <c r="R1034" s="1725"/>
      <c r="S1034" s="1725"/>
      <c r="T1034" s="1725"/>
      <c r="U1034" s="1725"/>
      <c r="V1034" s="1725"/>
      <c r="W1034" s="1725"/>
      <c r="X1034" s="1725"/>
      <c r="Y1034" s="1725"/>
      <c r="Z1034" s="1725"/>
      <c r="AA1034" s="1725"/>
      <c r="AB1034" s="1725"/>
      <c r="AC1034" s="1725"/>
      <c r="AD1034" s="1725"/>
      <c r="AE1034" s="1726"/>
      <c r="AF1034" s="79"/>
      <c r="AG1034" s="1769" t="s">
        <v>544</v>
      </c>
      <c r="AH1034" s="1770"/>
      <c r="AI1034" s="87"/>
      <c r="AJ1034" s="1742">
        <f>ROUND(IF(AG1034="Yes",AF1036,0),0)</f>
        <v>6154048</v>
      </c>
      <c r="AK1034" s="1743"/>
      <c r="AL1034" s="1743"/>
      <c r="AM1034" s="1743"/>
      <c r="AN1034" s="1743"/>
      <c r="AO1034" s="1743"/>
      <c r="AP1034" s="1743"/>
      <c r="AQ1034" s="1744"/>
      <c r="AR1034" s="68"/>
      <c r="AS1034" s="68"/>
      <c r="AT1034" s="68"/>
      <c r="AU1034" s="68"/>
      <c r="AV1034" s="68"/>
      <c r="AW1034" s="68"/>
      <c r="AX1034" s="68"/>
      <c r="AY1034" s="68"/>
    </row>
    <row r="1035" spans="1:52" ht="12.9" customHeight="1">
      <c r="A1035" s="14"/>
      <c r="B1035" s="73"/>
      <c r="C1035" s="74"/>
      <c r="D1035" s="1748" t="s">
        <v>1677</v>
      </c>
      <c r="E1035" s="1749"/>
      <c r="F1035" s="1749"/>
      <c r="G1035" s="1749"/>
      <c r="H1035" s="1749"/>
      <c r="I1035" s="1749"/>
      <c r="J1035" s="1749"/>
      <c r="K1035" s="1749"/>
      <c r="L1035" s="1749"/>
      <c r="M1035" s="1749"/>
      <c r="N1035" s="1749"/>
      <c r="O1035" s="1749"/>
      <c r="P1035" s="1749"/>
      <c r="Q1035" s="1749"/>
      <c r="R1035" s="1749"/>
      <c r="S1035" s="1749"/>
      <c r="T1035" s="1749"/>
      <c r="U1035" s="1749"/>
      <c r="V1035" s="1749"/>
      <c r="W1035" s="1749"/>
      <c r="X1035" s="1749"/>
      <c r="Y1035" s="1749"/>
      <c r="Z1035" s="1749"/>
      <c r="AA1035" s="1749"/>
      <c r="AB1035" s="1749"/>
      <c r="AC1035" s="1749"/>
      <c r="AD1035" s="1749"/>
      <c r="AE1035" s="1750"/>
      <c r="AF1035" s="1795" t="str">
        <f>IF(AG1034="yes","Enter Amount:","")</f>
        <v>Enter Amount:</v>
      </c>
      <c r="AG1035" s="1796"/>
      <c r="AH1035" s="1796"/>
      <c r="AI1035" s="1797"/>
      <c r="AJ1035" s="1745"/>
      <c r="AK1035" s="1746"/>
      <c r="AL1035" s="1746"/>
      <c r="AM1035" s="1746"/>
      <c r="AN1035" s="1746"/>
      <c r="AO1035" s="1746"/>
      <c r="AP1035" s="1746"/>
      <c r="AQ1035" s="1747"/>
      <c r="AR1035" s="68"/>
      <c r="AS1035" s="68"/>
      <c r="AT1035" s="68"/>
      <c r="AU1035" s="68"/>
      <c r="AV1035" s="68"/>
      <c r="AW1035" s="68"/>
      <c r="AX1035" s="68"/>
      <c r="AY1035" s="68"/>
    </row>
    <row r="1036" spans="1:52" ht="12.9" customHeight="1">
      <c r="A1036" s="14"/>
      <c r="B1036" s="73"/>
      <c r="C1036" s="74"/>
      <c r="D1036" s="1748"/>
      <c r="E1036" s="1749"/>
      <c r="F1036" s="1749"/>
      <c r="G1036" s="1749"/>
      <c r="H1036" s="1749"/>
      <c r="I1036" s="1749"/>
      <c r="J1036" s="1749"/>
      <c r="K1036" s="1749"/>
      <c r="L1036" s="1749"/>
      <c r="M1036" s="1749"/>
      <c r="N1036" s="1749"/>
      <c r="O1036" s="1749"/>
      <c r="P1036" s="1749"/>
      <c r="Q1036" s="1749"/>
      <c r="R1036" s="1749"/>
      <c r="S1036" s="1749"/>
      <c r="T1036" s="1749"/>
      <c r="U1036" s="1749"/>
      <c r="V1036" s="1749"/>
      <c r="W1036" s="1749"/>
      <c r="X1036" s="1749"/>
      <c r="Y1036" s="1749"/>
      <c r="Z1036" s="1749"/>
      <c r="AA1036" s="1749"/>
      <c r="AB1036" s="1749"/>
      <c r="AC1036" s="1749"/>
      <c r="AD1036" s="1749"/>
      <c r="AE1036" s="1750"/>
      <c r="AF1036" s="1810">
        <v>6154048</v>
      </c>
      <c r="AG1036" s="1810"/>
      <c r="AH1036" s="1810"/>
      <c r="AI1036" s="1810"/>
      <c r="AJ1036" s="1745"/>
      <c r="AK1036" s="1746"/>
      <c r="AL1036" s="1746"/>
      <c r="AM1036" s="1746"/>
      <c r="AN1036" s="1746"/>
      <c r="AO1036" s="1746"/>
      <c r="AP1036" s="1746"/>
      <c r="AQ1036" s="1747"/>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751"/>
      <c r="E1037" s="1752"/>
      <c r="F1037" s="1752"/>
      <c r="G1037" s="1752"/>
      <c r="H1037" s="1752"/>
      <c r="I1037" s="1752"/>
      <c r="J1037" s="1752"/>
      <c r="K1037" s="1752"/>
      <c r="L1037" s="1752"/>
      <c r="M1037" s="1752"/>
      <c r="N1037" s="1752"/>
      <c r="O1037" s="1752"/>
      <c r="P1037" s="1752"/>
      <c r="Q1037" s="1752"/>
      <c r="R1037" s="1752"/>
      <c r="S1037" s="1752"/>
      <c r="T1037" s="1752"/>
      <c r="U1037" s="1752"/>
      <c r="V1037" s="1752"/>
      <c r="W1037" s="1752"/>
      <c r="X1037" s="1752"/>
      <c r="Y1037" s="1752"/>
      <c r="Z1037" s="1752"/>
      <c r="AA1037" s="1752"/>
      <c r="AB1037" s="1752"/>
      <c r="AC1037" s="1752"/>
      <c r="AD1037" s="1752"/>
      <c r="AE1037" s="1753"/>
      <c r="AF1037" s="1810"/>
      <c r="AG1037" s="1810"/>
      <c r="AH1037" s="1810"/>
      <c r="AI1037" s="1810"/>
      <c r="AJ1037" s="1754"/>
      <c r="AK1037" s="1755"/>
      <c r="AL1037" s="1755"/>
      <c r="AM1037" s="1755"/>
      <c r="AN1037" s="1755"/>
      <c r="AO1037" s="1755"/>
      <c r="AP1037" s="1755"/>
      <c r="AQ1037" s="1756"/>
      <c r="AR1037" s="68"/>
      <c r="AS1037" s="68"/>
      <c r="AT1037" s="68"/>
      <c r="AU1037" s="68"/>
      <c r="AV1037" s="68"/>
      <c r="AW1037" s="68"/>
      <c r="AX1037" s="68"/>
      <c r="AY1037" s="68"/>
    </row>
    <row r="1038" spans="1:52" ht="12.9" customHeight="1">
      <c r="A1038" s="14"/>
      <c r="B1038" s="79"/>
      <c r="C1038" s="80" t="s">
        <v>233</v>
      </c>
      <c r="D1038" s="1763" t="s">
        <v>1292</v>
      </c>
      <c r="E1038" s="1764"/>
      <c r="F1038" s="1764"/>
      <c r="G1038" s="1764"/>
      <c r="H1038" s="1764"/>
      <c r="I1038" s="1764"/>
      <c r="J1038" s="1764"/>
      <c r="K1038" s="1764"/>
      <c r="L1038" s="1764"/>
      <c r="M1038" s="1764"/>
      <c r="N1038" s="1764"/>
      <c r="O1038" s="1764"/>
      <c r="P1038" s="1764"/>
      <c r="Q1038" s="1764"/>
      <c r="R1038" s="1764"/>
      <c r="S1038" s="1764"/>
      <c r="T1038" s="1764"/>
      <c r="U1038" s="1764"/>
      <c r="V1038" s="1764"/>
      <c r="W1038" s="1764"/>
      <c r="X1038" s="1764"/>
      <c r="Y1038" s="1764"/>
      <c r="Z1038" s="1764"/>
      <c r="AA1038" s="1764"/>
      <c r="AB1038" s="1764"/>
      <c r="AC1038" s="1764"/>
      <c r="AD1038" s="1764"/>
      <c r="AE1038" s="1765"/>
      <c r="AF1038" s="79"/>
      <c r="AG1038" s="1769" t="s">
        <v>544</v>
      </c>
      <c r="AH1038" s="1770"/>
      <c r="AI1038" s="87"/>
      <c r="AJ1038" s="1742">
        <f>ROUND(IF(AG1038="yes",(AJ1001*0.1),0),0)</f>
        <v>10646170</v>
      </c>
      <c r="AK1038" s="1743"/>
      <c r="AL1038" s="1743"/>
      <c r="AM1038" s="1743"/>
      <c r="AN1038" s="1743"/>
      <c r="AO1038" s="1743"/>
      <c r="AP1038" s="1743"/>
      <c r="AQ1038" s="1744"/>
      <c r="AR1038" s="68"/>
      <c r="AS1038" s="68"/>
      <c r="AT1038" s="68"/>
      <c r="AU1038" s="68"/>
      <c r="AV1038" s="68"/>
      <c r="AW1038" s="68"/>
      <c r="AX1038" s="68"/>
      <c r="AY1038" s="68"/>
    </row>
    <row r="1039" spans="1:52" ht="12.9" customHeight="1">
      <c r="A1039" s="14"/>
      <c r="B1039" s="73"/>
      <c r="C1039" s="74"/>
      <c r="D1039" s="1748" t="s">
        <v>1293</v>
      </c>
      <c r="E1039" s="1749"/>
      <c r="F1039" s="1749"/>
      <c r="G1039" s="1749"/>
      <c r="H1039" s="1749"/>
      <c r="I1039" s="1749"/>
      <c r="J1039" s="1749"/>
      <c r="K1039" s="1749"/>
      <c r="L1039" s="1749"/>
      <c r="M1039" s="1749"/>
      <c r="N1039" s="1749"/>
      <c r="O1039" s="1749"/>
      <c r="P1039" s="1749"/>
      <c r="Q1039" s="1749"/>
      <c r="R1039" s="1749"/>
      <c r="S1039" s="1749"/>
      <c r="T1039" s="1749"/>
      <c r="U1039" s="1749"/>
      <c r="V1039" s="1749"/>
      <c r="W1039" s="1749"/>
      <c r="X1039" s="1749"/>
      <c r="Y1039" s="1749"/>
      <c r="Z1039" s="1749"/>
      <c r="AA1039" s="1749"/>
      <c r="AB1039" s="1749"/>
      <c r="AC1039" s="1749"/>
      <c r="AD1039" s="1749"/>
      <c r="AE1039" s="1750"/>
      <c r="AF1039" s="73"/>
      <c r="AG1039" s="14"/>
      <c r="AH1039" s="14"/>
      <c r="AI1039" s="83"/>
      <c r="AJ1039" s="1745"/>
      <c r="AK1039" s="1746"/>
      <c r="AL1039" s="1746"/>
      <c r="AM1039" s="1746"/>
      <c r="AN1039" s="1746"/>
      <c r="AO1039" s="1746"/>
      <c r="AP1039" s="1746"/>
      <c r="AQ1039" s="1747"/>
      <c r="AR1039" s="68"/>
      <c r="AS1039" s="68"/>
      <c r="AT1039" s="68"/>
      <c r="AU1039" s="68"/>
      <c r="AV1039" s="68"/>
      <c r="AW1039" s="68"/>
      <c r="AX1039" s="68"/>
      <c r="AY1039" s="68"/>
    </row>
    <row r="1040" spans="1:52" ht="12.9" customHeight="1">
      <c r="A1040" s="14"/>
      <c r="B1040" s="77"/>
      <c r="C1040" s="74"/>
      <c r="D1040" s="1751"/>
      <c r="E1040" s="1752"/>
      <c r="F1040" s="1752"/>
      <c r="G1040" s="1752"/>
      <c r="H1040" s="1752"/>
      <c r="I1040" s="1752"/>
      <c r="J1040" s="1752"/>
      <c r="K1040" s="1752"/>
      <c r="L1040" s="1752"/>
      <c r="M1040" s="1752"/>
      <c r="N1040" s="1752"/>
      <c r="O1040" s="1752"/>
      <c r="P1040" s="1752"/>
      <c r="Q1040" s="1752"/>
      <c r="R1040" s="1752"/>
      <c r="S1040" s="1752"/>
      <c r="T1040" s="1752"/>
      <c r="U1040" s="1752"/>
      <c r="V1040" s="1752"/>
      <c r="W1040" s="1752"/>
      <c r="X1040" s="1752"/>
      <c r="Y1040" s="1752"/>
      <c r="Z1040" s="1752"/>
      <c r="AA1040" s="1752"/>
      <c r="AB1040" s="1752"/>
      <c r="AC1040" s="1752"/>
      <c r="AD1040" s="1752"/>
      <c r="AE1040" s="1753"/>
      <c r="AF1040" s="73"/>
      <c r="AG1040" s="14"/>
      <c r="AH1040" s="14"/>
      <c r="AI1040" s="83"/>
      <c r="AJ1040" s="1754"/>
      <c r="AK1040" s="1755"/>
      <c r="AL1040" s="1755"/>
      <c r="AM1040" s="1755"/>
      <c r="AN1040" s="1755"/>
      <c r="AO1040" s="1755"/>
      <c r="AP1040" s="1755"/>
      <c r="AQ1040" s="1756"/>
      <c r="AR1040" s="68"/>
      <c r="AS1040" s="68"/>
      <c r="AT1040" s="68"/>
      <c r="AU1040" s="68"/>
      <c r="AV1040" s="68"/>
      <c r="AW1040" s="68"/>
      <c r="AX1040" s="68"/>
      <c r="AY1040" s="68"/>
    </row>
    <row r="1041" spans="1:57" ht="12.9" customHeight="1">
      <c r="A1041" s="14"/>
      <c r="B1041" s="73"/>
      <c r="C1041" s="339" t="s">
        <v>685</v>
      </c>
      <c r="D1041" s="1724" t="s">
        <v>1673</v>
      </c>
      <c r="E1041" s="1725"/>
      <c r="F1041" s="1725"/>
      <c r="G1041" s="1725"/>
      <c r="H1041" s="1725"/>
      <c r="I1041" s="1725"/>
      <c r="J1041" s="1725"/>
      <c r="K1041" s="1725"/>
      <c r="L1041" s="1725"/>
      <c r="M1041" s="1725"/>
      <c r="N1041" s="1725"/>
      <c r="O1041" s="1725"/>
      <c r="P1041" s="1725"/>
      <c r="Q1041" s="1725"/>
      <c r="R1041" s="1725"/>
      <c r="S1041" s="1725"/>
      <c r="T1041" s="1725"/>
      <c r="U1041" s="1725"/>
      <c r="V1041" s="1725"/>
      <c r="W1041" s="1725"/>
      <c r="X1041" s="1725"/>
      <c r="Y1041" s="1725"/>
      <c r="Z1041" s="1725"/>
      <c r="AA1041" s="1725"/>
      <c r="AB1041" s="1725"/>
      <c r="AC1041" s="1725"/>
      <c r="AD1041" s="1725"/>
      <c r="AE1041" s="1726"/>
      <c r="AF1041" s="79"/>
      <c r="AG1041" s="1769" t="s">
        <v>667</v>
      </c>
      <c r="AH1041" s="1770"/>
      <c r="AI1041" s="87"/>
      <c r="AJ1041" s="1742">
        <f>ROUND(IF(AG1041="yes",(AJ1001*0.15),0),0)</f>
        <v>0</v>
      </c>
      <c r="AK1041" s="1743"/>
      <c r="AL1041" s="1743"/>
      <c r="AM1041" s="1743"/>
      <c r="AN1041" s="1743"/>
      <c r="AO1041" s="1743"/>
      <c r="AP1041" s="1743"/>
      <c r="AQ1041" s="1744"/>
      <c r="AR1041" s="68"/>
      <c r="AS1041" s="68"/>
      <c r="AT1041" s="68"/>
      <c r="AU1041" s="68"/>
      <c r="AV1041" s="68"/>
      <c r="AW1041" s="68"/>
      <c r="AX1041" s="68"/>
      <c r="AY1041" s="68"/>
    </row>
    <row r="1042" spans="1:57" ht="12.9" customHeight="1">
      <c r="A1042" s="14"/>
      <c r="B1042" s="73"/>
      <c r="C1042" s="74"/>
      <c r="D1042" s="1771" t="s">
        <v>1674</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2"/>
      <c r="AF1042" s="911"/>
      <c r="AG1042" s="912"/>
      <c r="AH1042" s="912"/>
      <c r="AI1042" s="913"/>
      <c r="AJ1042" s="1745"/>
      <c r="AK1042" s="1746"/>
      <c r="AL1042" s="1746"/>
      <c r="AM1042" s="1746"/>
      <c r="AN1042" s="1746"/>
      <c r="AO1042" s="1746"/>
      <c r="AP1042" s="1746"/>
      <c r="AQ1042" s="1747"/>
      <c r="AR1042" s="68"/>
      <c r="AS1042" s="68"/>
      <c r="AT1042" s="68"/>
      <c r="AU1042" s="68"/>
      <c r="AV1042" s="68"/>
      <c r="AW1042" s="68"/>
      <c r="AX1042" s="68"/>
      <c r="AY1042" s="68"/>
    </row>
    <row r="1043" spans="1:57" ht="12.9" customHeight="1">
      <c r="A1043" s="14"/>
      <c r="B1043" s="73"/>
      <c r="C1043" s="74"/>
      <c r="D1043" s="1771"/>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2"/>
      <c r="AF1043" s="911"/>
      <c r="AG1043" s="912"/>
      <c r="AH1043" s="912"/>
      <c r="AI1043" s="913"/>
      <c r="AJ1043" s="1745"/>
      <c r="AK1043" s="1746"/>
      <c r="AL1043" s="1746"/>
      <c r="AM1043" s="1746"/>
      <c r="AN1043" s="1746"/>
      <c r="AO1043" s="1746"/>
      <c r="AP1043" s="1746"/>
      <c r="AQ1043" s="1747"/>
      <c r="AR1043" s="68"/>
      <c r="AS1043" s="68"/>
      <c r="AT1043" s="68"/>
      <c r="AU1043" s="68"/>
      <c r="AV1043" s="68"/>
      <c r="AW1043" s="68"/>
      <c r="AX1043" s="68"/>
      <c r="AY1043" s="68"/>
    </row>
    <row r="1044" spans="1:57" ht="12.9" customHeight="1">
      <c r="A1044" s="14"/>
      <c r="B1044" s="73"/>
      <c r="C1044" s="74"/>
      <c r="D1044" s="1773"/>
      <c r="E1044" s="1774"/>
      <c r="F1044" s="1774"/>
      <c r="G1044" s="1774"/>
      <c r="H1044" s="1774"/>
      <c r="I1044" s="1774"/>
      <c r="J1044" s="1774"/>
      <c r="K1044" s="1774"/>
      <c r="L1044" s="1774"/>
      <c r="M1044" s="1774"/>
      <c r="N1044" s="1774"/>
      <c r="O1044" s="1774"/>
      <c r="P1044" s="1774"/>
      <c r="Q1044" s="1774"/>
      <c r="R1044" s="1774"/>
      <c r="S1044" s="1774"/>
      <c r="T1044" s="1774"/>
      <c r="U1044" s="1774"/>
      <c r="V1044" s="1774"/>
      <c r="W1044" s="1774"/>
      <c r="X1044" s="1774"/>
      <c r="Y1044" s="1774"/>
      <c r="Z1044" s="1774"/>
      <c r="AA1044" s="1774"/>
      <c r="AB1044" s="1774"/>
      <c r="AC1044" s="1774"/>
      <c r="AD1044" s="1774"/>
      <c r="AE1044" s="1775"/>
      <c r="AF1044" s="914"/>
      <c r="AG1044" s="915"/>
      <c r="AH1044" s="915"/>
      <c r="AI1044" s="916"/>
      <c r="AJ1044" s="1754"/>
      <c r="AK1044" s="1755"/>
      <c r="AL1044" s="1755"/>
      <c r="AM1044" s="1755"/>
      <c r="AN1044" s="1755"/>
      <c r="AO1044" s="1755"/>
      <c r="AP1044" s="1755"/>
      <c r="AQ1044" s="1756"/>
      <c r="AR1044" s="68"/>
      <c r="AS1044" s="68"/>
      <c r="AT1044" s="68"/>
      <c r="AU1044" s="68"/>
      <c r="AV1044" s="68"/>
      <c r="AW1044" s="68"/>
      <c r="AX1044" s="68"/>
      <c r="AY1044" s="68"/>
    </row>
    <row r="1045" spans="1:57" ht="12.9" customHeight="1">
      <c r="A1045" s="14"/>
      <c r="B1045" s="73"/>
      <c r="C1045" s="339" t="s">
        <v>685</v>
      </c>
      <c r="D1045" s="1763" t="s">
        <v>1675</v>
      </c>
      <c r="E1045" s="1764"/>
      <c r="F1045" s="1764"/>
      <c r="G1045" s="1764"/>
      <c r="H1045" s="1764"/>
      <c r="I1045" s="1764"/>
      <c r="J1045" s="1764"/>
      <c r="K1045" s="1764"/>
      <c r="L1045" s="1764"/>
      <c r="M1045" s="1764"/>
      <c r="N1045" s="1764"/>
      <c r="O1045" s="1764"/>
      <c r="P1045" s="1764"/>
      <c r="Q1045" s="1764"/>
      <c r="R1045" s="1764"/>
      <c r="S1045" s="1764"/>
      <c r="T1045" s="1764"/>
      <c r="U1045" s="1764"/>
      <c r="V1045" s="1764"/>
      <c r="W1045" s="1764"/>
      <c r="X1045" s="1764"/>
      <c r="Y1045" s="1764"/>
      <c r="Z1045" s="1764"/>
      <c r="AA1045" s="1764"/>
      <c r="AB1045" s="1764"/>
      <c r="AC1045" s="1764"/>
      <c r="AD1045" s="1764"/>
      <c r="AE1045" s="1765"/>
      <c r="AF1045" s="73"/>
      <c r="AG1045" s="1778" t="s">
        <v>544</v>
      </c>
      <c r="AH1045" s="1779"/>
      <c r="AI1045" s="83"/>
      <c r="AJ1045" s="1742">
        <f>ROUND(IF(AND(AG1045="yes",AJ1041=0),(AJ1001*0.1),0),0)</f>
        <v>10646170</v>
      </c>
      <c r="AK1045" s="1743"/>
      <c r="AL1045" s="1743"/>
      <c r="AM1045" s="1743"/>
      <c r="AN1045" s="1743"/>
      <c r="AO1045" s="1743"/>
      <c r="AP1045" s="1743"/>
      <c r="AQ1045" s="1744"/>
      <c r="AR1045" s="68"/>
      <c r="AS1045" s="68"/>
      <c r="AT1045" s="68"/>
      <c r="AU1045" s="68"/>
      <c r="AV1045" s="68"/>
      <c r="AW1045" s="68"/>
      <c r="AX1045" s="68"/>
      <c r="AY1045" s="68"/>
    </row>
    <row r="1046" spans="1:57" ht="12.9" customHeight="1">
      <c r="A1046" s="14"/>
      <c r="B1046" s="73"/>
      <c r="C1046" s="74"/>
      <c r="D1046" s="1771" t="s">
        <v>1676</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2"/>
      <c r="AF1046" s="73"/>
      <c r="AG1046" s="14"/>
      <c r="AH1046" s="14"/>
      <c r="AI1046" s="83"/>
      <c r="AJ1046" s="1745"/>
      <c r="AK1046" s="1746"/>
      <c r="AL1046" s="1746"/>
      <c r="AM1046" s="1746"/>
      <c r="AN1046" s="1746"/>
      <c r="AO1046" s="1746"/>
      <c r="AP1046" s="1746"/>
      <c r="AQ1046" s="1747"/>
      <c r="AR1046" s="68"/>
      <c r="AS1046" s="68"/>
      <c r="AT1046" s="68"/>
      <c r="AU1046" s="68"/>
      <c r="AV1046" s="68"/>
      <c r="AW1046" s="68"/>
      <c r="AX1046" s="68"/>
      <c r="AY1046" s="68"/>
    </row>
    <row r="1047" spans="1:57" ht="12.9" customHeight="1">
      <c r="A1047" s="14"/>
      <c r="B1047" s="73"/>
      <c r="C1047" s="74"/>
      <c r="D1047" s="1771"/>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2"/>
      <c r="AF1047" s="73"/>
      <c r="AG1047" s="14"/>
      <c r="AH1047" s="14"/>
      <c r="AI1047" s="83"/>
      <c r="AJ1047" s="1745"/>
      <c r="AK1047" s="1746"/>
      <c r="AL1047" s="1746"/>
      <c r="AM1047" s="1746"/>
      <c r="AN1047" s="1746"/>
      <c r="AO1047" s="1746"/>
      <c r="AP1047" s="1746"/>
      <c r="AQ1047" s="1747"/>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2.9" customHeight="1">
      <c r="A1048" s="14"/>
      <c r="B1048" s="73"/>
      <c r="C1048" s="74"/>
      <c r="D1048" s="1771"/>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2"/>
      <c r="AF1048" s="73"/>
      <c r="AG1048" s="14"/>
      <c r="AH1048" s="14"/>
      <c r="AI1048" s="83"/>
      <c r="AJ1048" s="1745"/>
      <c r="AK1048" s="1746"/>
      <c r="AL1048" s="1746"/>
      <c r="AM1048" s="1746"/>
      <c r="AN1048" s="1746"/>
      <c r="AO1048" s="1746"/>
      <c r="AP1048" s="1746"/>
      <c r="AQ1048" s="1747"/>
      <c r="AR1048" s="68"/>
      <c r="AS1048" s="68"/>
      <c r="AT1048" s="68"/>
      <c r="AU1048" s="68"/>
      <c r="AV1048" s="68"/>
      <c r="AW1048" s="68"/>
      <c r="AX1048" s="68"/>
      <c r="AY1048" s="68"/>
      <c r="BA1048">
        <f>IFERROR((($CI$761+$CM$761)/$AG$449),0)</f>
        <v>0.88590604026845643</v>
      </c>
      <c r="BB1048" s="3" t="s">
        <v>2423</v>
      </c>
    </row>
    <row r="1049" spans="1:57" ht="12.9" customHeight="1">
      <c r="A1049" s="14"/>
      <c r="B1049" s="73"/>
      <c r="C1049" s="74"/>
      <c r="D1049" s="1773"/>
      <c r="E1049" s="1774"/>
      <c r="F1049" s="1774"/>
      <c r="G1049" s="1774"/>
      <c r="H1049" s="1774"/>
      <c r="I1049" s="1774"/>
      <c r="J1049" s="1774"/>
      <c r="K1049" s="1774"/>
      <c r="L1049" s="1774"/>
      <c r="M1049" s="1774"/>
      <c r="N1049" s="1774"/>
      <c r="O1049" s="1774"/>
      <c r="P1049" s="1774"/>
      <c r="Q1049" s="1774"/>
      <c r="R1049" s="1774"/>
      <c r="S1049" s="1774"/>
      <c r="T1049" s="1774"/>
      <c r="U1049" s="1774"/>
      <c r="V1049" s="1774"/>
      <c r="W1049" s="1774"/>
      <c r="X1049" s="1774"/>
      <c r="Y1049" s="1774"/>
      <c r="Z1049" s="1774"/>
      <c r="AA1049" s="1774"/>
      <c r="AB1049" s="1774"/>
      <c r="AC1049" s="1774"/>
      <c r="AD1049" s="1774"/>
      <c r="AE1049" s="1775"/>
      <c r="AF1049" s="73"/>
      <c r="AG1049" s="14"/>
      <c r="AH1049" s="14"/>
      <c r="AI1049" s="83"/>
      <c r="AJ1049" s="1745"/>
      <c r="AK1049" s="1746"/>
      <c r="AL1049" s="1746"/>
      <c r="AM1049" s="1746"/>
      <c r="AN1049" s="1746"/>
      <c r="AO1049" s="1746"/>
      <c r="AP1049" s="1746"/>
      <c r="AQ1049" s="1747"/>
      <c r="AR1049" s="68"/>
      <c r="AS1049" s="68"/>
      <c r="AT1049" s="68"/>
      <c r="AU1049" s="68"/>
      <c r="AV1049" s="68"/>
      <c r="AW1049" s="68"/>
      <c r="AX1049" s="68"/>
      <c r="AY1049" s="68"/>
      <c r="BA1049" t="b">
        <f>'Points System'!AJ163="Yes"</f>
        <v>0</v>
      </c>
      <c r="BB1049" s="3" t="s">
        <v>2420</v>
      </c>
    </row>
    <row r="1050" spans="1:57" ht="12.9" customHeight="1">
      <c r="A1050" s="14"/>
      <c r="B1050" s="79"/>
      <c r="C1050" s="131" t="s">
        <v>1008</v>
      </c>
      <c r="D1050" s="1724" t="s">
        <v>1294</v>
      </c>
      <c r="E1050" s="1725"/>
      <c r="F1050" s="1725"/>
      <c r="G1050" s="1725"/>
      <c r="H1050" s="1725"/>
      <c r="I1050" s="1725"/>
      <c r="J1050" s="1725"/>
      <c r="K1050" s="1725"/>
      <c r="L1050" s="1725"/>
      <c r="M1050" s="1725"/>
      <c r="N1050" s="1725"/>
      <c r="O1050" s="1725"/>
      <c r="P1050" s="1725"/>
      <c r="Q1050" s="1725"/>
      <c r="R1050" s="1725"/>
      <c r="S1050" s="1725"/>
      <c r="T1050" s="1725"/>
      <c r="U1050" s="1725"/>
      <c r="V1050" s="1725"/>
      <c r="W1050" s="1725"/>
      <c r="X1050" s="1725"/>
      <c r="Y1050" s="1725"/>
      <c r="Z1050" s="1725"/>
      <c r="AA1050" s="1725"/>
      <c r="AB1050" s="1725"/>
      <c r="AC1050" s="1725"/>
      <c r="AD1050" s="1725"/>
      <c r="AE1050" s="1726"/>
      <c r="AF1050" s="79"/>
      <c r="AG1050" s="1769" t="s">
        <v>667</v>
      </c>
      <c r="AH1050" s="1770"/>
      <c r="AI1050" s="87"/>
      <c r="AJ1050" s="1742">
        <f>ROUND(IF(AG1050="yes",(AJ1001*0.1),0),0)</f>
        <v>0</v>
      </c>
      <c r="AK1050" s="1743"/>
      <c r="AL1050" s="1743"/>
      <c r="AM1050" s="1743"/>
      <c r="AN1050" s="1743"/>
      <c r="AO1050" s="1743"/>
      <c r="AP1050" s="1743"/>
      <c r="AQ1050" s="1744"/>
      <c r="AR1050" s="68"/>
      <c r="AS1050" s="68"/>
      <c r="AT1050" s="68"/>
      <c r="AU1050" s="68"/>
      <c r="AV1050" s="68"/>
      <c r="AW1050" s="68"/>
      <c r="AX1050" s="68"/>
      <c r="AY1050" s="68"/>
      <c r="BA1050">
        <f>Q212</f>
        <v>0</v>
      </c>
      <c r="BB1050" s="3" t="s">
        <v>2421</v>
      </c>
    </row>
    <row r="1051" spans="1:57" ht="12.9" customHeight="1">
      <c r="A1051" s="14"/>
      <c r="B1051" s="73"/>
      <c r="C1051" s="74"/>
      <c r="D1051" s="1748" t="s">
        <v>2098</v>
      </c>
      <c r="E1051" s="1749"/>
      <c r="F1051" s="1749"/>
      <c r="G1051" s="1749"/>
      <c r="H1051" s="1749"/>
      <c r="I1051" s="1749"/>
      <c r="J1051" s="1749"/>
      <c r="K1051" s="1749"/>
      <c r="L1051" s="1749"/>
      <c r="M1051" s="1749"/>
      <c r="N1051" s="1749"/>
      <c r="O1051" s="1749"/>
      <c r="P1051" s="1749"/>
      <c r="Q1051" s="1749"/>
      <c r="R1051" s="1749"/>
      <c r="S1051" s="1749"/>
      <c r="T1051" s="1749"/>
      <c r="U1051" s="1749"/>
      <c r="V1051" s="1749"/>
      <c r="W1051" s="1749"/>
      <c r="X1051" s="1749"/>
      <c r="Y1051" s="1749"/>
      <c r="Z1051" s="1749"/>
      <c r="AA1051" s="1749"/>
      <c r="AB1051" s="1749"/>
      <c r="AC1051" s="1749"/>
      <c r="AD1051" s="1749"/>
      <c r="AE1051" s="1750"/>
      <c r="AF1051" s="73"/>
      <c r="AG1051" s="14"/>
      <c r="AH1051" s="14"/>
      <c r="AI1051" s="83"/>
      <c r="AJ1051" s="1745"/>
      <c r="AK1051" s="1746"/>
      <c r="AL1051" s="1746"/>
      <c r="AM1051" s="1746"/>
      <c r="AN1051" s="1746"/>
      <c r="AO1051" s="1746"/>
      <c r="AP1051" s="1746"/>
      <c r="AQ1051" s="1747"/>
      <c r="AR1051" s="68"/>
      <c r="AS1051" s="68"/>
      <c r="AT1051" s="68"/>
      <c r="AU1051" s="68"/>
      <c r="AV1051" s="68"/>
      <c r="AW1051" s="68"/>
      <c r="AX1051" s="68"/>
      <c r="AY1051" s="68"/>
      <c r="BA1051" s="1177">
        <f>T212</f>
        <v>0</v>
      </c>
      <c r="BB1051" s="3" t="s">
        <v>2422</v>
      </c>
    </row>
    <row r="1052" spans="1:57" ht="12.9" customHeight="1">
      <c r="A1052" s="14"/>
      <c r="B1052" s="73"/>
      <c r="C1052" s="74"/>
      <c r="D1052" s="1748"/>
      <c r="E1052" s="1749"/>
      <c r="F1052" s="1749"/>
      <c r="G1052" s="1749"/>
      <c r="H1052" s="1749"/>
      <c r="I1052" s="1749"/>
      <c r="J1052" s="1749"/>
      <c r="K1052" s="1749"/>
      <c r="L1052" s="1749"/>
      <c r="M1052" s="1749"/>
      <c r="N1052" s="1749"/>
      <c r="O1052" s="1749"/>
      <c r="P1052" s="1749"/>
      <c r="Q1052" s="1749"/>
      <c r="R1052" s="1749"/>
      <c r="S1052" s="1749"/>
      <c r="T1052" s="1749"/>
      <c r="U1052" s="1749"/>
      <c r="V1052" s="1749"/>
      <c r="W1052" s="1749"/>
      <c r="X1052" s="1749"/>
      <c r="Y1052" s="1749"/>
      <c r="Z1052" s="1749"/>
      <c r="AA1052" s="1749"/>
      <c r="AB1052" s="1749"/>
      <c r="AC1052" s="1749"/>
      <c r="AD1052" s="1749"/>
      <c r="AE1052" s="1750"/>
      <c r="AF1052" s="73"/>
      <c r="AG1052" s="14"/>
      <c r="AH1052" s="14"/>
      <c r="AI1052" s="83"/>
      <c r="AJ1052" s="1745"/>
      <c r="AK1052" s="1746"/>
      <c r="AL1052" s="1746"/>
      <c r="AM1052" s="1746"/>
      <c r="AN1052" s="1746"/>
      <c r="AO1052" s="1746"/>
      <c r="AP1052" s="1746"/>
      <c r="AQ1052" s="1747"/>
      <c r="AR1052" s="68"/>
      <c r="AS1052" s="68"/>
      <c r="AT1052" s="68"/>
      <c r="AU1052" s="68"/>
      <c r="AV1052" s="68"/>
      <c r="AW1052" s="68"/>
      <c r="AX1052" s="68"/>
      <c r="AY1052" s="68"/>
    </row>
    <row r="1053" spans="1:57" ht="12.9" customHeight="1">
      <c r="A1053" s="14"/>
      <c r="B1053" s="73"/>
      <c r="C1053" s="74"/>
      <c r="D1053" s="1751"/>
      <c r="E1053" s="1752"/>
      <c r="F1053" s="1752"/>
      <c r="G1053" s="1752"/>
      <c r="H1053" s="1752"/>
      <c r="I1053" s="1752"/>
      <c r="J1053" s="1752"/>
      <c r="K1053" s="1752"/>
      <c r="L1053" s="1752"/>
      <c r="M1053" s="1752"/>
      <c r="N1053" s="1752"/>
      <c r="O1053" s="1752"/>
      <c r="P1053" s="1752"/>
      <c r="Q1053" s="1752"/>
      <c r="R1053" s="1752"/>
      <c r="S1053" s="1752"/>
      <c r="T1053" s="1752"/>
      <c r="U1053" s="1752"/>
      <c r="V1053" s="1752"/>
      <c r="W1053" s="1752"/>
      <c r="X1053" s="1752"/>
      <c r="Y1053" s="1752"/>
      <c r="Z1053" s="1752"/>
      <c r="AA1053" s="1752"/>
      <c r="AB1053" s="1752"/>
      <c r="AC1053" s="1752"/>
      <c r="AD1053" s="1752"/>
      <c r="AE1053" s="1753"/>
      <c r="AF1053" s="73"/>
      <c r="AG1053" s="14"/>
      <c r="AH1053" s="14"/>
      <c r="AI1053" s="83"/>
      <c r="AJ1053" s="1754"/>
      <c r="AK1053" s="1755"/>
      <c r="AL1053" s="1755"/>
      <c r="AM1053" s="1755"/>
      <c r="AN1053" s="1755"/>
      <c r="AO1053" s="1755"/>
      <c r="AP1053" s="1755"/>
      <c r="AQ1053" s="1756"/>
      <c r="AR1053" s="68"/>
      <c r="AS1053" s="68"/>
      <c r="AT1053" s="68"/>
      <c r="AU1053" s="68"/>
      <c r="AV1053" s="68"/>
      <c r="AW1053" s="68"/>
      <c r="AX1053" s="68"/>
      <c r="AY1053" s="68"/>
    </row>
    <row r="1054" spans="1:57" ht="12.9" customHeight="1">
      <c r="A1054" s="14"/>
      <c r="B1054" s="79"/>
      <c r="C1054" s="131" t="s">
        <v>1671</v>
      </c>
      <c r="D1054" s="1763" t="s">
        <v>1837</v>
      </c>
      <c r="E1054" s="1764"/>
      <c r="F1054" s="1764"/>
      <c r="G1054" s="1764"/>
      <c r="H1054" s="1764"/>
      <c r="I1054" s="1764"/>
      <c r="J1054" s="1764"/>
      <c r="K1054" s="1764"/>
      <c r="L1054" s="1764"/>
      <c r="M1054" s="1764"/>
      <c r="N1054" s="1764"/>
      <c r="O1054" s="1764"/>
      <c r="P1054" s="1764"/>
      <c r="Q1054" s="1764"/>
      <c r="R1054" s="1764"/>
      <c r="S1054" s="1764"/>
      <c r="T1054" s="1764"/>
      <c r="U1054" s="1764"/>
      <c r="V1054" s="1764"/>
      <c r="W1054" s="1764"/>
      <c r="X1054" s="1764"/>
      <c r="Y1054" s="1764"/>
      <c r="Z1054" s="1764"/>
      <c r="AA1054" s="1764"/>
      <c r="AB1054" s="1764"/>
      <c r="AC1054" s="1764"/>
      <c r="AD1054" s="1764"/>
      <c r="AE1054" s="1765"/>
      <c r="AF1054" s="79"/>
      <c r="AG1054" s="1776" t="str">
        <f>IF(X1057&gt;0,"Yes","No")</f>
        <v>Yes</v>
      </c>
      <c r="AH1054" s="1777"/>
      <c r="AI1054" s="87"/>
      <c r="AJ1054" s="1742">
        <f>IF((X1057=0),0,AY1014*AJ1001)</f>
        <v>40455444.480000004</v>
      </c>
      <c r="AK1054" s="1743"/>
      <c r="AL1054" s="1743"/>
      <c r="AM1054" s="1743"/>
      <c r="AN1054" s="1743"/>
      <c r="AO1054" s="1743"/>
      <c r="AP1054" s="1743"/>
      <c r="AQ1054" s="174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 customHeight="1">
      <c r="A1055" s="14"/>
      <c r="B1055" s="73"/>
      <c r="C1055" s="442"/>
      <c r="D1055" s="1748" t="s">
        <v>1296</v>
      </c>
      <c r="E1055" s="1749"/>
      <c r="F1055" s="1749"/>
      <c r="G1055" s="1749"/>
      <c r="H1055" s="1749"/>
      <c r="I1055" s="1749"/>
      <c r="J1055" s="1749"/>
      <c r="K1055" s="1749"/>
      <c r="L1055" s="1749"/>
      <c r="M1055" s="1749"/>
      <c r="N1055" s="1749"/>
      <c r="O1055" s="1749"/>
      <c r="P1055" s="1749"/>
      <c r="Q1055" s="1749"/>
      <c r="R1055" s="1749"/>
      <c r="S1055" s="1749"/>
      <c r="T1055" s="1749"/>
      <c r="U1055" s="1749"/>
      <c r="V1055" s="1749"/>
      <c r="W1055" s="1749"/>
      <c r="X1055" s="1749"/>
      <c r="Y1055" s="1749"/>
      <c r="Z1055" s="1749"/>
      <c r="AA1055" s="1749"/>
      <c r="AB1055" s="1749"/>
      <c r="AC1055" s="1749"/>
      <c r="AD1055" s="1749"/>
      <c r="AE1055" s="1750"/>
      <c r="AF1055" s="73"/>
      <c r="AG1055" s="443"/>
      <c r="AH1055" s="443"/>
      <c r="AI1055" s="83"/>
      <c r="AJ1055" s="1745"/>
      <c r="AK1055" s="1746"/>
      <c r="AL1055" s="1746"/>
      <c r="AM1055" s="1746"/>
      <c r="AN1055" s="1746"/>
      <c r="AO1055" s="1746"/>
      <c r="AP1055" s="1746"/>
      <c r="AQ1055" s="1747"/>
      <c r="AR1055" s="68"/>
      <c r="AS1055" s="68"/>
      <c r="AT1055" s="68"/>
      <c r="AU1055" s="13"/>
      <c r="AV1055" s="68"/>
      <c r="AW1055" s="68"/>
      <c r="AX1055" s="68"/>
      <c r="AY1055" s="68"/>
      <c r="AZ1055" s="958">
        <f>'Sources and Uses Budget'!S97*BA1055</f>
        <v>13544970.299999999</v>
      </c>
      <c r="BA1055" s="1175">
        <f>IF(BA1049,20%,15%)</f>
        <v>0.15</v>
      </c>
      <c r="BB1055" s="3" t="s">
        <v>2409</v>
      </c>
      <c r="BC1055" s="3" t="s">
        <v>2410</v>
      </c>
      <c r="BD1055" s="3"/>
    </row>
    <row r="1056" spans="1:57" ht="12.9" customHeight="1">
      <c r="A1056" s="14"/>
      <c r="B1056" s="73"/>
      <c r="C1056" s="442"/>
      <c r="D1056" s="1748"/>
      <c r="E1056" s="1749"/>
      <c r="F1056" s="1749"/>
      <c r="G1056" s="1749"/>
      <c r="H1056" s="1749"/>
      <c r="I1056" s="1749"/>
      <c r="J1056" s="1749"/>
      <c r="K1056" s="1749"/>
      <c r="L1056" s="1749"/>
      <c r="M1056" s="1749"/>
      <c r="N1056" s="1749"/>
      <c r="O1056" s="1749"/>
      <c r="P1056" s="1749"/>
      <c r="Q1056" s="1749"/>
      <c r="R1056" s="1749"/>
      <c r="S1056" s="1749"/>
      <c r="T1056" s="1749"/>
      <c r="U1056" s="1749"/>
      <c r="V1056" s="1749"/>
      <c r="W1056" s="1749"/>
      <c r="X1056" s="1749"/>
      <c r="Y1056" s="1749"/>
      <c r="Z1056" s="1749"/>
      <c r="AA1056" s="1749"/>
      <c r="AB1056" s="1749"/>
      <c r="AC1056" s="1749"/>
      <c r="AD1056" s="1749"/>
      <c r="AE1056" s="1750"/>
      <c r="AF1056" s="73"/>
      <c r="AG1056" s="443"/>
      <c r="AH1056" s="443"/>
      <c r="AI1056" s="83"/>
      <c r="AJ1056" s="1745"/>
      <c r="AK1056" s="1746"/>
      <c r="AL1056" s="1746"/>
      <c r="AM1056" s="1746"/>
      <c r="AN1056" s="1746"/>
      <c r="AO1056" s="1746"/>
      <c r="AP1056" s="1746"/>
      <c r="AQ1056" s="1747"/>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 customHeight="1">
      <c r="A1057" s="14"/>
      <c r="B1057" s="77"/>
      <c r="C1057" s="78"/>
      <c r="D1057" s="132" t="s">
        <v>970</v>
      </c>
      <c r="E1057" s="133"/>
      <c r="F1057" s="133"/>
      <c r="G1057" s="133"/>
      <c r="H1057" s="133"/>
      <c r="I1057" s="1805">
        <f>AY1012</f>
        <v>149</v>
      </c>
      <c r="J1057" s="1806"/>
      <c r="K1057" s="7"/>
      <c r="L1057" s="133"/>
      <c r="M1057" s="133"/>
      <c r="N1057" s="133"/>
      <c r="O1057" s="133"/>
      <c r="P1057" s="133"/>
      <c r="Q1057" s="133"/>
      <c r="R1057" s="133"/>
      <c r="S1057" s="133"/>
      <c r="T1057" s="133"/>
      <c r="U1057" s="133"/>
      <c r="V1057" s="134" t="s">
        <v>971</v>
      </c>
      <c r="W1057" s="48"/>
      <c r="X1057" s="1803">
        <f>CI761</f>
        <v>58</v>
      </c>
      <c r="Y1057" s="1804"/>
      <c r="Z1057" s="48"/>
      <c r="AA1057" s="48"/>
      <c r="AB1057" s="48"/>
      <c r="AC1057" s="48"/>
      <c r="AD1057" s="48"/>
      <c r="AE1057" s="49"/>
      <c r="AF1057" s="920"/>
      <c r="AG1057" s="921"/>
      <c r="AH1057" s="921"/>
      <c r="AI1057" s="922"/>
      <c r="AJ1057" s="1754"/>
      <c r="AK1057" s="1755"/>
      <c r="AL1057" s="1755"/>
      <c r="AM1057" s="1755"/>
      <c r="AN1057" s="1755"/>
      <c r="AO1057" s="1755"/>
      <c r="AP1057" s="1755"/>
      <c r="AQ1057" s="1756"/>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2409</v>
      </c>
      <c r="BC1057" s="3" t="s">
        <v>2412</v>
      </c>
      <c r="BD1057" s="3"/>
    </row>
    <row r="1058" spans="1:56" ht="12.9" customHeight="1">
      <c r="A1058" s="14"/>
      <c r="B1058" s="79"/>
      <c r="C1058" s="131" t="s">
        <v>1672</v>
      </c>
      <c r="D1058" s="1724" t="s">
        <v>2124</v>
      </c>
      <c r="E1058" s="1725"/>
      <c r="F1058" s="1725"/>
      <c r="G1058" s="1725"/>
      <c r="H1058" s="1725"/>
      <c r="I1058" s="1725"/>
      <c r="J1058" s="1725"/>
      <c r="K1058" s="1725"/>
      <c r="L1058" s="1725"/>
      <c r="M1058" s="1725"/>
      <c r="N1058" s="1725"/>
      <c r="O1058" s="1725"/>
      <c r="P1058" s="1725"/>
      <c r="Q1058" s="1725"/>
      <c r="R1058" s="1725"/>
      <c r="S1058" s="1725"/>
      <c r="T1058" s="1725"/>
      <c r="U1058" s="1725"/>
      <c r="V1058" s="1725"/>
      <c r="W1058" s="1725"/>
      <c r="X1058" s="1725"/>
      <c r="Y1058" s="1725"/>
      <c r="Z1058" s="1725"/>
      <c r="AA1058" s="1725"/>
      <c r="AB1058" s="1725"/>
      <c r="AC1058" s="1725"/>
      <c r="AD1058" s="1725"/>
      <c r="AE1058" s="1726"/>
      <c r="AF1058" s="73"/>
      <c r="AG1058" s="1776" t="str">
        <f>IF(X1061&gt;0,"Yes","No")</f>
        <v>Yes</v>
      </c>
      <c r="AH1058" s="1777"/>
      <c r="AI1058" s="83"/>
      <c r="AJ1058" s="1742">
        <f>IF((X1061=0),0,(2*AY1015)*AJ1001)</f>
        <v>104332462.08</v>
      </c>
      <c r="AK1058" s="1743"/>
      <c r="AL1058" s="1743"/>
      <c r="AM1058" s="1743"/>
      <c r="AN1058" s="1743"/>
      <c r="AO1058" s="1743"/>
      <c r="AP1058" s="1743"/>
      <c r="AQ1058" s="1744"/>
      <c r="AR1058" s="68"/>
      <c r="AS1058" s="68"/>
      <c r="AT1058" s="68"/>
      <c r="AU1058" s="14"/>
      <c r="AV1058" s="68"/>
      <c r="AW1058" s="68"/>
      <c r="AX1058" s="68"/>
      <c r="AY1058" s="68"/>
      <c r="AZ1058" s="958">
        <f>AZ1054*BA1058</f>
        <v>0</v>
      </c>
      <c r="BA1058" s="1175">
        <v>0.15</v>
      </c>
      <c r="BB1058" s="3" t="s">
        <v>2409</v>
      </c>
      <c r="BC1058" s="3" t="s">
        <v>2413</v>
      </c>
      <c r="BD1058" s="3"/>
    </row>
    <row r="1059" spans="1:56" ht="12.9" customHeight="1">
      <c r="A1059" s="14"/>
      <c r="B1059" s="73"/>
      <c r="C1059" s="442"/>
      <c r="D1059" s="1748" t="s">
        <v>1295</v>
      </c>
      <c r="E1059" s="1749"/>
      <c r="F1059" s="1749"/>
      <c r="G1059" s="1749"/>
      <c r="H1059" s="1749"/>
      <c r="I1059" s="1749"/>
      <c r="J1059" s="1749"/>
      <c r="K1059" s="1749"/>
      <c r="L1059" s="1749"/>
      <c r="M1059" s="1749"/>
      <c r="N1059" s="1749"/>
      <c r="O1059" s="1749"/>
      <c r="P1059" s="1749"/>
      <c r="Q1059" s="1749"/>
      <c r="R1059" s="1749"/>
      <c r="S1059" s="1749"/>
      <c r="T1059" s="1749"/>
      <c r="U1059" s="1749"/>
      <c r="V1059" s="1749"/>
      <c r="W1059" s="1749"/>
      <c r="X1059" s="1749"/>
      <c r="Y1059" s="1749"/>
      <c r="Z1059" s="1749"/>
      <c r="AA1059" s="1749"/>
      <c r="AB1059" s="1749"/>
      <c r="AC1059" s="1749"/>
      <c r="AD1059" s="1749"/>
      <c r="AE1059" s="1750"/>
      <c r="AF1059" s="73"/>
      <c r="AG1059" s="443"/>
      <c r="AH1059" s="443"/>
      <c r="AI1059" s="83"/>
      <c r="AJ1059" s="1745"/>
      <c r="AK1059" s="1746"/>
      <c r="AL1059" s="1746"/>
      <c r="AM1059" s="1746"/>
      <c r="AN1059" s="1746"/>
      <c r="AO1059" s="1746"/>
      <c r="AP1059" s="1746"/>
      <c r="AQ1059" s="1747"/>
      <c r="AR1059" s="68"/>
      <c r="AS1059" s="68"/>
      <c r="AT1059" s="68"/>
      <c r="AU1059" s="68"/>
      <c r="AV1059" s="68"/>
      <c r="AW1059" s="68"/>
      <c r="AX1059" s="68"/>
      <c r="AY1059" s="68"/>
      <c r="AZ1059" s="958"/>
      <c r="BA1059" s="3"/>
      <c r="BB1059" s="3"/>
      <c r="BC1059" s="3"/>
      <c r="BD1059" s="3"/>
    </row>
    <row r="1060" spans="1:56" ht="12.9" customHeight="1">
      <c r="A1060" s="14"/>
      <c r="B1060" s="73"/>
      <c r="C1060" s="83"/>
      <c r="D1060" s="1748"/>
      <c r="E1060" s="1749"/>
      <c r="F1060" s="1749"/>
      <c r="G1060" s="1749"/>
      <c r="H1060" s="1749"/>
      <c r="I1060" s="1749"/>
      <c r="J1060" s="1749"/>
      <c r="K1060" s="1749"/>
      <c r="L1060" s="1749"/>
      <c r="M1060" s="1749"/>
      <c r="N1060" s="1749"/>
      <c r="O1060" s="1749"/>
      <c r="P1060" s="1749"/>
      <c r="Q1060" s="1749"/>
      <c r="R1060" s="1749"/>
      <c r="S1060" s="1749"/>
      <c r="T1060" s="1749"/>
      <c r="U1060" s="1749"/>
      <c r="V1060" s="1749"/>
      <c r="W1060" s="1749"/>
      <c r="X1060" s="1749"/>
      <c r="Y1060" s="1749"/>
      <c r="Z1060" s="1749"/>
      <c r="AA1060" s="1749"/>
      <c r="AB1060" s="1749"/>
      <c r="AC1060" s="1749"/>
      <c r="AD1060" s="1749"/>
      <c r="AE1060" s="1750"/>
      <c r="AF1060" s="917"/>
      <c r="AG1060" s="918"/>
      <c r="AH1060" s="918"/>
      <c r="AI1060" s="919"/>
      <c r="AJ1060" s="1745"/>
      <c r="AK1060" s="1746"/>
      <c r="AL1060" s="1746"/>
      <c r="AM1060" s="1746"/>
      <c r="AN1060" s="1746"/>
      <c r="AO1060" s="1746"/>
      <c r="AP1060" s="1746"/>
      <c r="AQ1060" s="1747"/>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2.9" customHeight="1">
      <c r="A1061" s="14"/>
      <c r="B1061" s="77"/>
      <c r="C1061" s="78"/>
      <c r="D1061" s="132" t="s">
        <v>970</v>
      </c>
      <c r="E1061" s="133"/>
      <c r="F1061" s="133"/>
      <c r="G1061" s="133"/>
      <c r="H1061" s="133"/>
      <c r="I1061" s="1805">
        <f>AY1012</f>
        <v>149</v>
      </c>
      <c r="J1061" s="1806"/>
      <c r="K1061" s="14"/>
      <c r="L1061" s="133"/>
      <c r="M1061" s="133"/>
      <c r="N1061" s="133"/>
      <c r="O1061" s="133"/>
      <c r="P1061" s="133"/>
      <c r="Q1061" s="133"/>
      <c r="R1061" s="133"/>
      <c r="S1061" s="133"/>
      <c r="T1061" s="133"/>
      <c r="U1061" s="133"/>
      <c r="V1061" s="134" t="s">
        <v>972</v>
      </c>
      <c r="X1061" s="1803">
        <f>CM761</f>
        <v>74</v>
      </c>
      <c r="Y1061" s="1804"/>
      <c r="AF1061" s="920"/>
      <c r="AG1061" s="921"/>
      <c r="AH1061" s="921"/>
      <c r="AI1061" s="922"/>
      <c r="AJ1061" s="1754"/>
      <c r="AK1061" s="1755"/>
      <c r="AL1061" s="1755"/>
      <c r="AM1061" s="1755"/>
      <c r="AN1061" s="1755"/>
      <c r="AO1061" s="1755"/>
      <c r="AP1061" s="1755"/>
      <c r="AQ1061" s="1756"/>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 customHeight="1">
      <c r="A1062" s="14"/>
      <c r="B1062" s="102"/>
      <c r="C1062" s="103"/>
      <c r="D1062" s="1801" t="s">
        <v>512</v>
      </c>
      <c r="E1062" s="1801"/>
      <c r="F1062" s="1801"/>
      <c r="G1062" s="1801"/>
      <c r="H1062" s="1801"/>
      <c r="I1062" s="1801"/>
      <c r="J1062" s="1801"/>
      <c r="K1062" s="1801"/>
      <c r="L1062" s="1801"/>
      <c r="M1062" s="1801"/>
      <c r="N1062" s="1801"/>
      <c r="O1062" s="1801"/>
      <c r="P1062" s="1801"/>
      <c r="Q1062" s="1801"/>
      <c r="R1062" s="1801"/>
      <c r="S1062" s="1801"/>
      <c r="T1062" s="1801"/>
      <c r="U1062" s="1801"/>
      <c r="V1062" s="1801"/>
      <c r="W1062" s="1801"/>
      <c r="X1062" s="1801"/>
      <c r="Y1062" s="1801"/>
      <c r="Z1062" s="1801"/>
      <c r="AA1062" s="1801"/>
      <c r="AB1062" s="1801"/>
      <c r="AC1062" s="1801"/>
      <c r="AD1062" s="1801"/>
      <c r="AE1062" s="1801"/>
      <c r="AF1062" s="1801"/>
      <c r="AG1062" s="1801"/>
      <c r="AH1062" s="1801"/>
      <c r="AI1062" s="1802"/>
      <c r="AJ1062" s="1817">
        <f>SUM(AJ1001:AQ1061)</f>
        <v>310634499.56</v>
      </c>
      <c r="AK1062" s="1818"/>
      <c r="AL1062" s="1818"/>
      <c r="AM1062" s="1818"/>
      <c r="AN1062" s="1818"/>
      <c r="AO1062" s="1818"/>
      <c r="AP1062" s="1818"/>
      <c r="AQ1062" s="1819"/>
      <c r="AR1062" s="68"/>
      <c r="AS1062" s="68"/>
      <c r="AT1062" s="68"/>
      <c r="AU1062" s="68"/>
      <c r="AV1062" s="68"/>
      <c r="AW1062" s="68"/>
      <c r="AX1062" s="68"/>
      <c r="AY1062" s="68"/>
      <c r="AZ1062" s="1174">
        <v>6000000</v>
      </c>
      <c r="BA1062" s="3" t="s">
        <v>2416</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2.9"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103844772</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13544970.299999999</v>
      </c>
      <c r="BB1065" s="3" t="s">
        <v>2418</v>
      </c>
      <c r="BC1065" s="3"/>
      <c r="BD1065" s="3"/>
    </row>
    <row r="1066" spans="1:56" ht="12.9"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0.55955205543474751</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13544970</v>
      </c>
      <c r="BB1067" s="3" t="s">
        <v>2424</v>
      </c>
    </row>
    <row r="1068" spans="1:56" ht="12.9"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11044970</v>
      </c>
      <c r="BB1068" s="3" t="s">
        <v>2425</v>
      </c>
    </row>
    <row r="1069" spans="1:56" ht="12.9"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2.9" customHeight="1">
      <c r="A1070" s="1827" t="s">
        <v>792</v>
      </c>
      <c r="B1070" s="1827"/>
      <c r="C1070" s="1827"/>
      <c r="D1070" s="1827"/>
      <c r="E1070" s="1827"/>
      <c r="F1070" s="1827"/>
      <c r="G1070" s="1827"/>
      <c r="H1070" s="1827"/>
      <c r="I1070" s="1827"/>
      <c r="J1070" s="1827"/>
      <c r="K1070" s="1827"/>
      <c r="L1070" s="1827"/>
      <c r="M1070" s="1827"/>
      <c r="N1070" s="1827"/>
      <c r="O1070" s="1827"/>
      <c r="P1070" s="1827"/>
      <c r="Q1070" s="1827"/>
      <c r="R1070" s="1827"/>
      <c r="S1070" s="1827"/>
      <c r="T1070" s="1827"/>
      <c r="U1070" s="1827"/>
      <c r="V1070" s="1827"/>
      <c r="W1070" s="1827"/>
      <c r="X1070" s="1827"/>
      <c r="Y1070" s="1827"/>
      <c r="Z1070" s="1827"/>
      <c r="AA1070" s="1827"/>
      <c r="AB1070" s="1827"/>
      <c r="AC1070" s="1827"/>
      <c r="AD1070" s="1827"/>
      <c r="AE1070" s="1827"/>
      <c r="AF1070" s="1827"/>
      <c r="AG1070" s="1827"/>
      <c r="AH1070" s="1827"/>
      <c r="AI1070" s="1827"/>
      <c r="AJ1070" s="1827"/>
      <c r="AK1070" s="1827"/>
      <c r="AL1070" s="1827"/>
      <c r="AM1070" s="1827"/>
      <c r="AN1070" s="1827"/>
      <c r="AO1070" s="1827"/>
      <c r="AP1070" s="1827"/>
      <c r="AQ1070" s="1827"/>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81" t="s">
        <v>590</v>
      </c>
      <c r="B1074" s="1381"/>
      <c r="C1074" s="1864">
        <v>1</v>
      </c>
      <c r="D1074" s="1864"/>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81" t="s">
        <v>590</v>
      </c>
      <c r="B1076" s="1381"/>
      <c r="C1076" s="1864">
        <v>2</v>
      </c>
      <c r="D1076" s="1864"/>
      <c r="E1076" s="1865" t="s">
        <v>2191</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81" t="s">
        <v>590</v>
      </c>
      <c r="B1079" s="1381"/>
      <c r="C1079" s="1449">
        <v>3</v>
      </c>
      <c r="D1079" s="1449"/>
      <c r="E1079" s="1332" t="s">
        <v>1078</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 customHeight="1">
      <c r="A1080" s="1"/>
      <c r="B1080" s="1"/>
      <c r="C1080" s="1449"/>
      <c r="D1080" s="1449"/>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 customHeight="1">
      <c r="A1081" s="1"/>
      <c r="B1081" s="1"/>
      <c r="C1081" s="1449"/>
      <c r="D1081" s="1449"/>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 customHeight="1">
      <c r="A1082" s="1"/>
      <c r="B1082" s="1"/>
      <c r="C1082" s="1449"/>
      <c r="D1082" s="1449"/>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 customHeight="1">
      <c r="A1083" s="2"/>
      <c r="B1083" s="25"/>
      <c r="C1083" s="1449"/>
      <c r="D1083" s="144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81" t="s">
        <v>590</v>
      </c>
      <c r="B1084" s="1381"/>
      <c r="C1084" s="1449">
        <v>4</v>
      </c>
      <c r="D1084" s="1449"/>
      <c r="E1084" s="1332" t="s">
        <v>1077</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 customHeight="1">
      <c r="A1085" s="1"/>
      <c r="B1085" s="1"/>
      <c r="C1085" s="1449"/>
      <c r="D1085" s="1449"/>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 customHeight="1">
      <c r="A1086" s="1"/>
      <c r="B1086" s="1"/>
      <c r="C1086" s="1449"/>
      <c r="D1086" s="1449"/>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 customHeight="1">
      <c r="A1087" s="1"/>
      <c r="B1087" s="1"/>
      <c r="C1087" s="1449"/>
      <c r="D1087" s="1449"/>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 customHeight="1">
      <c r="A1088" s="1"/>
      <c r="B1088" s="1"/>
      <c r="C1088" s="1449"/>
      <c r="D1088" s="1449"/>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 customHeight="1">
      <c r="A1089" s="1"/>
      <c r="B1089" s="1"/>
      <c r="C1089" s="1449"/>
      <c r="D1089" s="144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81" t="s">
        <v>590</v>
      </c>
      <c r="B1090" s="1381"/>
      <c r="C1090" s="1449">
        <v>5</v>
      </c>
      <c r="D1090" s="1449"/>
      <c r="E1090" s="1332" t="s">
        <v>2194</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 customHeight="1">
      <c r="A1091" s="4"/>
      <c r="B1091" s="4"/>
      <c r="C1091" s="1449"/>
      <c r="D1091" s="1449"/>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 customHeight="1">
      <c r="A1092" s="4"/>
      <c r="B1092" s="4"/>
      <c r="C1092" s="1449"/>
      <c r="D1092" s="1449"/>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 customHeight="1">
      <c r="A1093" s="35"/>
      <c r="B1093" s="25"/>
      <c r="C1093" s="1449"/>
      <c r="D1093" s="144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81" t="s">
        <v>590</v>
      </c>
      <c r="B1094" s="1381"/>
      <c r="C1094" s="1449">
        <v>6</v>
      </c>
      <c r="D1094" s="1449"/>
      <c r="E1094" s="1332" t="s">
        <v>2195</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 customHeight="1">
      <c r="A1096" s="1"/>
      <c r="B1096" s="1"/>
      <c r="C1096" s="1449"/>
      <c r="D1096" s="1449"/>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 customHeight="1">
      <c r="A1097" s="35"/>
      <c r="B1097" s="25"/>
      <c r="C1097" s="1449"/>
      <c r="D1097" s="144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81" t="s">
        <v>590</v>
      </c>
      <c r="B1098" s="1381"/>
      <c r="C1098" s="1449">
        <v>7</v>
      </c>
      <c r="D1098" s="1449"/>
      <c r="E1098" s="1332" t="s">
        <v>2093</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 customHeight="1">
      <c r="A1099" s="1"/>
      <c r="B1099" s="1"/>
      <c r="C1099" s="1449"/>
      <c r="D1099" s="1449"/>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 customHeight="1">
      <c r="A1100" s="1"/>
      <c r="B1100" s="1"/>
      <c r="C1100" s="1449"/>
      <c r="D1100" s="1449"/>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 customHeight="1">
      <c r="A1101" s="1"/>
      <c r="B1101" s="1"/>
      <c r="C1101" s="1449"/>
      <c r="D1101" s="144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449"/>
      <c r="D1102" s="144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81" t="s">
        <v>590</v>
      </c>
      <c r="B1103" s="1381"/>
      <c r="C1103" s="1449">
        <v>8</v>
      </c>
      <c r="D1103" s="1449"/>
      <c r="E1103" s="1332" t="s">
        <v>1071</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 customHeight="1">
      <c r="A1104" s="35"/>
      <c r="B1104" s="25"/>
      <c r="C1104" s="1449"/>
      <c r="D1104" s="1449"/>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 customHeight="1">
      <c r="A1105" s="35"/>
      <c r="B1105" s="25"/>
      <c r="C1105" s="1449"/>
      <c r="D1105" s="144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81" t="s">
        <v>590</v>
      </c>
      <c r="B1106" s="1381"/>
      <c r="C1106" s="1864">
        <v>9</v>
      </c>
      <c r="D1106" s="1864"/>
      <c r="E1106" s="1332" t="s">
        <v>1073</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 customHeight="1">
      <c r="A1107" s="1"/>
      <c r="B1107" s="1"/>
      <c r="C1107" s="1864"/>
      <c r="D1107" s="186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81" t="s">
        <v>590</v>
      </c>
      <c r="B1109" s="1381"/>
      <c r="C1109" s="1864">
        <v>10</v>
      </c>
      <c r="D1109" s="1864"/>
      <c r="E1109" s="1334" t="s">
        <v>2192</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81" t="s">
        <v>590</v>
      </c>
      <c r="B1112" s="1381"/>
      <c r="C1112" s="1864">
        <v>11</v>
      </c>
      <c r="D1112" s="1864"/>
      <c r="E1112" s="1334" t="s">
        <v>2193</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1" t="s">
        <v>590</v>
      </c>
      <c r="B1134" s="1381"/>
      <c r="C1134" s="199">
        <v>9</v>
      </c>
      <c r="D1134" s="1266" t="s">
        <v>1072</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J735:EN735"/>
    <mergeCell ref="EO737:ES737"/>
    <mergeCell ref="EJ743:EN743"/>
    <mergeCell ref="EO743:ES743"/>
    <mergeCell ref="DZ743:ED74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AK735:AO735"/>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72" t="s">
        <v>620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373</v>
      </c>
      <c r="D2" s="138" t="s">
        <v>372</v>
      </c>
      <c r="E2" s="138" t="s">
        <v>24</v>
      </c>
      <c r="F2" s="139" t="str">
        <f>Application!B635&amp;Application!C635</f>
        <v>1)Citibank, N.A.</v>
      </c>
      <c r="G2" s="139" t="str">
        <f>Application!B636&amp;Application!C636</f>
        <v>2)Housing Trust Silicon Valley</v>
      </c>
      <c r="H2" s="139" t="str">
        <f>Application!B637&amp;Application!C637</f>
        <v>3)HCD - AHSC Loan</v>
      </c>
      <c r="I2" s="139" t="str">
        <f>Application!B638&amp;Application!C638</f>
        <v>4)HCD - IIG Loan</v>
      </c>
      <c r="J2" s="139" t="str">
        <f>Application!B639&amp;Application!C639</f>
        <v>5)City of Richmond</v>
      </c>
      <c r="K2" s="139" t="str">
        <f>Application!B640&amp;Application!C640</f>
        <v>6)Pacific West Communities, Inc.</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571000</v>
      </c>
      <c r="C10" s="147">
        <v>571000</v>
      </c>
      <c r="D10" s="147"/>
      <c r="E10" s="147">
        <v>571000</v>
      </c>
      <c r="F10" s="147"/>
      <c r="G10" s="147"/>
      <c r="H10" s="147"/>
      <c r="I10" s="147"/>
      <c r="J10" s="147"/>
      <c r="K10" s="147"/>
      <c r="L10" s="147"/>
      <c r="M10" s="147"/>
      <c r="N10" s="147"/>
      <c r="O10" s="147"/>
      <c r="P10" s="147"/>
      <c r="Q10" s="147"/>
      <c r="R10" s="516">
        <f>SUM(E10:Q10)</f>
        <v>571000</v>
      </c>
      <c r="S10" s="147">
        <f>R10</f>
        <v>571000</v>
      </c>
      <c r="T10" s="147"/>
      <c r="U10" s="143"/>
    </row>
    <row r="11" spans="1:21" s="144" customFormat="1" ht="12">
      <c r="A11" s="149" t="s">
        <v>595</v>
      </c>
      <c r="B11" s="146">
        <f>SUM(C11:D11)</f>
        <v>571000</v>
      </c>
      <c r="C11" s="146">
        <f t="shared" ref="C11:Q11" si="1">SUM(C9:C10)</f>
        <v>571000</v>
      </c>
      <c r="D11" s="146">
        <f t="shared" si="1"/>
        <v>0</v>
      </c>
      <c r="E11" s="146">
        <f t="shared" si="1"/>
        <v>571000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571000</v>
      </c>
      <c r="S11" s="148"/>
      <c r="T11" s="150">
        <f>SUM(T9:T10)</f>
        <v>0</v>
      </c>
      <c r="U11" s="143"/>
    </row>
    <row r="12" spans="1:21" s="144" customFormat="1" ht="12">
      <c r="A12" s="149" t="s">
        <v>84</v>
      </c>
      <c r="B12" s="146">
        <f t="shared" ref="B12:Q12" si="2">SUM(B8+B11)</f>
        <v>571000</v>
      </c>
      <c r="C12" s="146">
        <f t="shared" si="2"/>
        <v>571000</v>
      </c>
      <c r="D12" s="146">
        <f t="shared" si="2"/>
        <v>0</v>
      </c>
      <c r="E12" s="146">
        <f t="shared" si="2"/>
        <v>571000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571000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3450000</v>
      </c>
      <c r="C29" s="147">
        <v>3450000</v>
      </c>
      <c r="D29" s="147"/>
      <c r="E29" s="147">
        <v>3450000</v>
      </c>
      <c r="F29" s="147"/>
      <c r="G29" s="147"/>
      <c r="H29" s="147"/>
      <c r="I29" s="147"/>
      <c r="J29" s="147"/>
      <c r="K29" s="147"/>
      <c r="L29" s="147"/>
      <c r="M29" s="147"/>
      <c r="N29" s="147"/>
      <c r="O29" s="147"/>
      <c r="P29" s="147"/>
      <c r="Q29" s="147"/>
      <c r="R29" s="516">
        <f t="shared" ref="R29:R37" si="7">SUM(E29:Q29)</f>
        <v>3450000</v>
      </c>
      <c r="S29" s="147">
        <f>R29</f>
        <v>3450000</v>
      </c>
      <c r="T29" s="147"/>
      <c r="U29" s="143"/>
    </row>
    <row r="30" spans="1:21" s="144" customFormat="1">
      <c r="A30" s="145" t="s">
        <v>598</v>
      </c>
      <c r="B30" s="146">
        <f t="shared" si="6"/>
        <v>58404837</v>
      </c>
      <c r="C30" s="147">
        <v>58404837</v>
      </c>
      <c r="D30" s="147"/>
      <c r="E30" s="147">
        <v>10445482</v>
      </c>
      <c r="F30" s="147">
        <v>10359355</v>
      </c>
      <c r="G30" s="147">
        <v>2600000</v>
      </c>
      <c r="H30" s="147">
        <v>27813000</v>
      </c>
      <c r="I30" s="147">
        <v>5000000</v>
      </c>
      <c r="J30" s="147">
        <v>2187000</v>
      </c>
      <c r="K30" s="147"/>
      <c r="L30" s="147"/>
      <c r="M30" s="147"/>
      <c r="N30" s="147"/>
      <c r="O30" s="147"/>
      <c r="P30" s="147"/>
      <c r="Q30" s="147"/>
      <c r="R30" s="516">
        <f t="shared" si="7"/>
        <v>58404837</v>
      </c>
      <c r="S30" s="147">
        <f>R30</f>
        <v>58404837</v>
      </c>
      <c r="T30" s="147"/>
      <c r="U30" s="143"/>
    </row>
    <row r="31" spans="1:21" s="144" customFormat="1">
      <c r="A31" s="145" t="s">
        <v>599</v>
      </c>
      <c r="B31" s="146">
        <f t="shared" si="6"/>
        <v>3745550</v>
      </c>
      <c r="C31" s="147">
        <v>3745550</v>
      </c>
      <c r="D31" s="147"/>
      <c r="E31" s="147">
        <v>3745550</v>
      </c>
      <c r="F31" s="147"/>
      <c r="G31" s="147"/>
      <c r="H31" s="147"/>
      <c r="I31" s="147"/>
      <c r="J31" s="147"/>
      <c r="K31" s="147"/>
      <c r="L31" s="147"/>
      <c r="M31" s="147"/>
      <c r="N31" s="147"/>
      <c r="O31" s="147"/>
      <c r="P31" s="147"/>
      <c r="Q31" s="147"/>
      <c r="R31" s="516">
        <f t="shared" si="7"/>
        <v>3745550</v>
      </c>
      <c r="S31" s="147">
        <f>R31</f>
        <v>3745550</v>
      </c>
      <c r="T31" s="147"/>
      <c r="U31" s="143"/>
    </row>
    <row r="32" spans="1:21" s="144" customFormat="1">
      <c r="A32" s="145" t="s">
        <v>137</v>
      </c>
      <c r="B32" s="146">
        <f t="shared" si="6"/>
        <v>1248517</v>
      </c>
      <c r="C32" s="147">
        <v>1248517</v>
      </c>
      <c r="D32" s="147"/>
      <c r="E32" s="147">
        <v>1248517</v>
      </c>
      <c r="F32" s="147"/>
      <c r="G32" s="147"/>
      <c r="H32" s="147"/>
      <c r="I32" s="147"/>
      <c r="J32" s="147"/>
      <c r="K32" s="147"/>
      <c r="L32" s="147"/>
      <c r="M32" s="147"/>
      <c r="N32" s="147"/>
      <c r="O32" s="147"/>
      <c r="P32" s="147"/>
      <c r="Q32" s="147"/>
      <c r="R32" s="516">
        <f t="shared" si="7"/>
        <v>1248517</v>
      </c>
      <c r="S32" s="147">
        <f>R32</f>
        <v>1248517</v>
      </c>
      <c r="T32" s="147"/>
      <c r="U32" s="143"/>
    </row>
    <row r="33" spans="1:21" s="144" customFormat="1">
      <c r="A33" s="145" t="s">
        <v>138</v>
      </c>
      <c r="B33" s="146">
        <f t="shared" si="6"/>
        <v>3745550</v>
      </c>
      <c r="C33" s="147">
        <v>3745550</v>
      </c>
      <c r="D33" s="147"/>
      <c r="E33" s="147">
        <v>3745550</v>
      </c>
      <c r="F33" s="147"/>
      <c r="G33" s="147"/>
      <c r="H33" s="147"/>
      <c r="I33" s="147"/>
      <c r="J33" s="147"/>
      <c r="K33" s="147"/>
      <c r="L33" s="147"/>
      <c r="M33" s="147"/>
      <c r="N33" s="147"/>
      <c r="O33" s="147"/>
      <c r="P33" s="147"/>
      <c r="Q33" s="147"/>
      <c r="R33" s="516">
        <f t="shared" si="7"/>
        <v>3745550</v>
      </c>
      <c r="S33" s="147">
        <f>R33</f>
        <v>3745550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200000</v>
      </c>
      <c r="C35" s="147">
        <v>200000</v>
      </c>
      <c r="D35" s="147"/>
      <c r="E35" s="147">
        <v>200000</v>
      </c>
      <c r="F35" s="147"/>
      <c r="G35" s="147"/>
      <c r="H35" s="147"/>
      <c r="I35" s="147"/>
      <c r="J35" s="147"/>
      <c r="K35" s="147"/>
      <c r="L35" s="147"/>
      <c r="M35" s="147"/>
      <c r="N35" s="147"/>
      <c r="O35" s="147"/>
      <c r="P35" s="147"/>
      <c r="Q35" s="147"/>
      <c r="R35" s="516">
        <f t="shared" si="7"/>
        <v>200000</v>
      </c>
      <c r="S35" s="147">
        <f>R35</f>
        <v>200000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70794454</v>
      </c>
      <c r="C38" s="146">
        <f>SUM(C29:C37)</f>
        <v>70794454</v>
      </c>
      <c r="D38" s="146">
        <f t="shared" ref="D38:Q38" si="8">SUM(D29:D37)</f>
        <v>0</v>
      </c>
      <c r="E38" s="146">
        <f t="shared" si="8"/>
        <v>22835099</v>
      </c>
      <c r="F38" s="146">
        <f t="shared" si="8"/>
        <v>10359355</v>
      </c>
      <c r="G38" s="146">
        <f t="shared" si="8"/>
        <v>2600000</v>
      </c>
      <c r="H38" s="146">
        <f t="shared" si="8"/>
        <v>27813000</v>
      </c>
      <c r="I38" s="146">
        <f t="shared" si="8"/>
        <v>5000000</v>
      </c>
      <c r="J38" s="146">
        <f t="shared" si="8"/>
        <v>2187000</v>
      </c>
      <c r="K38" s="146">
        <f t="shared" si="8"/>
        <v>0</v>
      </c>
      <c r="L38" s="146">
        <f t="shared" si="8"/>
        <v>0</v>
      </c>
      <c r="M38" s="146">
        <f t="shared" si="8"/>
        <v>0</v>
      </c>
      <c r="N38" s="146">
        <f t="shared" si="8"/>
        <v>0</v>
      </c>
      <c r="O38" s="146">
        <f t="shared" si="8"/>
        <v>0</v>
      </c>
      <c r="P38" s="146">
        <f t="shared" si="8"/>
        <v>0</v>
      </c>
      <c r="Q38" s="146">
        <f t="shared" si="8"/>
        <v>0</v>
      </c>
      <c r="R38" s="342">
        <f>SUM(R29:R37)</f>
        <v>70794454</v>
      </c>
      <c r="S38" s="150">
        <f>SUM(S29:S37)</f>
        <v>70794454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v>750000</v>
      </c>
      <c r="F40" s="147"/>
      <c r="G40" s="147"/>
      <c r="H40" s="147"/>
      <c r="I40" s="147"/>
      <c r="J40" s="147"/>
      <c r="K40" s="147"/>
      <c r="L40" s="147"/>
      <c r="M40" s="147"/>
      <c r="N40" s="147"/>
      <c r="O40" s="147"/>
      <c r="P40" s="147"/>
      <c r="Q40" s="147"/>
      <c r="R40" s="516">
        <f>SUM(E40:Q40)</f>
        <v>750000</v>
      </c>
      <c r="S40" s="147">
        <f>R40</f>
        <v>750000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ht="12">
      <c r="A42" s="149" t="s">
        <v>147</v>
      </c>
      <c r="B42" s="146">
        <f>SUM(C42:D42)</f>
        <v>900000</v>
      </c>
      <c r="C42" s="146">
        <f>SUM(C39:C41)</f>
        <v>900000</v>
      </c>
      <c r="D42" s="146">
        <f>SUM(D39:D41)</f>
        <v>0</v>
      </c>
      <c r="E42" s="146">
        <f t="shared" ref="E42:T42" si="9">SUM(E40:E41)</f>
        <v>900000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900000</v>
      </c>
      <c r="S42" s="150">
        <f t="shared" si="9"/>
        <v>900000</v>
      </c>
      <c r="T42" s="150">
        <f t="shared" si="9"/>
        <v>0</v>
      </c>
      <c r="U42" s="143"/>
    </row>
    <row r="43" spans="1:21" s="144" customFormat="1" ht="12">
      <c r="A43" s="149" t="s">
        <v>148</v>
      </c>
      <c r="B43" s="146">
        <f>SUM(C43:D43)</f>
        <v>290000</v>
      </c>
      <c r="C43" s="147">
        <v>290000</v>
      </c>
      <c r="D43" s="147"/>
      <c r="E43" s="147">
        <v>290000</v>
      </c>
      <c r="F43" s="147"/>
      <c r="G43" s="147"/>
      <c r="H43" s="147"/>
      <c r="I43" s="147"/>
      <c r="J43" s="147"/>
      <c r="K43" s="147"/>
      <c r="L43" s="147"/>
      <c r="M43" s="147"/>
      <c r="N43" s="147"/>
      <c r="O43" s="147"/>
      <c r="P43" s="147"/>
      <c r="Q43" s="147"/>
      <c r="R43" s="516">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5007000</v>
      </c>
      <c r="C45" s="147">
        <f>1716000+3291000</f>
        <v>5007000</v>
      </c>
      <c r="D45" s="147"/>
      <c r="E45" s="147">
        <f>1716000+3291000</f>
        <v>5007000</v>
      </c>
      <c r="F45" s="147"/>
      <c r="G45" s="147"/>
      <c r="H45" s="147"/>
      <c r="I45" s="147"/>
      <c r="J45" s="147"/>
      <c r="K45" s="147"/>
      <c r="L45" s="147"/>
      <c r="M45" s="147"/>
      <c r="N45" s="147"/>
      <c r="O45" s="147"/>
      <c r="P45" s="147"/>
      <c r="Q45" s="147"/>
      <c r="R45" s="516">
        <f t="shared" ref="R45:R53" si="11">SUM(E45:Q45)</f>
        <v>5007000</v>
      </c>
      <c r="S45" s="147">
        <f>R45</f>
        <v>5007000</v>
      </c>
      <c r="T45" s="147"/>
      <c r="U45" s="143"/>
    </row>
    <row r="46" spans="1:21" s="144" customFormat="1">
      <c r="A46" s="145" t="s">
        <v>151</v>
      </c>
      <c r="B46" s="146">
        <f t="shared" si="10"/>
        <v>559500</v>
      </c>
      <c r="C46" s="147">
        <v>559500</v>
      </c>
      <c r="D46" s="147"/>
      <c r="E46" s="147">
        <v>559500</v>
      </c>
      <c r="F46" s="147"/>
      <c r="G46" s="147"/>
      <c r="H46" s="147"/>
      <c r="I46" s="147"/>
      <c r="J46" s="147"/>
      <c r="K46" s="147"/>
      <c r="L46" s="147"/>
      <c r="M46" s="147"/>
      <c r="N46" s="147"/>
      <c r="O46" s="147"/>
      <c r="P46" s="147"/>
      <c r="Q46" s="147"/>
      <c r="R46" s="516">
        <f t="shared" si="11"/>
        <v>559500</v>
      </c>
      <c r="S46" s="147">
        <f>R46</f>
        <v>559500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16">
        <f t="shared" si="11"/>
        <v>150000</v>
      </c>
      <c r="S49" s="147">
        <f>R49</f>
        <v>150000</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16">
        <f t="shared" si="11"/>
        <v>50000</v>
      </c>
      <c r="S50" s="147">
        <f>R50</f>
        <v>50000</v>
      </c>
      <c r="T50" s="147"/>
      <c r="U50" s="143"/>
    </row>
    <row r="51" spans="1:21" s="144" customFormat="1">
      <c r="A51" s="283" t="s">
        <v>154</v>
      </c>
      <c r="B51" s="146">
        <f t="shared" si="10"/>
        <v>20000</v>
      </c>
      <c r="C51" s="147">
        <v>20000</v>
      </c>
      <c r="D51" s="147"/>
      <c r="E51" s="147">
        <v>20000</v>
      </c>
      <c r="F51" s="147"/>
      <c r="G51" s="147"/>
      <c r="H51" s="147"/>
      <c r="I51" s="147"/>
      <c r="J51" s="147"/>
      <c r="K51" s="147"/>
      <c r="L51" s="147"/>
      <c r="M51" s="147"/>
      <c r="N51" s="147"/>
      <c r="O51" s="147"/>
      <c r="P51" s="147"/>
      <c r="Q51" s="147"/>
      <c r="R51" s="516">
        <f t="shared" si="11"/>
        <v>20000</v>
      </c>
      <c r="S51" s="147">
        <f>R51</f>
        <v>20000</v>
      </c>
      <c r="T51" s="147"/>
      <c r="U51" s="143"/>
    </row>
    <row r="52" spans="1:21" s="144" customFormat="1">
      <c r="A52" s="145" t="s">
        <v>155</v>
      </c>
      <c r="B52" s="146">
        <f t="shared" si="10"/>
        <v>173800</v>
      </c>
      <c r="C52" s="147">
        <v>173800</v>
      </c>
      <c r="D52" s="147"/>
      <c r="E52" s="147">
        <v>173800</v>
      </c>
      <c r="F52" s="147"/>
      <c r="G52" s="147"/>
      <c r="H52" s="147"/>
      <c r="I52" s="147"/>
      <c r="J52" s="147"/>
      <c r="K52" s="147"/>
      <c r="L52" s="147"/>
      <c r="M52" s="147"/>
      <c r="N52" s="147"/>
      <c r="O52" s="147"/>
      <c r="P52" s="147"/>
      <c r="Q52" s="147"/>
      <c r="R52" s="516">
        <f t="shared" si="11"/>
        <v>173800</v>
      </c>
      <c r="S52" s="147">
        <f>R52</f>
        <v>173800</v>
      </c>
      <c r="T52" s="147"/>
      <c r="U52" s="143"/>
    </row>
    <row r="53" spans="1:21" s="144" customFormat="1">
      <c r="A53" s="1143" t="s">
        <v>2740</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ht="12">
      <c r="A54" s="149" t="s">
        <v>157</v>
      </c>
      <c r="B54" s="150">
        <f>SUM(C54:D54)</f>
        <v>6080300</v>
      </c>
      <c r="C54" s="150">
        <f t="shared" ref="C54:T54" si="12">SUM(C45:C53)</f>
        <v>6080300</v>
      </c>
      <c r="D54" s="150">
        <f t="shared" si="12"/>
        <v>0</v>
      </c>
      <c r="E54" s="150">
        <f t="shared" si="12"/>
        <v>6080300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6080300</v>
      </c>
      <c r="S54" s="150">
        <f t="shared" si="12"/>
        <v>6080300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55000</v>
      </c>
      <c r="C56" s="147">
        <v>55000</v>
      </c>
      <c r="D56" s="147"/>
      <c r="E56" s="147"/>
      <c r="F56" s="147">
        <v>55000</v>
      </c>
      <c r="G56" s="147"/>
      <c r="H56" s="147"/>
      <c r="I56" s="147"/>
      <c r="J56" s="147"/>
      <c r="K56" s="147"/>
      <c r="L56" s="147"/>
      <c r="M56" s="147"/>
      <c r="N56" s="147"/>
      <c r="O56" s="147"/>
      <c r="P56" s="147"/>
      <c r="Q56" s="147"/>
      <c r="R56" s="516">
        <f t="shared" ref="R56:R61" si="14">SUM(E56:Q56)</f>
        <v>55000</v>
      </c>
      <c r="S56" s="148"/>
      <c r="T56" s="148"/>
      <c r="U56" s="143"/>
    </row>
    <row r="57" spans="1:21" s="192" customFormat="1">
      <c r="A57" s="186" t="s">
        <v>152</v>
      </c>
      <c r="B57" s="193">
        <f t="shared" si="13"/>
        <v>15000</v>
      </c>
      <c r="C57" s="190">
        <v>15000</v>
      </c>
      <c r="D57" s="190"/>
      <c r="E57" s="190"/>
      <c r="F57" s="190">
        <v>15000</v>
      </c>
      <c r="G57" s="190"/>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80000</v>
      </c>
      <c r="C62" s="146">
        <f t="shared" ref="C62:R62" si="15">SUM(C56:C61)</f>
        <v>80000</v>
      </c>
      <c r="D62" s="146">
        <f t="shared" si="15"/>
        <v>0</v>
      </c>
      <c r="E62" s="146">
        <f t="shared" si="15"/>
        <v>0</v>
      </c>
      <c r="F62" s="146">
        <f t="shared" si="15"/>
        <v>80000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80000</v>
      </c>
      <c r="S62" s="148"/>
      <c r="T62" s="148"/>
      <c r="U62" s="143"/>
    </row>
    <row r="63" spans="1:21" s="144" customFormat="1">
      <c r="A63" s="154" t="s">
        <v>301</v>
      </c>
      <c r="B63" s="146">
        <f t="shared" ref="B63:R63" si="16">SUM(B8+B11+B13+B14+B15+B26+B27+B38+B42+B43+B54+B62)</f>
        <v>78715754</v>
      </c>
      <c r="C63" s="146">
        <f t="shared" si="16"/>
        <v>78715754</v>
      </c>
      <c r="D63" s="146">
        <f t="shared" si="16"/>
        <v>0</v>
      </c>
      <c r="E63" s="146">
        <f t="shared" si="16"/>
        <v>30676399</v>
      </c>
      <c r="F63" s="146">
        <f t="shared" si="16"/>
        <v>10439355</v>
      </c>
      <c r="G63" s="146">
        <f t="shared" si="16"/>
        <v>2600000</v>
      </c>
      <c r="H63" s="146">
        <f t="shared" si="16"/>
        <v>27813000</v>
      </c>
      <c r="I63" s="146">
        <f t="shared" si="16"/>
        <v>5000000</v>
      </c>
      <c r="J63" s="146">
        <f t="shared" si="16"/>
        <v>2187000</v>
      </c>
      <c r="K63" s="146">
        <f t="shared" si="16"/>
        <v>0</v>
      </c>
      <c r="L63" s="146">
        <f t="shared" si="16"/>
        <v>0</v>
      </c>
      <c r="M63" s="146">
        <f t="shared" si="16"/>
        <v>0</v>
      </c>
      <c r="N63" s="146">
        <f t="shared" si="16"/>
        <v>0</v>
      </c>
      <c r="O63" s="146">
        <f t="shared" si="16"/>
        <v>0</v>
      </c>
      <c r="P63" s="146">
        <f t="shared" si="16"/>
        <v>0</v>
      </c>
      <c r="Q63" s="146">
        <f t="shared" si="16"/>
        <v>0</v>
      </c>
      <c r="R63" s="342">
        <f t="shared" si="16"/>
        <v>78715754</v>
      </c>
      <c r="S63" s="146">
        <f>SUM(S10+S13+S14+S15+S26+S27+S38+S42+S43+S54)</f>
        <v>78635754</v>
      </c>
      <c r="T63" s="146">
        <f>SUM(T11+T13+T14+T15+T26+T27+T38+T42+T43+T54)</f>
        <v>0</v>
      </c>
      <c r="U63" s="143"/>
    </row>
    <row r="64" spans="1:21" s="144" customFormat="1" ht="22.8">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70000</v>
      </c>
      <c r="C65" s="147">
        <v>70000</v>
      </c>
      <c r="D65" s="147"/>
      <c r="E65" s="147">
        <v>70000</v>
      </c>
      <c r="F65" s="147"/>
      <c r="G65" s="147"/>
      <c r="H65" s="147"/>
      <c r="I65" s="147"/>
      <c r="J65" s="147"/>
      <c r="K65" s="147"/>
      <c r="L65" s="147"/>
      <c r="M65" s="147"/>
      <c r="N65" s="147"/>
      <c r="O65" s="147"/>
      <c r="P65" s="147"/>
      <c r="Q65" s="147"/>
      <c r="R65" s="516">
        <f>SUM(E65:Q65)</f>
        <v>70000</v>
      </c>
      <c r="S65" s="147">
        <f>R65</f>
        <v>70000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2741</v>
      </c>
      <c r="B69" s="146">
        <f>SUM(C69+D69)</f>
        <v>90000</v>
      </c>
      <c r="C69" s="147">
        <v>90000</v>
      </c>
      <c r="D69" s="147"/>
      <c r="E69" s="147">
        <v>90000</v>
      </c>
      <c r="F69" s="147"/>
      <c r="G69" s="147"/>
      <c r="H69" s="147"/>
      <c r="I69" s="147"/>
      <c r="J69" s="147"/>
      <c r="K69" s="147"/>
      <c r="L69" s="147"/>
      <c r="M69" s="147"/>
      <c r="N69" s="147"/>
      <c r="O69" s="147"/>
      <c r="P69" s="147"/>
      <c r="Q69" s="147"/>
      <c r="R69" s="516">
        <f>SUM(E69:Q69)</f>
        <v>90000</v>
      </c>
      <c r="S69" s="147"/>
      <c r="T69" s="147"/>
      <c r="U69" s="143"/>
    </row>
    <row r="70" spans="1:21" s="144" customFormat="1" ht="12">
      <c r="A70" s="149" t="s">
        <v>1632</v>
      </c>
      <c r="B70" s="146">
        <f>SUM(C70:D70)</f>
        <v>160000</v>
      </c>
      <c r="C70" s="146">
        <f>SUM(C65:C69)</f>
        <v>160000</v>
      </c>
      <c r="D70" s="146">
        <f>SUM(D65:D69)</f>
        <v>0</v>
      </c>
      <c r="E70" s="146">
        <f t="shared" ref="E70:T70" si="17">SUM(E65:E69)</f>
        <v>160000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160000</v>
      </c>
      <c r="S70" s="150">
        <f t="shared" si="17"/>
        <v>70000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560645</v>
      </c>
      <c r="C75" s="147">
        <v>560645</v>
      </c>
      <c r="D75" s="147"/>
      <c r="E75" s="147"/>
      <c r="F75" s="147">
        <v>560645</v>
      </c>
      <c r="G75" s="147"/>
      <c r="H75" s="147"/>
      <c r="I75" s="147"/>
      <c r="J75" s="147"/>
      <c r="K75" s="147"/>
      <c r="L75" s="147"/>
      <c r="M75" s="147"/>
      <c r="N75" s="147"/>
      <c r="O75" s="147"/>
      <c r="P75" s="147"/>
      <c r="Q75" s="147"/>
      <c r="R75" s="516">
        <f>SUM(E75:Q75)</f>
        <v>560645</v>
      </c>
      <c r="S75" s="148"/>
      <c r="T75" s="148"/>
      <c r="U75" s="143"/>
    </row>
    <row r="76" spans="1:21" s="144" customFormat="1">
      <c r="A76" s="1143" t="s">
        <v>2742</v>
      </c>
      <c r="B76" s="146">
        <f>SUM(C76+D76)</f>
        <v>470000</v>
      </c>
      <c r="C76" s="147">
        <v>470000</v>
      </c>
      <c r="D76" s="147"/>
      <c r="E76" s="147">
        <v>470000</v>
      </c>
      <c r="F76" s="147"/>
      <c r="G76" s="147"/>
      <c r="H76" s="147"/>
      <c r="I76" s="147"/>
      <c r="J76" s="147"/>
      <c r="K76" s="147"/>
      <c r="L76" s="147"/>
      <c r="M76" s="147"/>
      <c r="N76" s="147"/>
      <c r="O76" s="147"/>
      <c r="P76" s="147"/>
      <c r="Q76" s="147"/>
      <c r="R76" s="516">
        <f>SUM(E76:Q76)</f>
        <v>470000</v>
      </c>
      <c r="S76" s="148"/>
      <c r="T76" s="148"/>
      <c r="U76" s="143"/>
    </row>
    <row r="77" spans="1:21" s="144" customFormat="1" ht="12">
      <c r="A77" s="149" t="s">
        <v>605</v>
      </c>
      <c r="B77" s="146">
        <f>SUM(C77:D77)</f>
        <v>1030645</v>
      </c>
      <c r="C77" s="146">
        <f>SUM(C72:C76)</f>
        <v>1030645</v>
      </c>
      <c r="D77" s="146">
        <f>SUM(D72:D76)</f>
        <v>0</v>
      </c>
      <c r="E77" s="146">
        <f t="shared" ref="E77:Q77" si="18">SUM(E72:E76)</f>
        <v>470000</v>
      </c>
      <c r="F77" s="146">
        <f t="shared" si="18"/>
        <v>560645</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1030645</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3600000</v>
      </c>
      <c r="C79" s="147">
        <v>3600000</v>
      </c>
      <c r="D79" s="147"/>
      <c r="E79" s="147">
        <v>3600000</v>
      </c>
      <c r="F79" s="147"/>
      <c r="G79" s="147"/>
      <c r="H79" s="147"/>
      <c r="I79" s="147"/>
      <c r="J79" s="147"/>
      <c r="K79" s="147"/>
      <c r="L79" s="147"/>
      <c r="M79" s="147"/>
      <c r="N79" s="147"/>
      <c r="O79" s="147"/>
      <c r="P79" s="147"/>
      <c r="Q79" s="147"/>
      <c r="R79" s="516">
        <f>SUM(E79:Q79)</f>
        <v>3600000</v>
      </c>
      <c r="S79" s="147">
        <f>R79</f>
        <v>3600000</v>
      </c>
      <c r="T79" s="147"/>
      <c r="U79" s="143"/>
    </row>
    <row r="80" spans="1:21" s="144" customFormat="1">
      <c r="A80" s="283" t="s">
        <v>58</v>
      </c>
      <c r="B80" s="146">
        <f>SUM(C80:D80)</f>
        <v>750000</v>
      </c>
      <c r="C80" s="147">
        <v>750000</v>
      </c>
      <c r="D80" s="147"/>
      <c r="E80" s="147">
        <v>750000</v>
      </c>
      <c r="F80" s="147"/>
      <c r="G80" s="147"/>
      <c r="H80" s="147"/>
      <c r="I80" s="147"/>
      <c r="J80" s="147"/>
      <c r="K80" s="147"/>
      <c r="L80" s="147"/>
      <c r="M80" s="147"/>
      <c r="N80" s="147"/>
      <c r="O80" s="147"/>
      <c r="P80" s="147"/>
      <c r="Q80" s="147"/>
      <c r="R80" s="516">
        <f>SUM(E80:Q80)</f>
        <v>750000</v>
      </c>
      <c r="S80" s="147">
        <f>R80</f>
        <v>750000</v>
      </c>
      <c r="T80" s="147"/>
      <c r="U80" s="143"/>
    </row>
    <row r="81" spans="1:21" s="144" customFormat="1" ht="12">
      <c r="A81" s="149" t="s">
        <v>1207</v>
      </c>
      <c r="B81" s="146">
        <f>SUM(C81:D81)</f>
        <v>4350000</v>
      </c>
      <c r="C81" s="509">
        <f>SUM(C79:C80)</f>
        <v>4350000</v>
      </c>
      <c r="D81" s="509">
        <f t="shared" ref="D81:T81" si="19">SUM(D79:D80)</f>
        <v>0</v>
      </c>
      <c r="E81" s="509">
        <f t="shared" si="19"/>
        <v>4350000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4350000</v>
      </c>
      <c r="S81" s="509">
        <f t="shared" si="19"/>
        <v>4350000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2049</v>
      </c>
      <c r="B83" s="146">
        <f t="shared" ref="B83:B95" si="20">SUM(C83+D83)</f>
        <v>117089</v>
      </c>
      <c r="C83" s="147">
        <v>117089</v>
      </c>
      <c r="D83" s="147"/>
      <c r="E83" s="147">
        <v>117089</v>
      </c>
      <c r="F83" s="147"/>
      <c r="G83" s="147"/>
      <c r="H83" s="147"/>
      <c r="I83" s="147"/>
      <c r="J83" s="147"/>
      <c r="K83" s="147"/>
      <c r="L83" s="147"/>
      <c r="M83" s="147"/>
      <c r="N83" s="147"/>
      <c r="O83" s="147"/>
      <c r="P83" s="147"/>
      <c r="Q83" s="147"/>
      <c r="R83" s="516">
        <f t="shared" ref="R83:R95" si="21">SUM(E83:Q83)</f>
        <v>117089</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6154048</v>
      </c>
      <c r="C85" s="147">
        <v>6154048</v>
      </c>
      <c r="D85" s="147"/>
      <c r="E85" s="147">
        <v>6154048</v>
      </c>
      <c r="F85" s="147"/>
      <c r="G85" s="147"/>
      <c r="H85" s="147"/>
      <c r="I85" s="147"/>
      <c r="J85" s="147"/>
      <c r="K85" s="147"/>
      <c r="L85" s="147"/>
      <c r="M85" s="147"/>
      <c r="N85" s="147"/>
      <c r="O85" s="147"/>
      <c r="P85" s="147"/>
      <c r="Q85" s="147"/>
      <c r="R85" s="516">
        <f t="shared" si="21"/>
        <v>6154048</v>
      </c>
      <c r="S85" s="147">
        <f>R85</f>
        <v>6154048</v>
      </c>
      <c r="T85" s="147"/>
      <c r="U85" s="143"/>
    </row>
    <row r="86" spans="1:21" s="144" customFormat="1">
      <c r="A86" s="145" t="s">
        <v>767</v>
      </c>
      <c r="B86" s="146">
        <f t="shared" si="20"/>
        <v>1000000</v>
      </c>
      <c r="C86" s="147">
        <v>1000000</v>
      </c>
      <c r="D86" s="147"/>
      <c r="E86" s="147">
        <v>1000000</v>
      </c>
      <c r="F86" s="147"/>
      <c r="G86" s="147"/>
      <c r="H86" s="147"/>
      <c r="I86" s="147"/>
      <c r="J86" s="147"/>
      <c r="K86" s="147"/>
      <c r="L86" s="147"/>
      <c r="M86" s="147"/>
      <c r="N86" s="147"/>
      <c r="O86" s="147"/>
      <c r="P86" s="147"/>
      <c r="Q86" s="147"/>
      <c r="R86" s="516">
        <f t="shared" si="21"/>
        <v>1000000</v>
      </c>
      <c r="S86" s="147">
        <f>R86</f>
        <v>1000000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137323</v>
      </c>
      <c r="C88" s="147">
        <v>137323</v>
      </c>
      <c r="D88" s="147"/>
      <c r="E88" s="147">
        <v>137323</v>
      </c>
      <c r="F88" s="147"/>
      <c r="G88" s="147"/>
      <c r="H88" s="147"/>
      <c r="I88" s="147"/>
      <c r="J88" s="147"/>
      <c r="K88" s="147"/>
      <c r="L88" s="147"/>
      <c r="M88" s="147"/>
      <c r="N88" s="147"/>
      <c r="O88" s="147"/>
      <c r="P88" s="147"/>
      <c r="Q88" s="147"/>
      <c r="R88" s="516">
        <f t="shared" si="21"/>
        <v>137323</v>
      </c>
      <c r="S88" s="148"/>
      <c r="T88" s="148"/>
      <c r="U88" s="143"/>
    </row>
    <row r="89" spans="1:21" s="144" customFormat="1">
      <c r="A89" s="145" t="s">
        <v>770</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772</v>
      </c>
      <c r="B96" s="146">
        <f>SUM(C96:D96)</f>
        <v>7498460</v>
      </c>
      <c r="C96" s="146">
        <f t="shared" ref="C96:R96" si="22">SUM(C83:C95)</f>
        <v>7498460</v>
      </c>
      <c r="D96" s="146">
        <f t="shared" si="22"/>
        <v>0</v>
      </c>
      <c r="E96" s="146">
        <f t="shared" si="22"/>
        <v>7498460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7498460</v>
      </c>
      <c r="S96" s="150">
        <f>SUM(S84:S87,S89:S95)</f>
        <v>7244048</v>
      </c>
      <c r="T96" s="146">
        <f>SUM(T84:T87,T89:T95)</f>
        <v>0</v>
      </c>
      <c r="U96" s="143"/>
    </row>
    <row r="97" spans="1:21" s="144" customFormat="1" ht="12">
      <c r="A97" s="149" t="s">
        <v>773</v>
      </c>
      <c r="B97" s="146">
        <f>SUM(C97:D97)</f>
        <v>91754859</v>
      </c>
      <c r="C97" s="146">
        <f t="shared" ref="C97:R97" si="23">SUM(C63+C70+C77+C81+C96)</f>
        <v>91754859</v>
      </c>
      <c r="D97" s="146">
        <f t="shared" si="23"/>
        <v>0</v>
      </c>
      <c r="E97" s="146">
        <f t="shared" si="23"/>
        <v>43154859</v>
      </c>
      <c r="F97" s="146">
        <f t="shared" si="23"/>
        <v>11000000</v>
      </c>
      <c r="G97" s="146">
        <f t="shared" si="23"/>
        <v>2600000</v>
      </c>
      <c r="H97" s="146">
        <f t="shared" si="23"/>
        <v>27813000</v>
      </c>
      <c r="I97" s="146">
        <f t="shared" si="23"/>
        <v>5000000</v>
      </c>
      <c r="J97" s="146">
        <f t="shared" si="23"/>
        <v>2187000</v>
      </c>
      <c r="K97" s="146">
        <f t="shared" si="23"/>
        <v>0</v>
      </c>
      <c r="L97" s="146">
        <f t="shared" si="23"/>
        <v>0</v>
      </c>
      <c r="M97" s="146">
        <f t="shared" si="23"/>
        <v>0</v>
      </c>
      <c r="N97" s="146">
        <f t="shared" si="23"/>
        <v>0</v>
      </c>
      <c r="O97" s="146">
        <f t="shared" si="23"/>
        <v>0</v>
      </c>
      <c r="P97" s="146">
        <f t="shared" si="23"/>
        <v>0</v>
      </c>
      <c r="Q97" s="146">
        <f t="shared" si="23"/>
        <v>0</v>
      </c>
      <c r="R97" s="146">
        <f t="shared" si="23"/>
        <v>91754859</v>
      </c>
      <c r="S97" s="146">
        <f>SUM(S63+S70+S81+S96)</f>
        <v>90299802</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13544970</v>
      </c>
      <c r="C99" s="974">
        <v>13544970</v>
      </c>
      <c r="D99" s="974"/>
      <c r="E99" s="974">
        <v>2200000</v>
      </c>
      <c r="F99" s="147"/>
      <c r="G99" s="147"/>
      <c r="H99" s="147"/>
      <c r="I99" s="147"/>
      <c r="J99" s="147"/>
      <c r="K99" s="147">
        <v>11344970</v>
      </c>
      <c r="L99" s="147"/>
      <c r="M99" s="147"/>
      <c r="N99" s="147"/>
      <c r="O99" s="147"/>
      <c r="P99" s="147"/>
      <c r="Q99" s="147"/>
      <c r="R99" s="516">
        <f>SUM(E99:Q99)</f>
        <v>13544970</v>
      </c>
      <c r="S99" s="147">
        <f>R99</f>
        <v>13544970</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13544970</v>
      </c>
      <c r="C104" s="146">
        <f>SUM(C99:C103)</f>
        <v>13544970</v>
      </c>
      <c r="D104" s="146">
        <f t="shared" ref="D104:T104" si="24">SUM(D99:D103)</f>
        <v>0</v>
      </c>
      <c r="E104" s="146">
        <f t="shared" si="24"/>
        <v>2200000</v>
      </c>
      <c r="F104" s="146">
        <f t="shared" si="24"/>
        <v>0</v>
      </c>
      <c r="G104" s="146">
        <f t="shared" si="24"/>
        <v>0</v>
      </c>
      <c r="H104" s="146">
        <f t="shared" si="24"/>
        <v>0</v>
      </c>
      <c r="I104" s="146">
        <f t="shared" si="24"/>
        <v>0</v>
      </c>
      <c r="J104" s="146">
        <f t="shared" si="24"/>
        <v>0</v>
      </c>
      <c r="K104" s="146">
        <f t="shared" si="24"/>
        <v>11344970</v>
      </c>
      <c r="L104" s="146">
        <f t="shared" si="24"/>
        <v>0</v>
      </c>
      <c r="M104" s="146">
        <f t="shared" si="24"/>
        <v>0</v>
      </c>
      <c r="N104" s="146">
        <f t="shared" si="24"/>
        <v>0</v>
      </c>
      <c r="O104" s="146">
        <f t="shared" si="24"/>
        <v>0</v>
      </c>
      <c r="P104" s="146">
        <f t="shared" si="24"/>
        <v>0</v>
      </c>
      <c r="Q104" s="146">
        <f t="shared" si="24"/>
        <v>0</v>
      </c>
      <c r="R104" s="342">
        <f t="shared" si="24"/>
        <v>13544970</v>
      </c>
      <c r="S104" s="150">
        <f t="shared" si="24"/>
        <v>13544970</v>
      </c>
      <c r="T104" s="150">
        <f t="shared" si="24"/>
        <v>0</v>
      </c>
      <c r="U104" s="143"/>
    </row>
    <row r="105" spans="1:21" s="144" customFormat="1" ht="12">
      <c r="A105" s="149" t="s">
        <v>778</v>
      </c>
      <c r="B105" s="150">
        <f>SUM(C105:D105)</f>
        <v>105299829</v>
      </c>
      <c r="C105" s="150">
        <f t="shared" ref="C105:R105" si="25">SUM(C97+C104)</f>
        <v>105299829</v>
      </c>
      <c r="D105" s="150">
        <f t="shared" si="25"/>
        <v>0</v>
      </c>
      <c r="E105" s="150">
        <f t="shared" si="25"/>
        <v>45354859</v>
      </c>
      <c r="F105" s="150">
        <f t="shared" si="25"/>
        <v>11000000</v>
      </c>
      <c r="G105" s="150">
        <f t="shared" si="25"/>
        <v>2600000</v>
      </c>
      <c r="H105" s="150">
        <f t="shared" si="25"/>
        <v>27813000</v>
      </c>
      <c r="I105" s="150">
        <f t="shared" si="25"/>
        <v>5000000</v>
      </c>
      <c r="J105" s="150">
        <f t="shared" si="25"/>
        <v>2187000</v>
      </c>
      <c r="K105" s="150">
        <f t="shared" si="25"/>
        <v>11344970</v>
      </c>
      <c r="L105" s="150">
        <f t="shared" si="25"/>
        <v>0</v>
      </c>
      <c r="M105" s="150">
        <f t="shared" si="25"/>
        <v>0</v>
      </c>
      <c r="N105" s="150">
        <f t="shared" si="25"/>
        <v>0</v>
      </c>
      <c r="O105" s="150">
        <f t="shared" si="25"/>
        <v>0</v>
      </c>
      <c r="P105" s="150">
        <f t="shared" si="25"/>
        <v>0</v>
      </c>
      <c r="Q105" s="150">
        <f t="shared" si="25"/>
        <v>0</v>
      </c>
      <c r="R105" s="342">
        <f t="shared" si="25"/>
        <v>105299829</v>
      </c>
      <c r="S105" s="150">
        <f>S97+S104</f>
        <v>103844772</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103844772</v>
      </c>
      <c r="T107" s="150">
        <f>T105+T106</f>
        <v>0</v>
      </c>
    </row>
    <row r="108" spans="1:21" s="189" customFormat="1" ht="12">
      <c r="A108" s="162" t="s">
        <v>877</v>
      </c>
      <c r="B108" s="157"/>
      <c r="C108" s="157"/>
      <c r="D108" s="157"/>
      <c r="E108" s="301">
        <f>Application!AO648</f>
        <v>45354859</v>
      </c>
      <c r="F108" s="301">
        <f>Application!AO635</f>
        <v>11000000</v>
      </c>
      <c r="G108" s="301">
        <f>Application!AO636</f>
        <v>2600000</v>
      </c>
      <c r="H108" s="301">
        <f>Application!AO637</f>
        <v>27813000</v>
      </c>
      <c r="I108" s="301">
        <f>Application!AO638</f>
        <v>5000000</v>
      </c>
      <c r="J108" s="301">
        <f>Application!AO639</f>
        <v>2187000</v>
      </c>
      <c r="K108" s="301">
        <f>Application!AO640</f>
        <v>11344970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2050</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6">
      <c r="A121" s="338" t="s">
        <v>1003</v>
      </c>
      <c r="B121" s="157"/>
      <c r="C121" s="157"/>
      <c r="D121" s="157"/>
    </row>
    <row r="122" spans="1:21">
      <c r="A122" s="325" t="s">
        <v>987</v>
      </c>
      <c r="B122" s="324"/>
      <c r="C122" s="324"/>
      <c r="D122" s="1876" t="s">
        <v>988</v>
      </c>
      <c r="E122" s="1876"/>
      <c r="F122" s="1876"/>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8" t="s">
        <v>1222</v>
      </c>
      <c r="E123" s="1552"/>
      <c r="F123" s="1552"/>
      <c r="G123" s="1552"/>
      <c r="H123" s="1552"/>
      <c r="I123" s="1552"/>
      <c r="J123" s="1552"/>
      <c r="K123" s="1552"/>
      <c r="L123" s="1552"/>
      <c r="M123" s="1552"/>
      <c r="N123" s="1552"/>
      <c r="O123" s="1552"/>
      <c r="P123" s="1552"/>
      <c r="Q123" s="1552"/>
      <c r="R123" s="1552"/>
      <c r="S123" s="1552"/>
      <c r="T123" s="324"/>
      <c r="U123" s="326"/>
    </row>
    <row r="124" spans="1:21" ht="13.2">
      <c r="A124" s="117" t="s">
        <v>990</v>
      </c>
      <c r="B124" s="333"/>
      <c r="C124" s="117"/>
      <c r="D124" s="1552"/>
      <c r="E124" s="1552"/>
      <c r="F124" s="1552"/>
      <c r="G124" s="1552"/>
      <c r="H124" s="1552"/>
      <c r="I124" s="1552"/>
      <c r="J124" s="1552"/>
      <c r="K124" s="1552"/>
      <c r="L124" s="1552"/>
      <c r="M124" s="1552"/>
      <c r="N124" s="1552"/>
      <c r="O124" s="1552"/>
      <c r="P124" s="1552"/>
      <c r="Q124" s="1552"/>
      <c r="R124" s="1552"/>
      <c r="S124" s="1552"/>
      <c r="T124" s="324"/>
      <c r="U124" s="326"/>
    </row>
    <row r="125" spans="1:21" ht="13.2">
      <c r="A125" s="117" t="s">
        <v>991</v>
      </c>
      <c r="B125" s="333"/>
      <c r="C125" s="117"/>
      <c r="D125" s="1552"/>
      <c r="E125" s="1552"/>
      <c r="F125" s="1552"/>
      <c r="G125" s="1552"/>
      <c r="H125" s="1552"/>
      <c r="I125" s="1552"/>
      <c r="J125" s="1552"/>
      <c r="K125" s="1552"/>
      <c r="L125" s="1552"/>
      <c r="M125" s="1552"/>
      <c r="N125" s="1552"/>
      <c r="O125" s="1552"/>
      <c r="P125" s="1552"/>
      <c r="Q125" s="1552"/>
      <c r="R125" s="1552"/>
      <c r="S125" s="1552"/>
      <c r="T125" s="324"/>
      <c r="U125" s="326"/>
    </row>
    <row r="126" spans="1:21" ht="13.2">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994</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3.2">
      <c r="A129" s="117" t="s">
        <v>299</v>
      </c>
      <c r="B129" s="333"/>
      <c r="C129" s="117"/>
      <c r="D129" s="1875" t="s">
        <v>995</v>
      </c>
      <c r="E129" s="1875"/>
      <c r="F129" s="1875"/>
      <c r="G129" s="1875"/>
      <c r="H129" s="1875"/>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997</v>
      </c>
      <c r="B131" s="334">
        <f>SUM(B123:B129)</f>
        <v>0</v>
      </c>
      <c r="C131" s="117"/>
      <c r="D131" s="1522"/>
      <c r="E131" s="1522"/>
      <c r="F131" s="1522"/>
      <c r="G131" s="1522"/>
      <c r="H131" s="1522"/>
      <c r="I131" s="117"/>
      <c r="J131" s="1522"/>
      <c r="K131" s="1522"/>
      <c r="L131" s="1522"/>
      <c r="M131" s="1522"/>
      <c r="N131" s="117"/>
      <c r="O131" s="117"/>
      <c r="P131" s="117"/>
      <c r="Q131" s="117"/>
      <c r="R131" s="117"/>
      <c r="S131" s="117"/>
      <c r="T131" s="324"/>
      <c r="U131" s="326"/>
    </row>
    <row r="132" spans="1:21" ht="12" customHeight="1">
      <c r="A132" s="336"/>
      <c r="B132" s="117"/>
      <c r="C132" s="117"/>
      <c r="D132" s="1869" t="s">
        <v>998</v>
      </c>
      <c r="E132" s="1869"/>
      <c r="F132" s="1869"/>
      <c r="G132" s="1869"/>
      <c r="H132" s="1869"/>
      <c r="I132" s="117"/>
      <c r="J132" s="1869" t="s">
        <v>999</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3.2">
      <c r="A139" s="1866" t="s">
        <v>1002</v>
      </c>
      <c r="B139" s="1866"/>
      <c r="C139" s="1866"/>
      <c r="D139" s="328"/>
      <c r="E139" s="117" t="s">
        <v>996</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9" t="s">
        <v>1225</v>
      </c>
      <c r="B1" s="1880"/>
      <c r="C1" s="1880"/>
      <c r="D1" s="1880"/>
      <c r="E1" s="1880"/>
      <c r="F1" s="1880"/>
      <c r="G1" s="1880"/>
      <c r="H1" s="1880"/>
      <c r="I1" s="1880"/>
      <c r="J1" s="1881"/>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571000</v>
      </c>
      <c r="C10" s="362"/>
      <c r="D10" s="362"/>
      <c r="E10" s="361">
        <f>'Sources and Uses Budget'!S10</f>
        <v>571000</v>
      </c>
      <c r="F10" s="362"/>
      <c r="G10" s="362"/>
      <c r="H10" s="361">
        <f>'Sources and Uses Budget'!T10</f>
        <v>0</v>
      </c>
      <c r="I10" s="362"/>
      <c r="J10" s="362"/>
      <c r="K10" s="359"/>
    </row>
    <row r="11" spans="1:11" s="360" customFormat="1">
      <c r="A11" s="365" t="s">
        <v>595</v>
      </c>
      <c r="B11" s="361">
        <f>'Sources and Uses Budget'!C11</f>
        <v>571000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571000</v>
      </c>
      <c r="C12" s="361">
        <f>SUM(C8+C11)</f>
        <v>0</v>
      </c>
      <c r="D12" s="361">
        <f>SUM(D8+D11)</f>
        <v>0</v>
      </c>
      <c r="E12" s="363"/>
      <c r="F12" s="363"/>
      <c r="G12" s="363"/>
      <c r="H12" s="363"/>
      <c r="I12" s="363"/>
      <c r="J12" s="363"/>
      <c r="K12" s="359"/>
    </row>
    <row r="13" spans="1:11" s="360" customFormat="1" ht="11.4">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3450000</v>
      </c>
      <c r="C29" s="362"/>
      <c r="D29" s="362"/>
      <c r="E29" s="361">
        <f>'Sources and Uses Budget'!S29</f>
        <v>3450000</v>
      </c>
      <c r="F29" s="362"/>
      <c r="G29" s="362"/>
      <c r="H29" s="361">
        <f>'Sources and Uses Budget'!T29</f>
        <v>0</v>
      </c>
      <c r="I29" s="362"/>
      <c r="J29" s="362"/>
      <c r="K29" s="359"/>
    </row>
    <row r="30" spans="1:11" s="360" customFormat="1" ht="11.4">
      <c r="A30" s="145" t="s">
        <v>598</v>
      </c>
      <c r="B30" s="361">
        <f>'Sources and Uses Budget'!C30</f>
        <v>58404837</v>
      </c>
      <c r="C30" s="362"/>
      <c r="D30" s="362"/>
      <c r="E30" s="361">
        <f>'Sources and Uses Budget'!S30</f>
        <v>58404837</v>
      </c>
      <c r="F30" s="362"/>
      <c r="G30" s="362"/>
      <c r="H30" s="361">
        <f>'Sources and Uses Budget'!T30</f>
        <v>0</v>
      </c>
      <c r="I30" s="362"/>
      <c r="J30" s="362"/>
      <c r="K30" s="359"/>
    </row>
    <row r="31" spans="1:11" s="360" customFormat="1" ht="11.4">
      <c r="A31" s="145" t="s">
        <v>599</v>
      </c>
      <c r="B31" s="361">
        <f>'Sources and Uses Budget'!C31</f>
        <v>3745550</v>
      </c>
      <c r="C31" s="362"/>
      <c r="D31" s="362"/>
      <c r="E31" s="361">
        <f>'Sources and Uses Budget'!S31</f>
        <v>3745550</v>
      </c>
      <c r="F31" s="362"/>
      <c r="G31" s="362"/>
      <c r="H31" s="361">
        <f>'Sources and Uses Budget'!T31</f>
        <v>0</v>
      </c>
      <c r="I31" s="362"/>
      <c r="J31" s="362"/>
      <c r="K31" s="359"/>
    </row>
    <row r="32" spans="1:11" s="360" customFormat="1" ht="11.4">
      <c r="A32" s="145" t="s">
        <v>137</v>
      </c>
      <c r="B32" s="361">
        <f>'Sources and Uses Budget'!C32</f>
        <v>1248517</v>
      </c>
      <c r="C32" s="362"/>
      <c r="D32" s="362"/>
      <c r="E32" s="361">
        <f>'Sources and Uses Budget'!S32</f>
        <v>1248517</v>
      </c>
      <c r="F32" s="362"/>
      <c r="G32" s="362"/>
      <c r="H32" s="361">
        <f>'Sources and Uses Budget'!T32</f>
        <v>0</v>
      </c>
      <c r="I32" s="362"/>
      <c r="J32" s="362"/>
      <c r="K32" s="359"/>
    </row>
    <row r="33" spans="1:11" s="360" customFormat="1" ht="11.4">
      <c r="A33" s="145" t="s">
        <v>138</v>
      </c>
      <c r="B33" s="361">
        <f>'Sources and Uses Budget'!C33</f>
        <v>3745550</v>
      </c>
      <c r="C33" s="362"/>
      <c r="D33" s="362"/>
      <c r="E33" s="361">
        <f>'Sources and Uses Budget'!S33</f>
        <v>3745550</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200000</v>
      </c>
      <c r="C35" s="362"/>
      <c r="D35" s="362"/>
      <c r="E35" s="361">
        <f>'Sources and Uses Budget'!S35</f>
        <v>200000</v>
      </c>
      <c r="F35" s="362"/>
      <c r="G35" s="362"/>
      <c r="H35" s="361">
        <f>'Sources and Uses Budget'!T35</f>
        <v>0</v>
      </c>
      <c r="I35" s="362"/>
      <c r="J35" s="362"/>
      <c r="K35" s="359"/>
    </row>
    <row r="36" spans="1:11" s="360" customFormat="1" ht="11.4">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70794454</v>
      </c>
      <c r="C38" s="361">
        <f>SUM(C29:C37)</f>
        <v>0</v>
      </c>
      <c r="D38" s="361">
        <f>SUM(D29:D37)</f>
        <v>0</v>
      </c>
      <c r="E38" s="361">
        <f>'Sources and Uses Budget'!S38</f>
        <v>70794454</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750000</v>
      </c>
      <c r="C40" s="362"/>
      <c r="D40" s="362"/>
      <c r="E40" s="361">
        <f>'Sources and Uses Budget'!S40</f>
        <v>750000</v>
      </c>
      <c r="F40" s="362"/>
      <c r="G40" s="362"/>
      <c r="H40" s="361">
        <f>'Sources and Uses Budget'!T40</f>
        <v>0</v>
      </c>
      <c r="I40" s="362"/>
      <c r="J40" s="362"/>
      <c r="K40" s="359"/>
    </row>
    <row r="41" spans="1:11" s="360" customFormat="1" ht="11.4">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900000</v>
      </c>
      <c r="C42" s="361">
        <f>SUM(C39:C41)</f>
        <v>0</v>
      </c>
      <c r="D42" s="361">
        <f>SUM(D39:D41)</f>
        <v>0</v>
      </c>
      <c r="E42" s="361">
        <f>'Sources and Uses Budget'!S42</f>
        <v>900000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5007000</v>
      </c>
      <c r="C45" s="362"/>
      <c r="D45" s="362"/>
      <c r="E45" s="361">
        <f>'Sources and Uses Budget'!S45</f>
        <v>5007000</v>
      </c>
      <c r="F45" s="362"/>
      <c r="G45" s="362"/>
      <c r="H45" s="361">
        <f>'Sources and Uses Budget'!T45</f>
        <v>0</v>
      </c>
      <c r="I45" s="362"/>
      <c r="J45" s="362"/>
      <c r="K45" s="359"/>
    </row>
    <row r="46" spans="1:11" s="360" customFormat="1" ht="11.4">
      <c r="A46" s="364" t="s">
        <v>151</v>
      </c>
      <c r="B46" s="361">
        <f>'Sources and Uses Budget'!C46</f>
        <v>559500</v>
      </c>
      <c r="C46" s="362"/>
      <c r="D46" s="362"/>
      <c r="E46" s="361">
        <f>'Sources and Uses Budget'!S46</f>
        <v>559500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150000</v>
      </c>
      <c r="C49" s="362"/>
      <c r="D49" s="362"/>
      <c r="E49" s="361">
        <f>'Sources and Uses Budget'!S49</f>
        <v>150000</v>
      </c>
      <c r="F49" s="362"/>
      <c r="G49" s="362"/>
      <c r="H49" s="361">
        <f>'Sources and Uses Budget'!T49</f>
        <v>0</v>
      </c>
      <c r="I49" s="362"/>
      <c r="J49" s="362"/>
      <c r="K49" s="359"/>
    </row>
    <row r="50" spans="1:11" s="360" customFormat="1" ht="11.4">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ht="11.4">
      <c r="A51" s="364" t="s">
        <v>154</v>
      </c>
      <c r="B51" s="361">
        <f>'Sources and Uses Budget'!C51</f>
        <v>20000</v>
      </c>
      <c r="C51" s="362"/>
      <c r="D51" s="362"/>
      <c r="E51" s="361">
        <f>'Sources and Uses Budget'!S51</f>
        <v>20000</v>
      </c>
      <c r="F51" s="362"/>
      <c r="G51" s="362"/>
      <c r="H51" s="361">
        <f>'Sources and Uses Budget'!T51</f>
        <v>0</v>
      </c>
      <c r="I51" s="362"/>
      <c r="J51" s="362"/>
      <c r="K51" s="359"/>
    </row>
    <row r="52" spans="1:11" s="360" customFormat="1" ht="11.4">
      <c r="A52" s="364" t="s">
        <v>155</v>
      </c>
      <c r="B52" s="361">
        <f>'Sources and Uses Budget'!C52</f>
        <v>173800</v>
      </c>
      <c r="C52" s="362"/>
      <c r="D52" s="362"/>
      <c r="E52" s="361">
        <f>'Sources and Uses Budget'!S52</f>
        <v>173800</v>
      </c>
      <c r="F52" s="362"/>
      <c r="G52" s="362"/>
      <c r="H52" s="361">
        <f>'Sources and Uses Budget'!T52</f>
        <v>0</v>
      </c>
      <c r="I52" s="362"/>
      <c r="J52" s="362"/>
      <c r="K52" s="359"/>
    </row>
    <row r="53" spans="1:11" s="360" customFormat="1" ht="11.4">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6080300</v>
      </c>
      <c r="C54" s="367">
        <f>SUM(C45:C53)</f>
        <v>0</v>
      </c>
      <c r="D54" s="367">
        <f>SUM(D45:D53)</f>
        <v>0</v>
      </c>
      <c r="E54" s="361">
        <f>'Sources and Uses Budget'!S54</f>
        <v>6080300</v>
      </c>
      <c r="F54" s="367">
        <f>SUM(F45:F53)</f>
        <v>0</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55000</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ht="11.4">
      <c r="A58" s="364" t="s">
        <v>156</v>
      </c>
      <c r="B58" s="361">
        <f>'Sources and Uses Budget'!C58</f>
        <v>10000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80000</v>
      </c>
      <c r="C62" s="361">
        <f>SUM(C56:C61)</f>
        <v>0</v>
      </c>
      <c r="D62" s="361">
        <f>SUM(D56:D61)</f>
        <v>0</v>
      </c>
      <c r="E62" s="363"/>
      <c r="F62" s="363"/>
      <c r="G62" s="363"/>
      <c r="H62" s="363"/>
      <c r="I62" s="363"/>
      <c r="J62" s="363"/>
      <c r="K62" s="359"/>
    </row>
    <row r="63" spans="1:11" s="360" customFormat="1" ht="11.4">
      <c r="A63" s="370" t="s">
        <v>301</v>
      </c>
      <c r="B63" s="361">
        <f>'Sources and Uses Budget'!C63</f>
        <v>78715754</v>
      </c>
      <c r="C63" s="361">
        <f>SUM(C8+C11+C13+C14+C15+C26+C27+C38+C42+C43+C54+C62)</f>
        <v>0</v>
      </c>
      <c r="D63" s="361">
        <f>SUM(D8+D11+D13+D14+D15+D26+D27+D38+D42+D43+D54+D62)</f>
        <v>0</v>
      </c>
      <c r="E63" s="361">
        <f>'Sources and Uses Budget'!S63</f>
        <v>78635754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1631</v>
      </c>
      <c r="B64" s="358"/>
      <c r="C64" s="358"/>
      <c r="D64" s="358"/>
      <c r="E64" s="358"/>
      <c r="F64" s="358"/>
      <c r="G64" s="358"/>
      <c r="H64" s="358"/>
      <c r="I64" s="358"/>
      <c r="J64" s="358"/>
      <c r="K64" s="359"/>
    </row>
    <row r="65" spans="1:11" s="360" customFormat="1" ht="11.4">
      <c r="A65" s="145" t="s">
        <v>170</v>
      </c>
      <c r="B65" s="361">
        <f>'Sources and Uses Budget'!C65</f>
        <v>70000</v>
      </c>
      <c r="C65" s="362"/>
      <c r="D65" s="362"/>
      <c r="E65" s="361">
        <f>'Sources and Uses Budget'!S65</f>
        <v>70000</v>
      </c>
      <c r="F65" s="362"/>
      <c r="G65" s="362"/>
      <c r="H65" s="361">
        <f>'Sources and Uses Budget'!T65</f>
        <v>0</v>
      </c>
      <c r="I65" s="362"/>
      <c r="J65" s="362"/>
      <c r="K65" s="359"/>
    </row>
    <row r="66" spans="1:11" s="360" customFormat="1" ht="22.8">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Bond Counsel</v>
      </c>
      <c r="B69" s="361">
        <f>'Sources and Uses Budget'!C69</f>
        <v>90000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160000</v>
      </c>
      <c r="C70" s="361">
        <f>SUM(C64:C69)</f>
        <v>0</v>
      </c>
      <c r="D70" s="361">
        <f>SUM(D64:D69)</f>
        <v>0</v>
      </c>
      <c r="E70" s="361">
        <f>'Sources and Uses Budget'!S70</f>
        <v>70000</v>
      </c>
      <c r="F70" s="367">
        <f>SUM(F65:F69)</f>
        <v>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c r="D72" s="362"/>
      <c r="E72" s="363"/>
      <c r="F72" s="363"/>
      <c r="G72" s="363"/>
      <c r="H72" s="363"/>
      <c r="I72" s="363"/>
      <c r="J72" s="363"/>
      <c r="K72" s="359"/>
    </row>
    <row r="73" spans="1:11" s="360" customFormat="1" ht="11.4">
      <c r="A73" s="364" t="s">
        <v>603</v>
      </c>
      <c r="B73" s="361">
        <f>'Sources and Uses Budget'!C73</f>
        <v>0</v>
      </c>
      <c r="C73" s="362"/>
      <c r="D73" s="362"/>
      <c r="E73" s="363"/>
      <c r="F73" s="363"/>
      <c r="G73" s="363"/>
      <c r="H73" s="363"/>
      <c r="I73" s="363"/>
      <c r="J73" s="363"/>
      <c r="K73" s="359"/>
    </row>
    <row r="74" spans="1:11" s="360" customFormat="1" ht="11.4">
      <c r="A74" s="366" t="s">
        <v>984</v>
      </c>
      <c r="B74" s="361">
        <f>'Sources and Uses Budget'!C74</f>
        <v>0</v>
      </c>
      <c r="C74" s="362"/>
      <c r="D74" s="362"/>
      <c r="E74" s="363"/>
      <c r="F74" s="363"/>
      <c r="G74" s="363"/>
      <c r="H74" s="363"/>
      <c r="I74" s="363"/>
      <c r="J74" s="363"/>
      <c r="K74" s="359"/>
    </row>
    <row r="75" spans="1:11" s="360" customFormat="1" ht="11.4">
      <c r="A75" s="364" t="s">
        <v>604</v>
      </c>
      <c r="B75" s="361">
        <f>'Sources and Uses Budget'!C75</f>
        <v>560645</v>
      </c>
      <c r="C75" s="362"/>
      <c r="D75" s="362"/>
      <c r="E75" s="363"/>
      <c r="F75" s="363"/>
      <c r="G75" s="363"/>
      <c r="H75" s="363"/>
      <c r="I75" s="363"/>
      <c r="J75" s="363"/>
      <c r="K75" s="359"/>
    </row>
    <row r="76" spans="1:11" s="360" customFormat="1" ht="11.4">
      <c r="A76" s="364" t="str">
        <f>'Sources and Uses Budget'!$A76</f>
        <v>Post Construction Interest Reserve</v>
      </c>
      <c r="B76" s="361">
        <f>'Sources and Uses Budget'!C76</f>
        <v>470000</v>
      </c>
      <c r="C76" s="362"/>
      <c r="D76" s="362"/>
      <c r="E76" s="363"/>
      <c r="F76" s="363"/>
      <c r="G76" s="363"/>
      <c r="H76" s="363"/>
      <c r="I76" s="363"/>
      <c r="J76" s="363"/>
      <c r="K76" s="359"/>
    </row>
    <row r="77" spans="1:11" s="360" customFormat="1">
      <c r="A77" s="365" t="s">
        <v>605</v>
      </c>
      <c r="B77" s="361">
        <f>'Sources and Uses Budget'!C77</f>
        <v>1030645</v>
      </c>
      <c r="C77" s="361">
        <f>SUM(C72:C76)</f>
        <v>0</v>
      </c>
      <c r="D77" s="361">
        <f>SUM(D72:D76)</f>
        <v>0</v>
      </c>
      <c r="E77" s="363"/>
      <c r="F77" s="363"/>
      <c r="G77" s="363"/>
      <c r="H77" s="363"/>
      <c r="I77" s="363"/>
      <c r="J77" s="363"/>
      <c r="K77" s="359"/>
    </row>
    <row r="78" spans="1:11" s="360" customFormat="1" ht="11.4">
      <c r="A78" s="357" t="s">
        <v>1208</v>
      </c>
      <c r="B78" s="358"/>
      <c r="C78" s="358"/>
      <c r="D78" s="358"/>
      <c r="E78" s="358"/>
      <c r="F78" s="358"/>
      <c r="G78" s="358"/>
      <c r="H78" s="358"/>
      <c r="I78" s="358"/>
      <c r="J78" s="358"/>
      <c r="K78" s="359"/>
    </row>
    <row r="79" spans="1:11" s="360" customFormat="1" ht="11.4">
      <c r="A79" s="364" t="s">
        <v>1210</v>
      </c>
      <c r="B79" s="361">
        <f>'Sources and Uses Budget'!C79</f>
        <v>3600000</v>
      </c>
      <c r="C79" s="362"/>
      <c r="D79" s="362"/>
      <c r="E79" s="361">
        <f>'Sources and Uses Budget'!S79</f>
        <v>3600000</v>
      </c>
      <c r="F79" s="362"/>
      <c r="G79" s="362"/>
      <c r="H79" s="361">
        <f>'Sources and Uses Budget'!T79</f>
        <v>0</v>
      </c>
      <c r="I79" s="362"/>
      <c r="J79" s="362"/>
      <c r="K79" s="359"/>
    </row>
    <row r="80" spans="1:11" s="360" customFormat="1" ht="11.4">
      <c r="A80" s="364" t="s">
        <v>58</v>
      </c>
      <c r="B80" s="361">
        <f>'Sources and Uses Budget'!C80</f>
        <v>750000</v>
      </c>
      <c r="C80" s="362"/>
      <c r="D80" s="362"/>
      <c r="E80" s="361">
        <f>'Sources and Uses Budget'!S80</f>
        <v>750000</v>
      </c>
      <c r="F80" s="362"/>
      <c r="G80" s="362"/>
      <c r="H80" s="361">
        <f>'Sources and Uses Budget'!T80</f>
        <v>0</v>
      </c>
      <c r="I80" s="362"/>
      <c r="J80" s="362"/>
      <c r="K80" s="359"/>
    </row>
    <row r="81" spans="1:11" s="360" customFormat="1">
      <c r="A81" s="365" t="s">
        <v>1207</v>
      </c>
      <c r="B81" s="361">
        <f>'Sources and Uses Budget'!C81</f>
        <v>4350000</v>
      </c>
      <c r="C81" s="361">
        <f>SUM(C79:C80)</f>
        <v>0</v>
      </c>
      <c r="D81" s="361">
        <f>SUM(D79:D80)</f>
        <v>0</v>
      </c>
      <c r="E81" s="361">
        <f>'Sources and Uses Budget'!S81</f>
        <v>4350000</v>
      </c>
      <c r="F81" s="361">
        <f>SUM(F79:F80)</f>
        <v>0</v>
      </c>
      <c r="G81" s="361">
        <f>SUM(G79:G80)</f>
        <v>0</v>
      </c>
      <c r="H81" s="361">
        <f>'Sources and Uses Budget'!T81</f>
        <v>0</v>
      </c>
      <c r="I81" s="361">
        <f>SUM(I79:I80)</f>
        <v>0</v>
      </c>
      <c r="J81" s="361">
        <f>SUM(J79:J80)</f>
        <v>0</v>
      </c>
      <c r="K81" s="359"/>
    </row>
    <row r="82" spans="1:11" s="360" customFormat="1" ht="11.4">
      <c r="A82" s="357" t="s">
        <v>763</v>
      </c>
      <c r="B82" s="358"/>
      <c r="C82" s="358"/>
      <c r="D82" s="358"/>
      <c r="E82" s="358"/>
      <c r="F82" s="358"/>
      <c r="G82" s="358"/>
      <c r="H82" s="358"/>
      <c r="I82" s="358"/>
      <c r="J82" s="358"/>
      <c r="K82" s="359"/>
    </row>
    <row r="83" spans="1:11" s="360" customFormat="1" ht="13.65" customHeight="1">
      <c r="A83" s="145" t="s">
        <v>2049</v>
      </c>
      <c r="B83" s="361">
        <f>'Sources and Uses Budget'!C83</f>
        <v>117089</v>
      </c>
      <c r="C83" s="362"/>
      <c r="D83" s="362"/>
      <c r="E83" s="363"/>
      <c r="F83" s="363"/>
      <c r="G83" s="363"/>
      <c r="H83" s="363"/>
      <c r="I83" s="363"/>
      <c r="J83" s="363"/>
      <c r="K83" s="359"/>
    </row>
    <row r="84" spans="1:11" s="360" customFormat="1" ht="11.4">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ht="11.4">
      <c r="A85" s="145" t="s">
        <v>766</v>
      </c>
      <c r="B85" s="361">
        <f>'Sources and Uses Budget'!C85</f>
        <v>6154048</v>
      </c>
      <c r="C85" s="362"/>
      <c r="D85" s="362"/>
      <c r="E85" s="361">
        <f>'Sources and Uses Budget'!S85</f>
        <v>6154048</v>
      </c>
      <c r="F85" s="362"/>
      <c r="G85" s="362"/>
      <c r="H85" s="361">
        <f>'Sources and Uses Budget'!T85</f>
        <v>0</v>
      </c>
      <c r="I85" s="362"/>
      <c r="J85" s="362"/>
      <c r="K85" s="359"/>
    </row>
    <row r="86" spans="1:11" s="360" customFormat="1" ht="11.4">
      <c r="A86" s="145" t="s">
        <v>767</v>
      </c>
      <c r="B86" s="361">
        <f>'Sources and Uses Budget'!C86</f>
        <v>1000000</v>
      </c>
      <c r="C86" s="362"/>
      <c r="D86" s="362"/>
      <c r="E86" s="361">
        <f>'Sources and Uses Budget'!S86</f>
        <v>1000000</v>
      </c>
      <c r="F86" s="362"/>
      <c r="G86" s="362"/>
      <c r="H86" s="361">
        <f>'Sources and Uses Budget'!T86</f>
        <v>0</v>
      </c>
      <c r="I86" s="362"/>
      <c r="J86" s="362"/>
      <c r="K86" s="359"/>
    </row>
    <row r="87" spans="1:11" s="360" customFormat="1" ht="11.4">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769</v>
      </c>
      <c r="B88" s="361">
        <f>'Sources and Uses Budget'!C88</f>
        <v>137323</v>
      </c>
      <c r="C88" s="362"/>
      <c r="D88" s="362"/>
      <c r="E88" s="363"/>
      <c r="F88" s="363"/>
      <c r="G88" s="363"/>
      <c r="H88" s="363"/>
      <c r="I88" s="363"/>
      <c r="J88" s="363"/>
      <c r="K88" s="359"/>
    </row>
    <row r="89" spans="1:11" s="360" customFormat="1" ht="11.4">
      <c r="A89" s="145" t="s">
        <v>770</v>
      </c>
      <c r="B89" s="361">
        <f>'Sources and Uses Budget'!C89</f>
        <v>50000</v>
      </c>
      <c r="C89" s="362"/>
      <c r="D89" s="362"/>
      <c r="E89" s="361">
        <f>'Sources and Uses Budget'!S89</f>
        <v>50000</v>
      </c>
      <c r="F89" s="362"/>
      <c r="G89" s="362"/>
      <c r="H89" s="361">
        <f>'Sources and Uses Budget'!T89</f>
        <v>0</v>
      </c>
      <c r="I89" s="362"/>
      <c r="J89" s="362"/>
      <c r="K89" s="359"/>
    </row>
    <row r="90" spans="1:11" s="360" customFormat="1" ht="11.4">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4">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ht="11.4">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1.4">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7498460</v>
      </c>
      <c r="C96" s="361">
        <f>SUM(C83:C95)</f>
        <v>0</v>
      </c>
      <c r="D96" s="361">
        <f>SUM(D83:D95)</f>
        <v>0</v>
      </c>
      <c r="E96" s="361">
        <f>'Sources and Uses Budget'!S96</f>
        <v>7244048</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91754859</v>
      </c>
      <c r="C97" s="361">
        <f>SUM(C63+C70+C77+C81+C96)</f>
        <v>0</v>
      </c>
      <c r="D97" s="361">
        <f>SUM(D63+D70+D77+D81+D96)</f>
        <v>0</v>
      </c>
      <c r="E97" s="361">
        <f>'Sources and Uses Budget'!S97</f>
        <v>90299802</v>
      </c>
      <c r="F97" s="367">
        <f>SUM(+F63+F70+F81+F96)</f>
        <v>0</v>
      </c>
      <c r="G97" s="367">
        <f>SUM(+G63+G70+G81+G96)</f>
        <v>0</v>
      </c>
      <c r="H97" s="361">
        <f>'Sources and Uses Budget'!T97</f>
        <v>0</v>
      </c>
      <c r="I97" s="367">
        <f>SUM(I63+I70+I81+I96)</f>
        <v>0</v>
      </c>
      <c r="J97" s="367">
        <f>SUM(J63+J70+J81+J96)</f>
        <v>0</v>
      </c>
      <c r="K97" s="359"/>
    </row>
    <row r="98" spans="1:11" s="360" customFormat="1" ht="11.4">
      <c r="A98" s="357" t="s">
        <v>774</v>
      </c>
      <c r="B98" s="358"/>
      <c r="C98" s="358"/>
      <c r="D98" s="358"/>
      <c r="E98" s="358"/>
      <c r="F98" s="358"/>
      <c r="G98" s="358"/>
      <c r="H98" s="358"/>
      <c r="I98" s="358"/>
      <c r="J98" s="358"/>
      <c r="K98" s="359"/>
    </row>
    <row r="99" spans="1:11" s="360" customFormat="1" ht="11.4">
      <c r="A99" s="145" t="s">
        <v>775</v>
      </c>
      <c r="B99" s="361">
        <f>'Sources and Uses Budget'!C99</f>
        <v>13544970</v>
      </c>
      <c r="C99" s="362"/>
      <c r="D99" s="362"/>
      <c r="E99" s="361">
        <f>'Sources and Uses Budget'!S99</f>
        <v>13544970</v>
      </c>
      <c r="F99" s="362"/>
      <c r="G99" s="362"/>
      <c r="H99" s="361">
        <f>'Sources and Uses Budget'!T99</f>
        <v>0</v>
      </c>
      <c r="I99" s="362"/>
      <c r="J99" s="362"/>
      <c r="K99" s="359"/>
    </row>
    <row r="100" spans="1:11" s="360" customFormat="1" ht="11.4">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13544970</v>
      </c>
      <c r="C104" s="361">
        <f>SUM(C99:C103)</f>
        <v>0</v>
      </c>
      <c r="D104" s="361">
        <f>SUM(D99:D103)</f>
        <v>0</v>
      </c>
      <c r="E104" s="361">
        <f>'Sources and Uses Budget'!S104</f>
        <v>13544970</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105299829</v>
      </c>
      <c r="C105" s="367">
        <f>SUM(C97+C104)</f>
        <v>0</v>
      </c>
      <c r="D105" s="367">
        <f>SUM(D97+D104)</f>
        <v>0</v>
      </c>
      <c r="E105" s="361">
        <f>'Sources and Uses Budget'!S105</f>
        <v>103844772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103844772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7"/>
      <c r="E124" s="1317"/>
      <c r="F124" s="1317"/>
      <c r="G124" s="1317"/>
      <c r="H124" s="1317"/>
      <c r="I124" s="1317"/>
      <c r="J124" s="376"/>
      <c r="K124" s="359"/>
    </row>
    <row r="125" spans="1:11" s="360" customFormat="1" ht="13.2">
      <c r="A125" s="385"/>
      <c r="B125" s="384"/>
      <c r="C125" s="385"/>
      <c r="D125" s="1317"/>
      <c r="E125" s="1317"/>
      <c r="F125" s="1317"/>
      <c r="G125" s="1317"/>
      <c r="H125" s="1317"/>
      <c r="I125" s="1317"/>
      <c r="J125" s="376"/>
      <c r="K125" s="359"/>
    </row>
    <row r="126" spans="1:11" s="360" customFormat="1" ht="13.2">
      <c r="A126" s="385"/>
      <c r="B126" s="384"/>
      <c r="C126" s="385"/>
      <c r="D126" s="1317"/>
      <c r="E126" s="1317"/>
      <c r="F126" s="1317"/>
      <c r="G126" s="1317"/>
      <c r="H126" s="1317"/>
      <c r="I126" s="1317"/>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2318" t="s">
        <v>2389</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2388</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2593</v>
      </c>
      <c r="AY3" s="2173"/>
      <c r="AZ3" s="2173"/>
      <c r="BA3" s="2324"/>
      <c r="BB3" s="2172" t="s">
        <v>2594</v>
      </c>
      <c r="BC3" s="2173"/>
      <c r="BD3" s="2173"/>
      <c r="BE3" s="2324"/>
    </row>
    <row r="4" spans="1:65" ht="15.75" customHeight="1" thickBot="1">
      <c r="A4" s="1207"/>
      <c r="B4" s="1209" t="s">
        <v>654</v>
      </c>
      <c r="C4" s="1209"/>
      <c r="D4" s="1209"/>
      <c r="E4" s="1209"/>
      <c r="F4" s="1209"/>
      <c r="G4" s="1208"/>
      <c r="H4" s="1208"/>
      <c r="I4" s="1208"/>
      <c r="J4" s="1208"/>
      <c r="K4" s="1208"/>
      <c r="L4" s="2315" t="str">
        <f>IF(Application!H18="","",Application!H18)</f>
        <v>Metrowalk at Richmond Station</v>
      </c>
      <c r="M4" s="2316"/>
      <c r="N4" s="2316"/>
      <c r="O4" s="2316"/>
      <c r="P4" s="2316"/>
      <c r="Q4" s="2316"/>
      <c r="R4" s="2316"/>
      <c r="S4" s="2316"/>
      <c r="T4" s="2316"/>
      <c r="U4" s="2316"/>
      <c r="V4" s="2316"/>
      <c r="W4" s="2316"/>
      <c r="X4" s="2316"/>
      <c r="Y4" s="2316"/>
      <c r="Z4" s="2316"/>
      <c r="AA4" s="2316"/>
      <c r="AB4" s="2316"/>
      <c r="AC4" s="2317"/>
      <c r="AD4" s="1208"/>
      <c r="AE4" s="1208"/>
      <c r="AF4" s="2304" t="s">
        <v>2387</v>
      </c>
      <c r="AG4" s="2304"/>
      <c r="AH4" s="2304"/>
      <c r="AI4" s="2304"/>
      <c r="AJ4" s="2304"/>
      <c r="AK4" s="2304"/>
      <c r="AL4" s="2304"/>
      <c r="AM4" s="2304"/>
      <c r="AN4" s="2304"/>
      <c r="AO4" s="2304"/>
      <c r="AP4" s="2305"/>
      <c r="AQ4" s="2306"/>
      <c r="AR4" s="2306"/>
      <c r="AS4" s="2306"/>
      <c r="AT4" s="2306"/>
      <c r="AU4" s="2306"/>
      <c r="AV4" s="1208"/>
      <c r="AW4" s="1208"/>
      <c r="AX4" s="2312" t="s">
        <v>2595</v>
      </c>
      <c r="AY4" s="2313"/>
      <c r="AZ4" s="2313"/>
      <c r="BA4" s="2314"/>
      <c r="BB4" s="1210">
        <f t="array" ref="BB4">ROUNDDOWN(SUM(IF((B19:I27&gt;0)*(B19:I27&lt;=30%),J19:O27,0))/J29,2)</f>
        <v>0.49</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2386</v>
      </c>
      <c r="AG5" s="2304"/>
      <c r="AH5" s="2304"/>
      <c r="AI5" s="2304"/>
      <c r="AJ5" s="2304"/>
      <c r="AK5" s="2304"/>
      <c r="AL5" s="2304"/>
      <c r="AM5" s="2304"/>
      <c r="AN5" s="2304"/>
      <c r="AO5" s="2304"/>
      <c r="AP5" s="2305"/>
      <c r="AQ5" s="2306"/>
      <c r="AR5" s="2306"/>
      <c r="AS5" s="2306"/>
      <c r="AT5" s="2306"/>
      <c r="AU5" s="2306"/>
      <c r="AV5" s="1208"/>
      <c r="AW5" s="1208"/>
      <c r="AX5" s="2312" t="s">
        <v>2596</v>
      </c>
      <c r="AY5" s="2313"/>
      <c r="AZ5" s="2313"/>
      <c r="BA5" s="2314"/>
      <c r="BB5" s="1210">
        <f t="array" ref="BB5">ROUNDDOWN(SUM(IF((B19:I27&gt;0%)*(B19:I27&lt;=50%),J19:O27,0))/J29,2)</f>
        <v>0.88</v>
      </c>
      <c r="BC5" s="1211"/>
      <c r="BD5" s="1211"/>
      <c r="BE5" s="1212"/>
    </row>
    <row r="6" spans="1:65" ht="15.75" customHeight="1" thickBot="1">
      <c r="A6" s="1207"/>
      <c r="B6" s="1209" t="s">
        <v>2385</v>
      </c>
      <c r="C6" s="1208"/>
      <c r="D6" s="1208"/>
      <c r="E6" s="1208"/>
      <c r="F6" s="1208"/>
      <c r="G6" s="1208"/>
      <c r="H6" s="1208"/>
      <c r="I6" s="1208"/>
      <c r="J6" s="1208"/>
      <c r="K6" s="1208"/>
      <c r="L6" s="2315" t="str">
        <f>IF(Application!H16="","",Application!H16)</f>
        <v>Richmond Metrowalk Associates, a California Limited Partnership</v>
      </c>
      <c r="M6" s="2316"/>
      <c r="N6" s="2316"/>
      <c r="O6" s="2316"/>
      <c r="P6" s="2316"/>
      <c r="Q6" s="2316"/>
      <c r="R6" s="2316"/>
      <c r="S6" s="2316"/>
      <c r="T6" s="2316"/>
      <c r="U6" s="2316"/>
      <c r="V6" s="2316"/>
      <c r="W6" s="2316"/>
      <c r="X6" s="2316"/>
      <c r="Y6" s="2316"/>
      <c r="Z6" s="2316"/>
      <c r="AA6" s="2316"/>
      <c r="AB6" s="2316"/>
      <c r="AC6" s="2317"/>
      <c r="AD6" s="1208"/>
      <c r="AE6" s="1208"/>
      <c r="AF6" s="2307" t="s">
        <v>2384</v>
      </c>
      <c r="AG6" s="2307"/>
      <c r="AH6" s="2307"/>
      <c r="AI6" s="2307"/>
      <c r="AJ6" s="2307"/>
      <c r="AK6" s="2307"/>
      <c r="AL6" s="2307"/>
      <c r="AM6" s="2307"/>
      <c r="AN6" s="2307"/>
      <c r="AO6" s="2307"/>
      <c r="AP6" s="2308"/>
      <c r="AQ6" s="2308"/>
      <c r="AR6" s="2308"/>
      <c r="AS6" s="2308"/>
      <c r="AT6" s="2308"/>
      <c r="AU6" s="2308"/>
      <c r="AV6" s="1208"/>
      <c r="AW6" s="1208"/>
      <c r="AX6" s="2312" t="s">
        <v>2597</v>
      </c>
      <c r="AY6" s="2313"/>
      <c r="AZ6" s="2313"/>
      <c r="BA6" s="2314"/>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2383</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ht="1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2382</v>
      </c>
      <c r="AG8" s="2307"/>
      <c r="AH8" s="2307"/>
      <c r="AI8" s="2307"/>
      <c r="AJ8" s="2307"/>
      <c r="AK8" s="2307"/>
      <c r="AL8" s="2307"/>
      <c r="AM8" s="2307"/>
      <c r="AN8" s="2307"/>
      <c r="AO8" s="2307"/>
      <c r="AP8" s="2308" t="s">
        <v>2053</v>
      </c>
      <c r="AQ8" s="2308"/>
      <c r="AR8" s="2308"/>
      <c r="AS8" s="2308"/>
      <c r="AT8" s="2308"/>
      <c r="AU8" s="2308"/>
      <c r="AV8" s="1208"/>
      <c r="AW8" s="1208"/>
      <c r="AX8" s="1208"/>
      <c r="AY8" s="1208"/>
      <c r="AZ8" s="1208"/>
      <c r="BA8" s="1208"/>
      <c r="BB8" s="1208"/>
      <c r="BC8" s="1208"/>
      <c r="BD8" s="1208"/>
      <c r="BE8" s="1213"/>
      <c r="BM8" s="1204" t="s">
        <v>1955</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2381</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2380</v>
      </c>
    </row>
    <row r="10" spans="1:65" ht="14.4">
      <c r="A10" s="1207"/>
      <c r="B10" s="1209" t="s">
        <v>2379</v>
      </c>
      <c r="C10" s="1209"/>
      <c r="D10" s="1209"/>
      <c r="E10" s="1209"/>
      <c r="F10" s="1209"/>
      <c r="G10" s="1209"/>
      <c r="H10" s="1209"/>
      <c r="I10" s="1209"/>
      <c r="J10" s="1209"/>
      <c r="K10" s="1209"/>
      <c r="L10" s="1209"/>
      <c r="M10" s="1208"/>
      <c r="N10" s="2303">
        <f>Application!AO635</f>
        <v>11000000</v>
      </c>
      <c r="O10" s="2303"/>
      <c r="P10" s="2303"/>
      <c r="Q10" s="2303"/>
      <c r="R10" s="2303"/>
      <c r="S10" s="2303"/>
      <c r="T10" s="2303"/>
      <c r="U10" s="1208"/>
      <c r="V10" s="1208"/>
      <c r="W10" s="1208"/>
      <c r="X10" s="1214"/>
      <c r="Y10" s="1214"/>
      <c r="Z10" s="1214"/>
      <c r="AA10" s="1214"/>
      <c r="AB10" s="1214"/>
      <c r="AC10" s="1214"/>
      <c r="AD10" s="1214"/>
      <c r="AE10" s="1214"/>
      <c r="AF10" s="2304" t="s">
        <v>2378</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2377</v>
      </c>
    </row>
    <row r="11" spans="1:65" ht="14.4">
      <c r="A11" s="1207"/>
      <c r="B11" s="1209" t="s">
        <v>2376</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2375</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ht="15" thickBot="1">
      <c r="A13" s="1208"/>
      <c r="B13" s="2294" t="s">
        <v>2373</v>
      </c>
      <c r="C13" s="2295"/>
      <c r="D13" s="2295"/>
      <c r="E13" s="2295"/>
      <c r="F13" s="2295"/>
      <c r="G13" s="2295"/>
      <c r="H13" s="2295"/>
      <c r="I13" s="2295"/>
      <c r="J13" s="2295"/>
      <c r="K13" s="2295"/>
      <c r="L13" s="2295"/>
      <c r="M13" s="2295"/>
      <c r="N13" s="2295"/>
      <c r="O13" s="2295"/>
      <c r="P13" s="2296"/>
      <c r="Q13" s="2297" t="s">
        <v>667</v>
      </c>
      <c r="R13" s="2298"/>
      <c r="S13" s="2298"/>
      <c r="T13" s="2299"/>
      <c r="U13" s="1214"/>
      <c r="V13" s="1208"/>
      <c r="W13" s="1208"/>
      <c r="X13" s="1208"/>
      <c r="Y13" s="1208"/>
      <c r="Z13" s="1208"/>
      <c r="AA13" s="2284" t="s">
        <v>2372</v>
      </c>
      <c r="AB13" s="2284"/>
      <c r="AC13" s="2284"/>
      <c r="AD13" s="2284"/>
      <c r="AE13" s="2284"/>
      <c r="AF13" s="2284"/>
      <c r="AG13" s="2284"/>
      <c r="AH13" s="2284"/>
      <c r="AI13" s="2284"/>
      <c r="AJ13" s="2284"/>
      <c r="AK13" s="2284"/>
      <c r="AL13" s="2284"/>
      <c r="AM13" s="2284"/>
      <c r="AN13" s="2284"/>
      <c r="AO13" s="2300">
        <f>Application!W481</f>
        <v>23</v>
      </c>
      <c r="AP13" s="2301"/>
      <c r="AQ13" s="2301"/>
      <c r="AR13" s="2301"/>
      <c r="AS13" s="2301"/>
      <c r="AT13" s="1214"/>
      <c r="AU13" s="1214"/>
      <c r="AV13" s="1214"/>
      <c r="AW13" s="1214"/>
      <c r="AX13" s="1214"/>
      <c r="AY13" s="1214"/>
      <c r="AZ13" s="1214"/>
      <c r="BA13" s="1214"/>
      <c r="BB13" s="1214"/>
      <c r="BC13" s="1214"/>
      <c r="BD13" s="1214"/>
      <c r="BE13" s="1215"/>
      <c r="BM13" s="1204" t="s">
        <v>2371</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2370</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ht="15" thickBot="1">
      <c r="A15" s="1208"/>
      <c r="B15" s="2279" t="s">
        <v>2369</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2368</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2107" t="s">
        <v>2367</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2366</v>
      </c>
      <c r="C18" s="2288"/>
      <c r="D18" s="2288"/>
      <c r="E18" s="2288"/>
      <c r="F18" s="2288"/>
      <c r="G18" s="2288"/>
      <c r="H18" s="2288"/>
      <c r="I18" s="2289"/>
      <c r="J18" s="2290" t="s">
        <v>1573</v>
      </c>
      <c r="K18" s="2291"/>
      <c r="L18" s="2291"/>
      <c r="M18" s="2291"/>
      <c r="N18" s="2291"/>
      <c r="O18" s="2292"/>
      <c r="P18" s="2290" t="s">
        <v>323</v>
      </c>
      <c r="Q18" s="2291"/>
      <c r="R18" s="2291"/>
      <c r="S18" s="2291"/>
      <c r="T18" s="2291"/>
      <c r="U18" s="2292"/>
      <c r="V18" s="2290" t="s">
        <v>324</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2365</v>
      </c>
      <c r="AU18" s="2291"/>
      <c r="AV18" s="2291"/>
      <c r="AW18" s="2291"/>
      <c r="AX18" s="2291"/>
      <c r="AY18" s="2293"/>
      <c r="AZ18" s="1208"/>
      <c r="BA18" s="1208"/>
      <c r="BB18" s="1208"/>
      <c r="BC18" s="1208"/>
      <c r="BD18" s="1208"/>
      <c r="BE18" s="1215"/>
    </row>
    <row r="19" spans="1:58" ht="14.4">
      <c r="A19" s="1208"/>
      <c r="B19" s="2273">
        <v>0.3</v>
      </c>
      <c r="C19" s="2274"/>
      <c r="D19" s="2274"/>
      <c r="E19" s="2274"/>
      <c r="F19" s="2274"/>
      <c r="G19" s="2274"/>
      <c r="H19" s="2274"/>
      <c r="I19" s="2275"/>
      <c r="J19" s="2276">
        <f t="shared" ref="J19:J24" si="0">SUM(P19:AS19)</f>
        <v>74</v>
      </c>
      <c r="K19" s="2277"/>
      <c r="L19" s="2277"/>
      <c r="M19" s="2277"/>
      <c r="N19" s="2277"/>
      <c r="O19" s="2278"/>
      <c r="P19" s="2276" cm="1">
        <f t="array" ref="P19">SUMPRODUCT((Application!$B$726:$B$760 = 'CalHFA Addendum'!P$18)*(Application!$AC$726:$AC$760 = 'CalHFA Addendum'!$B19),Application!$G$726:$G$760)</f>
        <v>20</v>
      </c>
      <c r="Q19" s="2277"/>
      <c r="R19" s="2277"/>
      <c r="S19" s="2277"/>
      <c r="T19" s="2277"/>
      <c r="U19" s="2278"/>
      <c r="V19" s="2276" cm="1">
        <f t="array" ref="V19">SUMPRODUCT((Application!$B$726:$B$760 = 'CalHFA Addendum'!V$18)*(Application!$AC$726:$AC$760 = 'CalHFA Addendum'!$B19),Application!$G$726:$G$760)</f>
        <v>8</v>
      </c>
      <c r="W19" s="2277"/>
      <c r="X19" s="2277"/>
      <c r="Y19" s="2277"/>
      <c r="Z19" s="2277"/>
      <c r="AA19" s="2278"/>
      <c r="AB19" s="2276" cm="1">
        <f t="array" ref="AB19">SUMPRODUCT((Application!$B$726:$B$760 = 'CalHFA Addendum'!AB$18)*(Application!$AC$726:$AC$760 = 'CalHFA Addendum'!$B19),Application!$G$726:$G$760)</f>
        <v>33</v>
      </c>
      <c r="AC19" s="2277"/>
      <c r="AD19" s="2277"/>
      <c r="AE19" s="2277"/>
      <c r="AF19" s="2277"/>
      <c r="AG19" s="2278"/>
      <c r="AH19" s="2276" cm="1">
        <f t="array" ref="AH19">SUMPRODUCT((Application!$B$726:$B$760 = 'CalHFA Addendum'!AH$18)*(Application!$AC$726:$AC$760 = 'CalHFA Addendum'!$B19),Application!$G$726:$G$760)</f>
        <v>13</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0.49333333333333335</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4.4">
      <c r="A21" s="1208"/>
      <c r="B21" s="2273">
        <v>0.5</v>
      </c>
      <c r="C21" s="2274"/>
      <c r="D21" s="2274"/>
      <c r="E21" s="2274"/>
      <c r="F21" s="2274"/>
      <c r="G21" s="2274"/>
      <c r="H21" s="2274"/>
      <c r="I21" s="2275"/>
      <c r="J21" s="2276">
        <f t="shared" si="0"/>
        <v>58</v>
      </c>
      <c r="K21" s="2277"/>
      <c r="L21" s="2277"/>
      <c r="M21" s="2277"/>
      <c r="N21" s="2277"/>
      <c r="O21" s="2278"/>
      <c r="P21" s="2276" cm="1">
        <f t="array" ref="P21">SUMPRODUCT((Application!$B$726:$B$760 = 'CalHFA Addendum'!P$18)*(Application!$AC$726:$AC$760 = 'CalHFA Addendum'!$B21),Application!$G$726:$G$760)</f>
        <v>1</v>
      </c>
      <c r="Q21" s="2277"/>
      <c r="R21" s="2277"/>
      <c r="S21" s="2277"/>
      <c r="T21" s="2277"/>
      <c r="U21" s="2278"/>
      <c r="V21" s="2276" cm="1">
        <f t="array" ref="V21">SUMPRODUCT((Application!$B$726:$B$760 = 'CalHFA Addendum'!V$18)*(Application!$AC$726:$AC$760 = 'CalHFA Addendum'!$B21),Application!$G$726:$G$760)</f>
        <v>1</v>
      </c>
      <c r="W21" s="2277"/>
      <c r="X21" s="2277"/>
      <c r="Y21" s="2277"/>
      <c r="Z21" s="2277"/>
      <c r="AA21" s="2278"/>
      <c r="AB21" s="2276" cm="1">
        <f t="array" ref="AB21">SUMPRODUCT((Application!$B$726:$B$760 = 'CalHFA Addendum'!AB$18)*(Application!$AC$726:$AC$760 = 'CalHFA Addendum'!$B21),Application!$G$726:$G$760)</f>
        <v>27</v>
      </c>
      <c r="AC21" s="2277"/>
      <c r="AD21" s="2277"/>
      <c r="AE21" s="2277"/>
      <c r="AF21" s="2277"/>
      <c r="AG21" s="2278"/>
      <c r="AH21" s="2276" cm="1">
        <f t="array" ref="AH21">SUMPRODUCT((Application!$B$726:$B$760 = 'CalHFA Addendum'!AH$18)*(Application!$AC$726:$AC$760 = 'CalHFA Addendum'!$B21),Application!$G$726:$G$760)</f>
        <v>29</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0.38666666666666666</v>
      </c>
      <c r="AU21" s="2262"/>
      <c r="AV21" s="2262"/>
      <c r="AW21" s="2262"/>
      <c r="AX21" s="2262"/>
      <c r="AY21" s="2263"/>
      <c r="AZ21" s="1208"/>
      <c r="BA21" s="1208"/>
      <c r="BB21" s="1208"/>
      <c r="BC21" s="1208"/>
      <c r="BD21" s="1208"/>
      <c r="BE21" s="1215"/>
    </row>
    <row r="22" spans="1:58" ht="14.4">
      <c r="A22" s="1208"/>
      <c r="B22" s="2273">
        <v>0.6</v>
      </c>
      <c r="C22" s="2274"/>
      <c r="D22" s="2274"/>
      <c r="E22" s="2274"/>
      <c r="F22" s="2274"/>
      <c r="G22" s="2274"/>
      <c r="H22" s="2274"/>
      <c r="I22" s="2275"/>
      <c r="J22" s="2276">
        <f t="shared" si="0"/>
        <v>17</v>
      </c>
      <c r="K22" s="2277"/>
      <c r="L22" s="2277"/>
      <c r="M22" s="2277"/>
      <c r="N22" s="2277"/>
      <c r="O22" s="2278"/>
      <c r="P22" s="2276" cm="1">
        <f t="array" ref="P22">SUMPRODUCT((Application!$B$726:$B$760 = 'CalHFA Addendum'!P$18)*(Application!$AC$726:$AC$760 = 'CalHFA Addendum'!$B22),Application!$G$726:$G$760)</f>
        <v>1</v>
      </c>
      <c r="Q22" s="2277"/>
      <c r="R22" s="2277"/>
      <c r="S22" s="2277"/>
      <c r="T22" s="2277"/>
      <c r="U22" s="2278"/>
      <c r="V22" s="2276" cm="1">
        <f t="array" ref="V22">SUMPRODUCT((Application!$B$726:$B$760 = 'CalHFA Addendum'!V$18)*(Application!$AC$726:$AC$760 = 'CalHFA Addendum'!$B22),Application!$G$726:$G$760)</f>
        <v>1</v>
      </c>
      <c r="W22" s="2277"/>
      <c r="X22" s="2277"/>
      <c r="Y22" s="2277"/>
      <c r="Z22" s="2277"/>
      <c r="AA22" s="2278"/>
      <c r="AB22" s="2276" cm="1">
        <f t="array" ref="AB22">SUMPRODUCT((Application!$B$726:$B$760 = 'CalHFA Addendum'!AB$18)*(Application!$AC$726:$AC$760 = 'CalHFA Addendum'!$B22),Application!$G$726:$G$760)</f>
        <v>8</v>
      </c>
      <c r="AC22" s="2277"/>
      <c r="AD22" s="2277"/>
      <c r="AE22" s="2277"/>
      <c r="AF22" s="2277"/>
      <c r="AG22" s="2278"/>
      <c r="AH22" s="2276" cm="1">
        <f t="array" ref="AH22">SUMPRODUCT((Application!$B$726:$B$760 = 'CalHFA Addendum'!AH$18)*(Application!$AC$726:$AC$760 = 'CalHFA Addendum'!$B22),Application!$G$726:$G$760)</f>
        <v>7</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0.11333333333333333</v>
      </c>
      <c r="AU22" s="2262"/>
      <c r="AV22" s="2262"/>
      <c r="AW22" s="2262"/>
      <c r="AX22" s="2262"/>
      <c r="AY22" s="2263"/>
      <c r="AZ22" s="1208"/>
      <c r="BA22" s="1208"/>
      <c r="BB22" s="1208"/>
      <c r="BC22" s="1208"/>
      <c r="BD22" s="1208"/>
      <c r="BE22" s="1215"/>
    </row>
    <row r="23" spans="1:58" ht="14.4">
      <c r="A23" s="1208"/>
      <c r="B23" s="2273">
        <v>0.7</v>
      </c>
      <c r="C23" s="2274"/>
      <c r="D23" s="2274"/>
      <c r="E23" s="2274"/>
      <c r="F23" s="2274"/>
      <c r="G23" s="2274"/>
      <c r="H23" s="2274"/>
      <c r="I23" s="2275"/>
      <c r="J23" s="2276">
        <f t="shared" si="0"/>
        <v>0</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0</v>
      </c>
      <c r="AC23" s="2277"/>
      <c r="AD23" s="2277"/>
      <c r="AE23" s="2277"/>
      <c r="AF23" s="2277"/>
      <c r="AG23" s="2278"/>
      <c r="AH23" s="2276" cm="1">
        <f t="array" ref="AH23">SUMPRODUCT((Application!$B$726:$B$760 = 'CalHFA Addendum'!AH$18)*(Application!$AC$726:$AC$760 = 'CalHFA Addendum'!$B23),Application!$G$726:$G$760)</f>
        <v>0</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v>
      </c>
      <c r="AU23" s="2262"/>
      <c r="AV23" s="2262"/>
      <c r="AW23" s="2262"/>
      <c r="AX23" s="2262"/>
      <c r="AY23" s="2263"/>
      <c r="AZ23" s="1208"/>
      <c r="BA23" s="1208"/>
      <c r="BB23" s="1208"/>
      <c r="BC23" s="1208"/>
      <c r="BD23" s="1208"/>
      <c r="BE23" s="1215"/>
    </row>
    <row r="24" spans="1:58" ht="14.4">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4.4">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4.4">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4.4">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ht="15" thickBot="1">
      <c r="A28" s="1208"/>
      <c r="B28" s="2264" t="s">
        <v>2364</v>
      </c>
      <c r="C28" s="2265"/>
      <c r="D28" s="2265"/>
      <c r="E28" s="2265"/>
      <c r="F28" s="2265"/>
      <c r="G28" s="2265"/>
      <c r="H28" s="2265"/>
      <c r="I28" s="2266"/>
      <c r="J28" s="2267">
        <f>SUM(P28:AS28)</f>
        <v>1</v>
      </c>
      <c r="K28" s="2268"/>
      <c r="L28" s="2268"/>
      <c r="M28" s="2268"/>
      <c r="N28" s="2268"/>
      <c r="O28" s="2269"/>
      <c r="P28" s="2267">
        <f>_xlfn.IFNA(VLOOKUP(P$18,Application!$J$781:$S$784,6,FALSE), 0)</f>
        <v>0</v>
      </c>
      <c r="Q28" s="2268"/>
      <c r="R28" s="2268"/>
      <c r="S28" s="2268"/>
      <c r="T28" s="2268"/>
      <c r="U28" s="2269"/>
      <c r="V28" s="2267">
        <f>_xlfn.IFNA(VLOOKUP(V$18,Application!$J$781:$S$784,6,FALSE), 0)</f>
        <v>0</v>
      </c>
      <c r="W28" s="2268"/>
      <c r="X28" s="2268"/>
      <c r="Y28" s="2268"/>
      <c r="Z28" s="2268"/>
      <c r="AA28" s="2269"/>
      <c r="AB28" s="2267">
        <f>_xlfn.IFNA(VLOOKUP(AB$18,Application!$J$781:$S$784,6,FALSE), 0)</f>
        <v>1</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6.6666666666666671E-3</v>
      </c>
      <c r="AU28" s="2271"/>
      <c r="AV28" s="2271"/>
      <c r="AW28" s="2271"/>
      <c r="AX28" s="2271"/>
      <c r="AY28" s="2272"/>
      <c r="AZ28" s="1208"/>
      <c r="BA28" s="1208"/>
      <c r="BB28" s="1208"/>
      <c r="BC28" s="1208"/>
      <c r="BD28" s="1208"/>
      <c r="BE28" s="1215"/>
    </row>
    <row r="29" spans="1:58" ht="15" thickBot="1">
      <c r="A29" s="1208"/>
      <c r="B29" s="2247" t="s">
        <v>1573</v>
      </c>
      <c r="C29" s="2220"/>
      <c r="D29" s="2220"/>
      <c r="E29" s="2220"/>
      <c r="F29" s="2220"/>
      <c r="G29" s="2220"/>
      <c r="H29" s="2220"/>
      <c r="I29" s="2221"/>
      <c r="J29" s="2219">
        <f>SUM(J19:O28)</f>
        <v>150</v>
      </c>
      <c r="K29" s="2220"/>
      <c r="L29" s="2220"/>
      <c r="M29" s="2220"/>
      <c r="N29" s="2220"/>
      <c r="O29" s="2221"/>
      <c r="P29" s="2219">
        <f>SUM(P19:U28)</f>
        <v>22</v>
      </c>
      <c r="Q29" s="2220"/>
      <c r="R29" s="2220"/>
      <c r="S29" s="2220"/>
      <c r="T29" s="2220"/>
      <c r="U29" s="2221"/>
      <c r="V29" s="2219">
        <f>SUM(V19:AA28)</f>
        <v>10</v>
      </c>
      <c r="W29" s="2220"/>
      <c r="X29" s="2220"/>
      <c r="Y29" s="2220"/>
      <c r="Z29" s="2220"/>
      <c r="AA29" s="2221"/>
      <c r="AB29" s="2219">
        <f>SUM(AB19:AG28)</f>
        <v>69</v>
      </c>
      <c r="AC29" s="2220"/>
      <c r="AD29" s="2220"/>
      <c r="AE29" s="2220"/>
      <c r="AF29" s="2220"/>
      <c r="AG29" s="2221"/>
      <c r="AH29" s="2219">
        <f>SUM(AH19:AM28)</f>
        <v>49</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5" t="s">
        <v>2363</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ht="15" thickBot="1">
      <c r="A32" s="1208"/>
      <c r="B32" s="2228" t="s">
        <v>2362</v>
      </c>
      <c r="C32" s="2229"/>
      <c r="D32" s="2229"/>
      <c r="E32" s="2229"/>
      <c r="F32" s="2229"/>
      <c r="G32" s="2229"/>
      <c r="H32" s="2229"/>
      <c r="I32" s="2229"/>
      <c r="J32" s="2232" t="s">
        <v>2361</v>
      </c>
      <c r="K32" s="2233"/>
      <c r="L32" s="2233"/>
      <c r="M32" s="2233"/>
      <c r="N32" s="2232" t="s">
        <v>2360</v>
      </c>
      <c r="O32" s="2233"/>
      <c r="P32" s="2233"/>
      <c r="Q32" s="2235"/>
      <c r="R32" s="2237" t="s">
        <v>2359</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2358</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2357</v>
      </c>
      <c r="AT35" s="2249"/>
      <c r="AU35" s="2249"/>
      <c r="AV35" s="2249"/>
      <c r="AW35" s="2249"/>
      <c r="AX35" s="2257"/>
      <c r="AY35" s="2248" t="s">
        <v>2356</v>
      </c>
      <c r="AZ35" s="2249"/>
      <c r="BA35" s="2249"/>
      <c r="BB35" s="2249"/>
      <c r="BC35" s="2249"/>
      <c r="BD35" s="2250"/>
      <c r="BE35" s="1215"/>
    </row>
    <row r="36" spans="1:58" ht="15.75" customHeight="1">
      <c r="A36" s="1208"/>
      <c r="B36" s="2152" t="s">
        <v>2355</v>
      </c>
      <c r="C36" s="2153"/>
      <c r="D36" s="2153"/>
      <c r="E36" s="2153"/>
      <c r="F36" s="2153"/>
      <c r="G36" s="2153"/>
      <c r="H36" s="2153"/>
      <c r="I36" s="2153"/>
      <c r="J36" s="2217" t="s">
        <v>2354</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2353</v>
      </c>
      <c r="C37" s="2153"/>
      <c r="D37" s="2153"/>
      <c r="E37" s="2153"/>
      <c r="F37" s="2153"/>
      <c r="G37" s="2153"/>
      <c r="H37" s="2153"/>
      <c r="I37" s="2153"/>
      <c r="J37" s="2217" t="s">
        <v>2352</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2351</v>
      </c>
      <c r="C38" s="2153"/>
      <c r="D38" s="2153"/>
      <c r="E38" s="2153"/>
      <c r="F38" s="2153"/>
      <c r="G38" s="2153"/>
      <c r="H38" s="2153"/>
      <c r="I38" s="2153"/>
      <c r="J38" s="2217" t="s">
        <v>2350</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2349</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2349</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2348</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2348</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2347</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2346</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2345</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2277</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299</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2342</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2335</v>
      </c>
      <c r="C51" s="2104"/>
      <c r="D51" s="2104"/>
      <c r="E51" s="2104"/>
      <c r="F51" s="2104"/>
      <c r="G51" s="2104"/>
      <c r="H51" s="2104"/>
      <c r="I51" s="2104"/>
      <c r="J51" s="2104" t="s">
        <v>2341</v>
      </c>
      <c r="K51" s="2104"/>
      <c r="L51" s="2104"/>
      <c r="M51" s="2104"/>
      <c r="N51" s="2104"/>
      <c r="O51" s="2104"/>
      <c r="P51" s="2104"/>
      <c r="Q51" s="2104"/>
      <c r="R51" s="2196" t="s">
        <v>2340</v>
      </c>
      <c r="S51" s="2196"/>
      <c r="T51" s="2196"/>
      <c r="U51" s="2196"/>
      <c r="V51" s="2196"/>
      <c r="W51" s="2196"/>
      <c r="X51" s="2196"/>
      <c r="Y51" s="2196"/>
      <c r="Z51" s="2196" t="s">
        <v>2339</v>
      </c>
      <c r="AA51" s="2196"/>
      <c r="AB51" s="2196"/>
      <c r="AC51" s="2196"/>
      <c r="AD51" s="2196"/>
      <c r="AE51" s="2196"/>
      <c r="AF51" s="2196"/>
      <c r="AG51" s="2196"/>
      <c r="AH51" s="2196" t="s">
        <v>2338</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2337</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2336</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1573</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2335</v>
      </c>
      <c r="C59" s="2186"/>
      <c r="D59" s="2186"/>
      <c r="E59" s="2186"/>
      <c r="F59" s="2186"/>
      <c r="G59" s="2186"/>
      <c r="H59" s="2186"/>
      <c r="I59" s="2187"/>
      <c r="J59" s="2108" t="s">
        <v>2334</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2332</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2331</v>
      </c>
      <c r="AD68" s="2031"/>
      <c r="AE68" s="2031"/>
      <c r="AF68" s="2031"/>
      <c r="AG68" s="2031"/>
      <c r="AH68" s="2031"/>
      <c r="AI68" s="2031"/>
      <c r="AJ68" s="2031"/>
      <c r="AK68" s="2031"/>
      <c r="AL68" s="2031"/>
      <c r="AM68" s="2031"/>
      <c r="AN68" s="2031"/>
      <c r="AO68" s="2031"/>
      <c r="AP68" s="2031"/>
      <c r="AQ68" s="2031"/>
      <c r="AR68" s="2031"/>
      <c r="AS68" s="2031"/>
      <c r="AT68" s="2031"/>
      <c r="AU68" s="2031"/>
      <c r="AV68" s="2169" t="s">
        <v>667</v>
      </c>
      <c r="AW68" s="2087"/>
      <c r="AX68" s="2087"/>
      <c r="AY68" s="2087"/>
      <c r="AZ68" s="2087"/>
      <c r="BA68" s="2087"/>
      <c r="BB68" s="2087"/>
      <c r="BC68" s="2088"/>
      <c r="BD68" s="1208"/>
      <c r="BE68" s="1215"/>
      <c r="BM68" s="1221" t="s">
        <v>2330</v>
      </c>
    </row>
    <row r="69" spans="1:94" ht="15.75" customHeight="1" thickTop="1" thickBot="1">
      <c r="A69" s="1208"/>
      <c r="B69" s="2170" t="s">
        <v>2329</v>
      </c>
      <c r="C69" s="2171"/>
      <c r="D69" s="2171"/>
      <c r="E69" s="2171"/>
      <c r="F69" s="2171"/>
      <c r="G69" s="2171"/>
      <c r="H69" s="2171"/>
      <c r="I69" s="2171"/>
      <c r="J69" s="2171"/>
      <c r="K69" s="2171"/>
      <c r="L69" s="2171"/>
      <c r="M69" s="2171"/>
      <c r="N69" s="2171"/>
      <c r="O69" s="2172" t="s">
        <v>2328</v>
      </c>
      <c r="P69" s="2173"/>
      <c r="Q69" s="2173"/>
      <c r="R69" s="2173"/>
      <c r="S69" s="2173"/>
      <c r="T69" s="2173"/>
      <c r="U69" s="2173"/>
      <c r="V69" s="2173"/>
      <c r="W69" s="2173"/>
      <c r="X69" s="2173"/>
      <c r="Y69" s="2173"/>
      <c r="Z69" s="2173"/>
      <c r="AA69" s="2174"/>
      <c r="AB69" s="1208"/>
      <c r="AC69" s="2175" t="s">
        <v>2327</v>
      </c>
      <c r="AD69" s="2176"/>
      <c r="AE69" s="2176"/>
      <c r="AF69" s="2176"/>
      <c r="AG69" s="2176"/>
      <c r="AH69" s="2176"/>
      <c r="AI69" s="2176"/>
      <c r="AJ69" s="2176"/>
      <c r="AK69" s="2176"/>
      <c r="AL69" s="2176"/>
      <c r="AM69" s="2176"/>
      <c r="AN69" s="2176"/>
      <c r="AO69" s="2176"/>
      <c r="AP69" s="2176"/>
      <c r="AQ69" s="2176"/>
      <c r="AR69" s="2176"/>
      <c r="AS69" s="2176"/>
      <c r="AT69" s="2176"/>
      <c r="AU69" s="2176"/>
      <c r="AV69" s="2169" t="s">
        <v>667</v>
      </c>
      <c r="AW69" s="2087"/>
      <c r="AX69" s="2087"/>
      <c r="AY69" s="2087"/>
      <c r="AZ69" s="2087"/>
      <c r="BA69" s="2087"/>
      <c r="BB69" s="2087"/>
      <c r="BC69" s="2088"/>
      <c r="BD69" s="1208"/>
      <c r="BE69" s="1215"/>
      <c r="BM69" s="1222" t="s">
        <v>544</v>
      </c>
    </row>
    <row r="70" spans="1:94" ht="15.75" customHeight="1">
      <c r="A70" s="1208"/>
      <c r="B70" s="2152" t="s">
        <v>2326</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2325</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667</v>
      </c>
    </row>
    <row r="71" spans="1:94" ht="15.75" customHeight="1" thickBot="1">
      <c r="A71" s="1208"/>
      <c r="B71" s="2152" t="s">
        <v>2324</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2323</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2322</v>
      </c>
    </row>
    <row r="72" spans="1:94" ht="15.75" customHeight="1">
      <c r="A72" s="1208"/>
      <c r="B72" s="2152" t="s">
        <v>2321</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2320</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2319</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2272</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2317</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2623</v>
      </c>
      <c r="AK81" s="2130"/>
      <c r="AL81" s="2130"/>
      <c r="AM81" s="2130"/>
      <c r="AN81" s="2130"/>
      <c r="AO81" s="2130"/>
      <c r="AP81" s="2130"/>
      <c r="AQ81" s="2130"/>
      <c r="AR81" s="2130"/>
      <c r="AS81" s="2130"/>
      <c r="AT81" s="2130"/>
      <c r="AU81" s="2130"/>
      <c r="AV81" s="2130"/>
      <c r="AW81" s="2130"/>
      <c r="AX81" s="2130"/>
      <c r="AY81" s="2148" t="s">
        <v>544</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2311</v>
      </c>
      <c r="J82" s="2104"/>
      <c r="K82" s="2104"/>
      <c r="L82" s="2104"/>
      <c r="M82" s="2104"/>
      <c r="N82" s="2104"/>
      <c r="O82" s="2104" t="s">
        <v>2288</v>
      </c>
      <c r="P82" s="2104"/>
      <c r="Q82" s="2104"/>
      <c r="R82" s="2104"/>
      <c r="S82" s="2104"/>
      <c r="T82" s="2104"/>
      <c r="U82" s="2104"/>
      <c r="V82" s="2140" t="s">
        <v>2287</v>
      </c>
      <c r="W82" s="2140"/>
      <c r="X82" s="2140"/>
      <c r="Y82" s="2140"/>
      <c r="Z82" s="2140"/>
      <c r="AA82" s="2140"/>
      <c r="AB82" s="2077" t="s">
        <v>2310</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2309</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2308</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2314</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2307</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2315</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2624</v>
      </c>
      <c r="AK92" s="2130"/>
      <c r="AL92" s="2130"/>
      <c r="AM92" s="2130"/>
      <c r="AN92" s="2130"/>
      <c r="AO92" s="2130"/>
      <c r="AP92" s="2130"/>
      <c r="AQ92" s="2130"/>
      <c r="AR92" s="2130"/>
      <c r="AS92" s="2130"/>
      <c r="AT92" s="2130"/>
      <c r="AU92" s="2130"/>
      <c r="AV92" s="2130"/>
      <c r="AW92" s="2130"/>
      <c r="AX92" s="2130"/>
      <c r="AY92" s="2148" t="s">
        <v>544</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2311</v>
      </c>
      <c r="J93" s="2104"/>
      <c r="K93" s="2104"/>
      <c r="L93" s="2104"/>
      <c r="M93" s="2104"/>
      <c r="N93" s="2104"/>
      <c r="O93" s="2104" t="s">
        <v>2288</v>
      </c>
      <c r="P93" s="2104"/>
      <c r="Q93" s="2104"/>
      <c r="R93" s="2104"/>
      <c r="S93" s="2104"/>
      <c r="T93" s="2104"/>
      <c r="U93" s="2104"/>
      <c r="V93" s="2140" t="s">
        <v>2287</v>
      </c>
      <c r="W93" s="2140"/>
      <c r="X93" s="2140"/>
      <c r="Y93" s="2140"/>
      <c r="Z93" s="2140"/>
      <c r="AA93" s="2140"/>
      <c r="AB93" s="2077" t="s">
        <v>2310</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2309</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2308</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2314</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2307</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2312</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2311</v>
      </c>
      <c r="J103" s="2104"/>
      <c r="K103" s="2104"/>
      <c r="L103" s="2104"/>
      <c r="M103" s="2104"/>
      <c r="N103" s="2104"/>
      <c r="O103" s="2104" t="s">
        <v>2288</v>
      </c>
      <c r="P103" s="2104"/>
      <c r="Q103" s="2104"/>
      <c r="R103" s="2104"/>
      <c r="S103" s="2104"/>
      <c r="T103" s="2104"/>
      <c r="U103" s="2104"/>
      <c r="V103" s="2140" t="s">
        <v>2287</v>
      </c>
      <c r="W103" s="2140"/>
      <c r="X103" s="2140"/>
      <c r="Y103" s="2140"/>
      <c r="Z103" s="2140"/>
      <c r="AA103" s="2140"/>
      <c r="AB103" s="2077" t="s">
        <v>2310</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2309</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2308</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2307</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2625</v>
      </c>
      <c r="C112" s="2112"/>
      <c r="D112" s="2112"/>
      <c r="E112" s="2112"/>
      <c r="F112" s="2112"/>
      <c r="G112" s="2112"/>
      <c r="H112" s="2112"/>
      <c r="I112" s="2112"/>
      <c r="J112" s="2112"/>
      <c r="K112" s="2112"/>
      <c r="L112" s="2112"/>
      <c r="M112" s="2112"/>
      <c r="N112" s="2112"/>
      <c r="O112" s="2112"/>
      <c r="P112" s="2112"/>
      <c r="Q112" s="2112"/>
      <c r="R112" s="2112"/>
      <c r="S112" s="2112"/>
      <c r="T112" s="2112"/>
      <c r="U112" s="2115" t="s">
        <v>544</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2625</v>
      </c>
      <c r="C116" s="2120"/>
      <c r="D116" s="2120"/>
      <c r="E116" s="2120"/>
      <c r="F116" s="2120"/>
      <c r="G116" s="2120"/>
      <c r="H116" s="2120"/>
      <c r="I116" s="2120"/>
      <c r="J116" s="2120"/>
      <c r="K116" s="2120"/>
      <c r="L116" s="2120"/>
      <c r="M116" s="2120"/>
      <c r="N116" s="2120"/>
      <c r="O116" s="2120"/>
      <c r="P116" s="2120"/>
      <c r="Q116" s="2120"/>
      <c r="R116" s="2120"/>
      <c r="S116" s="2120"/>
      <c r="T116" s="2120"/>
      <c r="U116" s="2123" t="s">
        <v>544</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2304</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1564</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2303</v>
      </c>
      <c r="J122" s="2104"/>
      <c r="K122" s="2104"/>
      <c r="L122" s="2104"/>
      <c r="M122" s="2104"/>
      <c r="N122" s="2104"/>
      <c r="O122" s="2105" t="s">
        <v>2302</v>
      </c>
      <c r="P122" s="2105"/>
      <c r="Q122" s="2105"/>
      <c r="R122" s="2105"/>
      <c r="S122" s="2105"/>
      <c r="T122" s="2105"/>
      <c r="U122" s="2106"/>
      <c r="V122" s="1208"/>
      <c r="W122" s="1208"/>
      <c r="X122" s="2047" t="s">
        <v>2272</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2286</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2285</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2300</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2288</v>
      </c>
      <c r="J129" s="2082"/>
      <c r="K129" s="2082"/>
      <c r="L129" s="2082"/>
      <c r="M129" s="2082"/>
      <c r="N129" s="2082"/>
      <c r="O129" s="2082"/>
      <c r="P129" s="2082" t="s">
        <v>2287</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2286</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2285</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2299</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544</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2298</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2297</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544</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2296</v>
      </c>
      <c r="C137" s="2090"/>
      <c r="D137" s="2090"/>
      <c r="E137" s="2090"/>
      <c r="F137" s="2090"/>
      <c r="G137" s="2090"/>
      <c r="H137" s="2090"/>
      <c r="I137" s="2090"/>
      <c r="J137" s="2090"/>
      <c r="K137" s="2090"/>
      <c r="L137" s="2090"/>
      <c r="M137" s="2090"/>
      <c r="N137" s="2090"/>
      <c r="O137" s="2090"/>
      <c r="P137" s="2090"/>
      <c r="Q137" s="2090"/>
      <c r="R137" s="2091" t="s">
        <v>2295</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249</v>
      </c>
      <c r="BD137" s="1208"/>
      <c r="BE137" s="1215"/>
    </row>
    <row r="138" spans="1:57" ht="15.75" customHeight="1">
      <c r="A138" s="1208"/>
      <c r="B138" s="2093" t="s">
        <v>2294</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2291</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2290</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2288</v>
      </c>
      <c r="J152" s="2082"/>
      <c r="K152" s="2082"/>
      <c r="L152" s="2082"/>
      <c r="M152" s="2082"/>
      <c r="N152" s="2082"/>
      <c r="O152" s="2082"/>
      <c r="P152" s="2082" t="s">
        <v>2289</v>
      </c>
      <c r="Q152" s="2082"/>
      <c r="R152" s="2082"/>
      <c r="S152" s="2082"/>
      <c r="T152" s="2082"/>
      <c r="U152" s="2083"/>
      <c r="V152" s="1208"/>
      <c r="W152" s="1208"/>
      <c r="X152" s="2044"/>
      <c r="Y152" s="2045"/>
      <c r="Z152" s="2045"/>
      <c r="AA152" s="2045"/>
      <c r="AB152" s="2045"/>
      <c r="AC152" s="2045"/>
      <c r="AD152" s="2045"/>
      <c r="AE152" s="2082" t="s">
        <v>2288</v>
      </c>
      <c r="AF152" s="2082"/>
      <c r="AG152" s="2082"/>
      <c r="AH152" s="2082"/>
      <c r="AI152" s="2082"/>
      <c r="AJ152" s="2082"/>
      <c r="AK152" s="2082"/>
      <c r="AL152" s="2082" t="s">
        <v>2287</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2286</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2286</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2285</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2284</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2269</v>
      </c>
      <c r="D158" s="2045"/>
      <c r="E158" s="2045"/>
      <c r="F158" s="2045"/>
      <c r="G158" s="2045"/>
      <c r="H158" s="2045"/>
      <c r="I158" s="2045"/>
      <c r="J158" s="2045"/>
      <c r="K158" s="2045"/>
      <c r="L158" s="2045"/>
      <c r="M158" s="2045"/>
      <c r="N158" s="2045"/>
      <c r="O158" s="2045"/>
      <c r="P158" s="2045"/>
      <c r="Q158" s="2045" t="s">
        <v>2283</v>
      </c>
      <c r="R158" s="2045"/>
      <c r="S158" s="2045"/>
      <c r="T158" s="2077" t="s">
        <v>2282</v>
      </c>
      <c r="U158" s="2077"/>
      <c r="V158" s="2077"/>
      <c r="W158" s="2077"/>
      <c r="X158" s="2077"/>
      <c r="Y158" s="2077"/>
      <c r="Z158" s="2077"/>
      <c r="AA158" s="2077"/>
      <c r="AB158" s="2045" t="s">
        <v>2281</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2280</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2279</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2278</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2277</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169</v>
      </c>
      <c r="D163" s="2060"/>
      <c r="E163" s="2060"/>
      <c r="F163" s="2061" t="s">
        <v>2258</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169</v>
      </c>
      <c r="D164" s="2060"/>
      <c r="E164" s="2060"/>
      <c r="F164" s="2061" t="s">
        <v>2258</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169</v>
      </c>
      <c r="D165" s="2066"/>
      <c r="E165" s="2066"/>
      <c r="F165" s="2067" t="s">
        <v>2258</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2276</v>
      </c>
      <c r="D167" s="2031"/>
      <c r="E167" s="2031"/>
      <c r="F167" s="2031"/>
      <c r="G167" s="2031"/>
      <c r="H167" s="2031"/>
      <c r="I167" s="2031"/>
      <c r="J167" s="2031"/>
      <c r="K167" s="2031"/>
      <c r="L167" s="2031"/>
      <c r="M167" s="2031"/>
      <c r="N167" s="2040"/>
      <c r="O167" s="1208"/>
      <c r="P167" s="2041" t="s">
        <v>2275</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2274</v>
      </c>
      <c r="D168" s="2045"/>
      <c r="E168" s="2045"/>
      <c r="F168" s="2045"/>
      <c r="G168" s="2045"/>
      <c r="H168" s="2045"/>
      <c r="I168" s="2045" t="s">
        <v>2273</v>
      </c>
      <c r="J168" s="2045"/>
      <c r="K168" s="2045"/>
      <c r="L168" s="2045"/>
      <c r="M168" s="2045"/>
      <c r="N168" s="2046"/>
      <c r="O168" s="1208"/>
      <c r="P168" s="2047" t="s">
        <v>2272</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2271</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2269</v>
      </c>
      <c r="D179" s="2031"/>
      <c r="E179" s="2031"/>
      <c r="F179" s="2031"/>
      <c r="G179" s="2031"/>
      <c r="H179" s="2031"/>
      <c r="I179" s="2031"/>
      <c r="J179" s="2031"/>
      <c r="K179" s="2031"/>
      <c r="L179" s="2031"/>
      <c r="M179" s="2031"/>
      <c r="N179" s="2031" t="s">
        <v>2270</v>
      </c>
      <c r="O179" s="2031"/>
      <c r="P179" s="2031"/>
      <c r="Q179" s="2031"/>
      <c r="R179" s="2031"/>
      <c r="S179" s="2031"/>
      <c r="T179" s="2031"/>
      <c r="U179" s="2032" t="s">
        <v>2269</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2268</v>
      </c>
      <c r="D180" s="2010"/>
      <c r="E180" s="2010"/>
      <c r="F180" s="2010"/>
      <c r="G180" s="2010"/>
      <c r="H180" s="2010"/>
      <c r="I180" s="2010"/>
      <c r="J180" s="2010"/>
      <c r="K180" s="2010"/>
      <c r="L180" s="2010"/>
      <c r="M180" s="2010"/>
      <c r="N180" s="2020">
        <f>'Sources and Uses Budget'!B105</f>
        <v>105299829</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2267</v>
      </c>
      <c r="D181" s="2010"/>
      <c r="E181" s="2010"/>
      <c r="F181" s="2010"/>
      <c r="G181" s="2010"/>
      <c r="H181" s="2010"/>
      <c r="I181" s="2010"/>
      <c r="J181" s="2010"/>
      <c r="K181" s="2010"/>
      <c r="L181" s="2010"/>
      <c r="M181" s="2010"/>
      <c r="N181" s="2020">
        <f>N180/J29</f>
        <v>701998.86</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2266</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2265</v>
      </c>
      <c r="D183" s="2010"/>
      <c r="E183" s="2010"/>
      <c r="F183" s="2010"/>
      <c r="G183" s="2010"/>
      <c r="H183" s="2010"/>
      <c r="I183" s="2010"/>
      <c r="J183" s="2010"/>
      <c r="K183" s="2010"/>
      <c r="L183" s="2010"/>
      <c r="M183" s="2010"/>
      <c r="N183" s="2039">
        <f>SUM('Sources and Uses Budget'!B85:B86)</f>
        <v>7154048</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2264</v>
      </c>
      <c r="D184" s="2010"/>
      <c r="E184" s="2010"/>
      <c r="F184" s="2010"/>
      <c r="G184" s="2010"/>
      <c r="H184" s="2010"/>
      <c r="I184" s="2010"/>
      <c r="J184" s="2010"/>
      <c r="K184" s="2010"/>
      <c r="L184" s="2010"/>
      <c r="M184" s="2010"/>
      <c r="N184" s="2039">
        <f>'Sources and Uses Budget'!B8</f>
        <v>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2262</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2263</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2262</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2261</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2260</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299</v>
      </c>
      <c r="D187" s="2002"/>
      <c r="E187" s="1994" t="s">
        <v>2258</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2259</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299</v>
      </c>
      <c r="D188" s="1993"/>
      <c r="E188" s="1994" t="s">
        <v>2258</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299</v>
      </c>
      <c r="D189" s="1981"/>
      <c r="E189" s="1982" t="s">
        <v>2258</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2257</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2256</v>
      </c>
      <c r="D190" s="1964"/>
      <c r="E190" s="1964"/>
      <c r="F190" s="1964"/>
      <c r="G190" s="1964"/>
      <c r="H190" s="1964"/>
      <c r="I190" s="1964"/>
      <c r="J190" s="1964"/>
      <c r="K190" s="1964"/>
      <c r="L190" s="1964"/>
      <c r="M190" s="1964"/>
      <c r="N190" s="1965">
        <f>SUM(N182:T189)</f>
        <v>7154048</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2255</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2254</v>
      </c>
      <c r="D191" s="1974"/>
      <c r="E191" s="1974"/>
      <c r="F191" s="1974"/>
      <c r="G191" s="1974"/>
      <c r="H191" s="1974"/>
      <c r="I191" s="1974"/>
      <c r="J191" s="1974"/>
      <c r="K191" s="1974"/>
      <c r="L191" s="1974"/>
      <c r="M191" s="1974"/>
      <c r="N191" s="1975">
        <f>(N180-N190)/J29</f>
        <v>654305.20666666667</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2253</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2252</v>
      </c>
      <c r="D195" s="1961"/>
      <c r="E195" s="1961"/>
      <c r="F195" s="1961"/>
      <c r="G195" s="1961"/>
      <c r="H195" s="1961"/>
      <c r="I195" s="1961"/>
      <c r="J195" s="1961"/>
      <c r="K195" s="1961"/>
      <c r="L195" s="1961"/>
      <c r="M195" s="1961"/>
      <c r="N195" s="1961"/>
      <c r="O195" s="1962" t="s">
        <v>2251</v>
      </c>
      <c r="P195" s="1962"/>
      <c r="Q195" s="1962"/>
      <c r="R195" s="1962"/>
      <c r="S195" s="1962"/>
      <c r="T195" s="1962"/>
      <c r="U195" s="1962"/>
      <c r="V195" s="1962"/>
      <c r="W195" s="1962"/>
      <c r="X195" s="1962" t="s">
        <v>2250</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2249</v>
      </c>
      <c r="D196" s="1953"/>
      <c r="E196" s="1953"/>
      <c r="F196" s="1953"/>
      <c r="G196" s="1953"/>
      <c r="H196" s="1953"/>
      <c r="I196" s="1953"/>
      <c r="J196" s="1953"/>
      <c r="K196" s="1953"/>
      <c r="L196" s="1953"/>
      <c r="M196" s="1953"/>
      <c r="N196" s="1953"/>
      <c r="O196" s="1954" t="s">
        <v>2248</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852</v>
      </c>
      <c r="D197" s="1953"/>
      <c r="E197" s="1953"/>
      <c r="F197" s="1953"/>
      <c r="G197" s="1953"/>
      <c r="H197" s="1953"/>
      <c r="I197" s="1953"/>
      <c r="J197" s="1953"/>
      <c r="K197" s="1953"/>
      <c r="L197" s="1953"/>
      <c r="M197" s="1953"/>
      <c r="N197" s="1953"/>
      <c r="O197" s="1954" t="s">
        <v>2248</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2247</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2246</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2245</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2244</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2243</v>
      </c>
      <c r="D202" s="1932"/>
      <c r="E202" s="1932"/>
      <c r="F202" s="1933"/>
      <c r="G202" s="1937" t="s">
        <v>2242</v>
      </c>
      <c r="H202" s="1932"/>
      <c r="I202" s="1932"/>
      <c r="J202" s="1932"/>
      <c r="K202" s="1932"/>
      <c r="L202" s="1932"/>
      <c r="M202" s="1932"/>
      <c r="N202" s="1932"/>
      <c r="O202" s="1933"/>
      <c r="P202" s="1939" t="s">
        <v>2241</v>
      </c>
      <c r="Q202" s="1940"/>
      <c r="R202" s="1940"/>
      <c r="S202" s="1940"/>
      <c r="T202" s="1941"/>
      <c r="U202" s="1945" t="s">
        <v>2240</v>
      </c>
      <c r="V202" s="1946"/>
      <c r="W202" s="1946"/>
      <c r="X202" s="1947"/>
      <c r="Y202" s="1945" t="s">
        <v>2239</v>
      </c>
      <c r="Z202" s="1946"/>
      <c r="AA202" s="1946"/>
      <c r="AB202" s="1947"/>
      <c r="AC202" s="1945" t="s">
        <v>2238</v>
      </c>
      <c r="AD202" s="1946"/>
      <c r="AE202" s="1946"/>
      <c r="AF202" s="1947"/>
      <c r="AG202" s="1937" t="s">
        <v>2237</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1857</v>
      </c>
      <c r="H204" s="1922"/>
      <c r="I204" s="1922"/>
      <c r="J204" s="1922"/>
      <c r="K204" s="1922"/>
      <c r="L204" s="1922"/>
      <c r="M204" s="1922"/>
      <c r="N204" s="1922"/>
      <c r="O204" s="1922"/>
      <c r="P204" s="1923"/>
      <c r="Q204" s="1926"/>
      <c r="R204" s="1926"/>
      <c r="S204" s="1926"/>
      <c r="T204" s="1926"/>
      <c r="U204" s="1924" t="s">
        <v>1857</v>
      </c>
      <c r="V204" s="1924"/>
      <c r="W204" s="1924"/>
      <c r="X204" s="1924"/>
      <c r="Y204" s="1924" t="s">
        <v>1857</v>
      </c>
      <c r="Z204" s="1924"/>
      <c r="AA204" s="1924"/>
      <c r="AB204" s="1924"/>
      <c r="AC204" s="1925" t="s">
        <v>1857</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1857</v>
      </c>
      <c r="H205" s="1922"/>
      <c r="I205" s="1922"/>
      <c r="J205" s="1922"/>
      <c r="K205" s="1922"/>
      <c r="L205" s="1922"/>
      <c r="M205" s="1922"/>
      <c r="N205" s="1922"/>
      <c r="O205" s="1922"/>
      <c r="P205" s="1923"/>
      <c r="Q205" s="1923"/>
      <c r="R205" s="1923"/>
      <c r="S205" s="1923"/>
      <c r="T205" s="1923"/>
      <c r="U205" s="1924" t="s">
        <v>1857</v>
      </c>
      <c r="V205" s="1924"/>
      <c r="W205" s="1924"/>
      <c r="X205" s="1924"/>
      <c r="Y205" s="1924" t="s">
        <v>1857</v>
      </c>
      <c r="Z205" s="1924"/>
      <c r="AA205" s="1924"/>
      <c r="AB205" s="1924"/>
      <c r="AC205" s="1925" t="s">
        <v>1857</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1857</v>
      </c>
      <c r="H206" s="1922"/>
      <c r="I206" s="1922"/>
      <c r="J206" s="1922"/>
      <c r="K206" s="1922"/>
      <c r="L206" s="1922"/>
      <c r="M206" s="1922"/>
      <c r="N206" s="1922"/>
      <c r="O206" s="1922"/>
      <c r="P206" s="1923"/>
      <c r="Q206" s="1923"/>
      <c r="R206" s="1923"/>
      <c r="S206" s="1923"/>
      <c r="T206" s="1923"/>
      <c r="U206" s="1924" t="s">
        <v>1857</v>
      </c>
      <c r="V206" s="1924"/>
      <c r="W206" s="1924"/>
      <c r="X206" s="1924"/>
      <c r="Y206" s="1924" t="s">
        <v>1857</v>
      </c>
      <c r="Z206" s="1924"/>
      <c r="AA206" s="1924"/>
      <c r="AB206" s="1924"/>
      <c r="AC206" s="1925" t="s">
        <v>1857</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1857</v>
      </c>
      <c r="H207" s="1922"/>
      <c r="I207" s="1922"/>
      <c r="J207" s="1922"/>
      <c r="K207" s="1922"/>
      <c r="L207" s="1922"/>
      <c r="M207" s="1922"/>
      <c r="N207" s="1922"/>
      <c r="O207" s="1922"/>
      <c r="P207" s="1923"/>
      <c r="Q207" s="1923"/>
      <c r="R207" s="1923"/>
      <c r="S207" s="1923"/>
      <c r="T207" s="1923"/>
      <c r="U207" s="1924" t="s">
        <v>1857</v>
      </c>
      <c r="V207" s="1924"/>
      <c r="W207" s="1924"/>
      <c r="X207" s="1924"/>
      <c r="Y207" s="1924" t="s">
        <v>1857</v>
      </c>
      <c r="Z207" s="1924"/>
      <c r="AA207" s="1924"/>
      <c r="AB207" s="1924"/>
      <c r="AC207" s="1925" t="s">
        <v>1857</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1857</v>
      </c>
      <c r="H208" s="1922"/>
      <c r="I208" s="1922"/>
      <c r="J208" s="1922"/>
      <c r="K208" s="1922"/>
      <c r="L208" s="1922"/>
      <c r="M208" s="1922"/>
      <c r="N208" s="1922"/>
      <c r="O208" s="1922"/>
      <c r="P208" s="1923"/>
      <c r="Q208" s="1923"/>
      <c r="R208" s="1923"/>
      <c r="S208" s="1923"/>
      <c r="T208" s="1923"/>
      <c r="U208" s="1924" t="s">
        <v>1857</v>
      </c>
      <c r="V208" s="1924"/>
      <c r="W208" s="1924"/>
      <c r="X208" s="1924"/>
      <c r="Y208" s="1924" t="s">
        <v>1857</v>
      </c>
      <c r="Z208" s="1924"/>
      <c r="AA208" s="1924"/>
      <c r="AB208" s="1924"/>
      <c r="AC208" s="1925" t="s">
        <v>1857</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1857</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1857</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1857</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2236</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2234</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2233</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2232</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2231</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2229</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2228</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2227</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2226</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2225</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440</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2224</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2223</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Normal="100" workbookViewId="0">
      <selection activeCell="AJ58" sqref="AJ58"/>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6" t="s">
        <v>1278</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1236</v>
      </c>
    </row>
    <row r="7" spans="1:40" ht="12.9"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 customHeight="1">
      <c r="B11" s="2337" t="s">
        <v>374</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103844772</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 customHeight="1">
      <c r="B12" s="2352" t="s">
        <v>496</v>
      </c>
      <c r="C12" s="1293"/>
      <c r="D12" s="1293"/>
      <c r="E12" s="1293"/>
      <c r="F12" s="1293"/>
      <c r="G12" s="1293"/>
      <c r="H12" s="1293"/>
      <c r="I12" s="1293"/>
      <c r="J12" s="1293"/>
      <c r="K12" s="1293"/>
      <c r="L12" s="1293"/>
      <c r="M12" s="1293"/>
      <c r="N12" s="1293"/>
      <c r="O12" s="1293"/>
      <c r="P12" s="1293"/>
      <c r="Q12" s="1293"/>
      <c r="R12" s="1293"/>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 customHeight="1">
      <c r="B13" s="435"/>
      <c r="C13" s="2354" t="s">
        <v>497</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 customHeight="1">
      <c r="B14" s="435"/>
      <c r="C14" s="2354" t="s">
        <v>498</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 customHeight="1">
      <c r="B15" s="435"/>
      <c r="C15" s="2354" t="s">
        <v>499</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 customHeight="1">
      <c r="B16" s="435"/>
      <c r="C16" s="2354" t="s">
        <v>803</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 customHeight="1">
      <c r="B17" s="435"/>
      <c r="C17" s="2354" t="s">
        <v>500</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 customHeight="1">
      <c r="A18"/>
      <c r="B18" s="1144"/>
      <c r="C18" s="1812" t="s">
        <v>958</v>
      </c>
      <c r="D18" s="1812"/>
      <c r="E18" s="1812"/>
      <c r="F18" s="1812"/>
      <c r="G18" s="1812"/>
      <c r="H18" s="1812"/>
      <c r="I18" s="1812"/>
      <c r="J18" s="1812"/>
      <c r="K18" s="1812"/>
      <c r="L18" s="1812"/>
      <c r="M18" s="1812"/>
      <c r="N18" s="1812"/>
      <c r="O18" s="1812"/>
      <c r="P18" s="1812"/>
      <c r="Q18" s="1812"/>
      <c r="R18" s="1812"/>
      <c r="S18" s="1813"/>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 customHeight="1">
      <c r="B19" s="1144"/>
      <c r="C19" s="1812" t="s">
        <v>958</v>
      </c>
      <c r="D19" s="1812"/>
      <c r="E19" s="1812"/>
      <c r="F19" s="1812"/>
      <c r="G19" s="1812"/>
      <c r="H19" s="1812"/>
      <c r="I19" s="1812"/>
      <c r="J19" s="1812"/>
      <c r="K19" s="1812"/>
      <c r="L19" s="1812"/>
      <c r="M19" s="1812"/>
      <c r="N19" s="1812"/>
      <c r="O19" s="1812"/>
      <c r="P19" s="1812"/>
      <c r="Q19" s="1812"/>
      <c r="R19" s="1812"/>
      <c r="S19" s="1813"/>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 customHeight="1">
      <c r="B20" s="2337" t="s">
        <v>501</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 customHeight="1">
      <c r="B21" s="2337" t="s">
        <v>1261</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 customHeight="1">
      <c r="B22" s="2337" t="s">
        <v>502</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 customHeight="1">
      <c r="B23" s="2337" t="s">
        <v>503</v>
      </c>
      <c r="C23" s="2338"/>
      <c r="D23" s="2338"/>
      <c r="E23" s="2338"/>
      <c r="F23" s="2338"/>
      <c r="G23" s="2338"/>
      <c r="H23" s="2338"/>
      <c r="I23" s="2338"/>
      <c r="J23" s="2338"/>
      <c r="K23" s="2338"/>
      <c r="L23" s="2338"/>
      <c r="M23" s="2338"/>
      <c r="N23" s="2338"/>
      <c r="O23" s="2338"/>
      <c r="P23" s="2338"/>
      <c r="Q23" s="2338"/>
      <c r="R23" s="2338"/>
      <c r="S23" s="2339"/>
      <c r="T23" s="2330">
        <f>T11+T22</f>
        <v>103844772</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 customHeight="1">
      <c r="B24" s="2337" t="s">
        <v>959</v>
      </c>
      <c r="C24" s="2338"/>
      <c r="D24" s="2338"/>
      <c r="E24" s="2338"/>
      <c r="F24" s="2338"/>
      <c r="G24" s="2338"/>
      <c r="H24" s="2338"/>
      <c r="I24" s="2338"/>
      <c r="J24" s="2338"/>
      <c r="K24" s="2338"/>
      <c r="L24" s="2338"/>
      <c r="M24" s="2338"/>
      <c r="N24" s="2338"/>
      <c r="O24" s="2338"/>
      <c r="P24" s="2338"/>
      <c r="Q24" s="2338"/>
      <c r="R24" s="2338"/>
      <c r="S24" s="2339"/>
      <c r="T24" s="2332">
        <f>Application!AJ1062</f>
        <v>310634499.56</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 customHeight="1">
      <c r="B25" s="2341" t="s">
        <v>1262</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 customHeight="1">
      <c r="B26" s="2337" t="s">
        <v>504</v>
      </c>
      <c r="C26" s="2338"/>
      <c r="D26" s="2338"/>
      <c r="E26" s="2338"/>
      <c r="F26" s="2338"/>
      <c r="G26" s="2338"/>
      <c r="H26" s="2338"/>
      <c r="I26" s="2338"/>
      <c r="J26" s="2338"/>
      <c r="K26" s="2338"/>
      <c r="L26" s="2338"/>
      <c r="M26" s="2338"/>
      <c r="N26" s="2338"/>
      <c r="O26" s="2338"/>
      <c r="P26" s="2338"/>
      <c r="Q26" s="2338"/>
      <c r="R26" s="2338"/>
      <c r="S26" s="2339"/>
      <c r="T26" s="2330">
        <f>T23*T25</f>
        <v>134998203.59999999</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 customHeight="1">
      <c r="A27" s="410"/>
      <c r="B27" s="2344" t="s">
        <v>425</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30">
        <f>IF(ISERROR((T26*T27)),0,(T26*T27))</f>
        <v>134998203.59999999</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 customHeight="1">
      <c r="B29" s="2337" t="s">
        <v>522</v>
      </c>
      <c r="C29" s="2338"/>
      <c r="D29" s="2338"/>
      <c r="E29" s="2338"/>
      <c r="F29" s="2338"/>
      <c r="G29" s="2338"/>
      <c r="H29" s="2338"/>
      <c r="I29" s="2338"/>
      <c r="J29" s="2338"/>
      <c r="K29" s="2338"/>
      <c r="L29" s="2338"/>
      <c r="M29" s="2338"/>
      <c r="N29" s="2338"/>
      <c r="O29" s="2338"/>
      <c r="P29" s="2338"/>
      <c r="Q29" s="2338"/>
      <c r="R29" s="2338"/>
      <c r="S29" s="2339"/>
      <c r="T29" s="2332">
        <f>T28+Y28+AD28+AI28</f>
        <v>134998203.59999999</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 customHeight="1">
      <c r="B30" s="2340" t="s">
        <v>1264</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 customHeight="1">
      <c r="B31" s="2340" t="s">
        <v>1263</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1152</v>
      </c>
      <c r="Z35" s="2358"/>
      <c r="AA35" s="2358"/>
      <c r="AB35" s="2358"/>
      <c r="AC35" s="2358"/>
      <c r="AD35" s="2378" t="s">
        <v>368</v>
      </c>
      <c r="AE35" s="2378"/>
      <c r="AF35" s="2378"/>
      <c r="AG35" s="2378"/>
      <c r="AH35" s="2378"/>
    </row>
    <row r="36" spans="1:76" ht="12.9" customHeight="1">
      <c r="B36" s="407"/>
      <c r="X36" s="412"/>
      <c r="Y36" s="2358"/>
      <c r="Z36" s="2358"/>
      <c r="AA36" s="2358"/>
      <c r="AB36" s="2358"/>
      <c r="AC36" s="2358"/>
      <c r="AD36" s="2378"/>
      <c r="AE36" s="2378"/>
      <c r="AF36" s="2378"/>
      <c r="AG36" s="2378"/>
      <c r="AH36" s="2378"/>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134998203.59999999</v>
      </c>
      <c r="Z38" s="2331"/>
      <c r="AA38" s="2331"/>
      <c r="AB38" s="2331"/>
      <c r="AC38" s="2331"/>
      <c r="AD38" s="2331">
        <f>IF(T24&gt;=(T23+Y23+AD23+AI23),AD28+AI28,0)</f>
        <v>0</v>
      </c>
      <c r="AE38" s="2331"/>
      <c r="AF38" s="2331"/>
      <c r="AG38" s="2331"/>
      <c r="AH38" s="2331"/>
    </row>
    <row r="39" spans="1:76" ht="12.9" customHeight="1">
      <c r="B39" s="2337" t="s">
        <v>1678</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 customHeight="1">
      <c r="A40" s="404"/>
      <c r="B40" s="2337" t="s">
        <v>640</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5399928</v>
      </c>
      <c r="Z40" s="2331"/>
      <c r="AA40" s="2331"/>
      <c r="AB40" s="2331"/>
      <c r="AC40" s="2331"/>
      <c r="AD40" s="2330">
        <f>ROUND(AD38*AD39,0)</f>
        <v>0</v>
      </c>
      <c r="AE40" s="2331"/>
      <c r="AF40" s="2331"/>
      <c r="AG40" s="2331"/>
      <c r="AH40" s="2331"/>
    </row>
    <row r="41" spans="1:76" ht="12.9" customHeight="1">
      <c r="B41" s="2337" t="s">
        <v>641</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5399928</v>
      </c>
      <c r="Z41" s="2333"/>
      <c r="AA41" s="2333"/>
      <c r="AB41" s="2333"/>
      <c r="AC41" s="2333"/>
      <c r="AD41" s="2333"/>
      <c r="AE41" s="2333"/>
      <c r="AF41" s="2333"/>
      <c r="AG41" s="2333"/>
      <c r="AH41" s="2330"/>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5" t="s">
        <v>1274</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 customHeight="1" thickTop="1"/>
    <row r="46" spans="1:76" ht="12.9" customHeight="1">
      <c r="A46" s="404" t="s">
        <v>585</v>
      </c>
      <c r="C46" s="404" t="s">
        <v>281</v>
      </c>
    </row>
    <row r="47" spans="1:76" ht="12.9" customHeight="1">
      <c r="D47" s="404" t="s">
        <v>282</v>
      </c>
      <c r="AB47" s="2347">
        <f>'Sources and Uses Budget'!B105-MAX(IF('Sources and Uses Budget'!B15="",0,'Sources and Uses Budget'!B15),IF(Application!AG403="",0,Application!AG403))</f>
        <v>105299829</v>
      </c>
      <c r="AC47" s="2348"/>
      <c r="AD47" s="2348"/>
      <c r="AE47" s="2348"/>
      <c r="AF47" s="2349"/>
    </row>
    <row r="48" spans="1:76" ht="12.9" customHeight="1">
      <c r="D48" s="404" t="s">
        <v>21</v>
      </c>
      <c r="AB48" s="2347">
        <f>Application!AO647-MAX(IF('Sources and Uses Budget'!B15="",0,'Sources and Uses Budget'!B15),IF(Application!AG403="",0,Application!AG403))</f>
        <v>59944970</v>
      </c>
      <c r="AC48" s="2348"/>
      <c r="AD48" s="2348"/>
      <c r="AE48" s="2348"/>
      <c r="AF48" s="2349"/>
    </row>
    <row r="49" spans="1:76" ht="12.9" customHeight="1">
      <c r="D49" s="404" t="s">
        <v>91</v>
      </c>
      <c r="AB49" s="2347">
        <f>AB47-AB48</f>
        <v>45354859</v>
      </c>
      <c r="AC49" s="2348"/>
      <c r="AD49" s="2348"/>
      <c r="AE49" s="2348"/>
      <c r="AF49" s="2349"/>
    </row>
    <row r="50" spans="1:76" ht="12.9" customHeight="1">
      <c r="D50" s="404" t="s">
        <v>679</v>
      </c>
      <c r="AA50" s="415"/>
      <c r="AB50" s="2374">
        <f>0.9999*0.84</f>
        <v>0.839916</v>
      </c>
      <c r="AC50" s="2375"/>
      <c r="AD50" s="2375"/>
      <c r="AE50" s="2375"/>
      <c r="AF50" s="2376"/>
    </row>
    <row r="51" spans="1:76" s="417" customFormat="1" ht="12.9" customHeight="1">
      <c r="A51" s="402"/>
      <c r="B51" s="402"/>
      <c r="C51" s="402"/>
      <c r="D51" s="402"/>
      <c r="E51" s="2377" t="s">
        <v>2536</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47">
        <f>ROUND(IF(ISERROR((AB49/AB50)),0,(AB49/AB50)),0)</f>
        <v>53999280</v>
      </c>
      <c r="AC54" s="2348"/>
      <c r="AD54" s="2348"/>
      <c r="AE54" s="2348"/>
      <c r="AF54" s="2349"/>
    </row>
    <row r="55" spans="1:76" ht="12.9" customHeight="1">
      <c r="D55" s="404" t="s">
        <v>332</v>
      </c>
      <c r="AB55" s="2347">
        <f>(AB54/10)</f>
        <v>5399928</v>
      </c>
      <c r="AC55" s="2348"/>
      <c r="AD55" s="2348"/>
      <c r="AE55" s="2348"/>
      <c r="AF55" s="2349"/>
    </row>
    <row r="56" spans="1:76" ht="12.9" customHeight="1">
      <c r="D56" s="404" t="s">
        <v>754</v>
      </c>
      <c r="AB56" s="2347">
        <f>ROUND((IF((Y41&lt;AB55),Y41,AB55)),0)</f>
        <v>5399928</v>
      </c>
      <c r="AC56" s="2348"/>
      <c r="AD56" s="2348"/>
      <c r="AE56" s="2348"/>
      <c r="AF56" s="2349"/>
    </row>
    <row r="57" spans="1:76" ht="12.9" customHeight="1">
      <c r="D57" s="404" t="s">
        <v>753</v>
      </c>
      <c r="AB57" s="2347">
        <f>ROUND((10*AB56*AB50),0)</f>
        <v>45354859</v>
      </c>
      <c r="AC57" s="2348"/>
      <c r="AD57" s="2348"/>
      <c r="AE57" s="2348"/>
      <c r="AF57" s="2349"/>
    </row>
    <row r="58" spans="1:76" ht="12.9" customHeight="1">
      <c r="D58" s="404"/>
      <c r="AB58" s="423"/>
      <c r="AC58" s="423"/>
      <c r="AD58" s="423"/>
      <c r="AE58" s="423"/>
      <c r="AF58" s="423"/>
    </row>
    <row r="59" spans="1:76" ht="12.9" customHeight="1">
      <c r="D59" s="404" t="s">
        <v>752</v>
      </c>
      <c r="AB59" s="2370">
        <f>AB49-AB57</f>
        <v>0</v>
      </c>
      <c r="AC59" s="2370"/>
      <c r="AD59" s="2370"/>
      <c r="AE59" s="2370"/>
      <c r="AF59" s="2370"/>
    </row>
    <row r="60" spans="1:76" ht="12.9" customHeight="1">
      <c r="D60" s="404"/>
      <c r="AB60" s="423"/>
      <c r="AC60" s="423"/>
      <c r="AD60" s="423"/>
      <c r="AE60" s="423"/>
      <c r="AF60" s="423"/>
    </row>
    <row r="61" spans="1:76" s="204" customFormat="1" ht="12.9"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 customHeight="1" thickTop="1"/>
    <row r="63" spans="1:76" ht="12.9" customHeight="1">
      <c r="A63" s="404" t="s">
        <v>588</v>
      </c>
      <c r="C63" s="205" t="s">
        <v>1246</v>
      </c>
      <c r="Y63" s="2371" t="s">
        <v>982</v>
      </c>
      <c r="Z63" s="2371"/>
      <c r="AA63" s="2371"/>
      <c r="AB63" s="2371"/>
      <c r="AC63" s="2371"/>
      <c r="AD63" s="2371" t="s">
        <v>368</v>
      </c>
      <c r="AE63" s="2371"/>
      <c r="AF63" s="2371"/>
      <c r="AG63" s="2371"/>
      <c r="AH63" s="2371"/>
    </row>
    <row r="64" spans="1:76" ht="12.9"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0</v>
      </c>
      <c r="Z64" s="2372"/>
      <c r="AA64" s="2372"/>
      <c r="AB64" s="2372"/>
      <c r="AC64" s="2373"/>
      <c r="AD64" s="2332">
        <f>IF(AND(OR(Application!D211="At-Risk",Application!D211="At-Risk and Special Needs"),Application!M367="yes"),AD28+AI28,0)</f>
        <v>0</v>
      </c>
      <c r="AE64" s="2372"/>
      <c r="AF64" s="2372"/>
      <c r="AG64" s="2372"/>
      <c r="AH64" s="2373"/>
    </row>
    <row r="65" spans="1:37" ht="12.9"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v>
      </c>
      <c r="Z67" s="2385"/>
      <c r="AA67" s="2385"/>
      <c r="AB67" s="2385"/>
      <c r="AC67" s="2385"/>
      <c r="AD67" s="2385">
        <f>IF(Application!Z205="15% set-aside with qualifying low value rehab", 0.95,IF(OR(Application!D211="At-Risk",'Points System'!B26="Yes"),0.13,0))</f>
        <v>0</v>
      </c>
      <c r="AE67" s="2385"/>
      <c r="AF67" s="2385"/>
      <c r="AG67" s="2385"/>
      <c r="AH67" s="2385"/>
    </row>
    <row r="68" spans="1:37" ht="12.9" customHeight="1">
      <c r="C68" s="404"/>
      <c r="D68" s="205" t="s">
        <v>2178</v>
      </c>
      <c r="Y68" s="2331">
        <f>IF(AND(T25=1.3,OR(Y67=0.13,Y67=0.95),NOT(Application!T212&gt;=50%)),0,ROUND(Y64*Y67,0))</f>
        <v>0</v>
      </c>
      <c r="Z68" s="2386"/>
      <c r="AA68" s="2386"/>
      <c r="AB68" s="2386"/>
      <c r="AC68" s="2386"/>
      <c r="AD68" s="2331">
        <f>IF(AND(T25=1.3,AD67&gt;0,NOT(Application!T212&gt;=50%)),0,ROUND(AD64*AD67,0))</f>
        <v>0</v>
      </c>
      <c r="AE68" s="2386"/>
      <c r="AF68" s="2386"/>
      <c r="AG68" s="2386"/>
      <c r="AH68" s="2386"/>
      <c r="AK68" s="1192"/>
    </row>
    <row r="69" spans="1:37" ht="12.9" customHeight="1">
      <c r="C69" s="404"/>
      <c r="D69" s="205" t="s">
        <v>2179</v>
      </c>
      <c r="Y69" s="2331">
        <f>IF(OR(Application!Z205="State Farmworker Credit",Application!Z205="$500M (Farmworker Housing)"),Y68+AD68,MIN(Y68+AD68,200000*(Application!G761+Application!O785)))</f>
        <v>0</v>
      </c>
      <c r="Z69" s="2331"/>
      <c r="AA69" s="2331"/>
      <c r="AB69" s="2331"/>
      <c r="AC69" s="2331"/>
      <c r="AD69" s="2331"/>
      <c r="AE69" s="2331"/>
      <c r="AF69" s="2331"/>
      <c r="AG69" s="2331"/>
      <c r="AH69" s="2331"/>
    </row>
    <row r="70" spans="1:37" ht="12.9" customHeight="1">
      <c r="C70" s="404"/>
      <c r="E70" s="404"/>
      <c r="AB70" s="422"/>
      <c r="AC70" s="422"/>
      <c r="AD70" s="422"/>
      <c r="AE70" s="422"/>
      <c r="AF70" s="422"/>
    </row>
    <row r="71" spans="1:37" ht="12.9" customHeight="1">
      <c r="A71" s="404" t="s">
        <v>589</v>
      </c>
      <c r="C71" s="205" t="s">
        <v>283</v>
      </c>
    </row>
    <row r="72" spans="1:37" ht="12.9" customHeight="1">
      <c r="A72" s="404"/>
      <c r="C72" s="404"/>
      <c r="D72" s="205" t="s">
        <v>1248</v>
      </c>
      <c r="AB72" s="2374"/>
      <c r="AC72" s="2375"/>
      <c r="AD72" s="2375"/>
      <c r="AE72" s="2375"/>
      <c r="AF72" s="2376"/>
    </row>
    <row r="73" spans="1:37" ht="12.9" customHeight="1">
      <c r="A73" s="404"/>
      <c r="C73" s="404"/>
      <c r="D73" s="404"/>
      <c r="E73" s="2387" t="s">
        <v>1249</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1250</v>
      </c>
      <c r="AB77" s="2380">
        <f>ROUND(IF(ISERROR((AB59/AB72)),0,(AB59/AB72)),0)</f>
        <v>0</v>
      </c>
      <c r="AC77" s="2380"/>
      <c r="AD77" s="2380"/>
      <c r="AE77" s="2380"/>
      <c r="AF77" s="2380"/>
    </row>
    <row r="78" spans="1:37" ht="12.9" customHeight="1">
      <c r="C78" s="404"/>
      <c r="D78" s="205" t="s">
        <v>1251</v>
      </c>
      <c r="AB78" s="2381">
        <f>ROUNDUP(MIN(Y69,AB77),0)</f>
        <v>0</v>
      </c>
      <c r="AC78" s="2382"/>
      <c r="AD78" s="2382"/>
      <c r="AE78" s="2382"/>
      <c r="AF78" s="2383"/>
    </row>
    <row r="79" spans="1:37" ht="12.9" customHeight="1">
      <c r="C79" s="404"/>
      <c r="D79" s="205" t="s">
        <v>1252</v>
      </c>
      <c r="AB79" s="2384">
        <f>AB78*AB72</f>
        <v>0</v>
      </c>
      <c r="AC79" s="2384"/>
      <c r="AD79" s="2384"/>
      <c r="AE79" s="2384"/>
      <c r="AF79" s="2384"/>
    </row>
    <row r="80" spans="1:37" ht="12.9" customHeight="1">
      <c r="C80" s="404"/>
      <c r="D80" s="404"/>
      <c r="AB80" s="425"/>
      <c r="AC80" s="425"/>
      <c r="AD80" s="425"/>
      <c r="AE80" s="425"/>
      <c r="AF80" s="425"/>
    </row>
    <row r="81" spans="1:78" ht="12.9" customHeight="1">
      <c r="D81" s="404" t="s">
        <v>752</v>
      </c>
      <c r="AB81" s="2370">
        <f>AB49-(AB57+AB79)</f>
        <v>0</v>
      </c>
      <c r="AC81" s="2370"/>
      <c r="AD81" s="2370"/>
      <c r="AE81" s="2370"/>
      <c r="AF81" s="2370"/>
    </row>
    <row r="82" spans="1:78" ht="12.9" customHeight="1">
      <c r="F82" s="522"/>
      <c r="J82" s="522" t="str">
        <f>IF(AB81&gt;0,"FUNDING GAP MUST NOT EXCEED ZERO","")</f>
        <v/>
      </c>
    </row>
    <row r="83" spans="1:78" ht="12.9" customHeight="1">
      <c r="D83" s="523"/>
    </row>
    <row r="84" spans="1:78" ht="12.9"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 customHeight="1" thickTop="1"/>
    <row r="86" spans="1:78" ht="12.9" hidden="1" customHeight="1">
      <c r="A86" s="404"/>
      <c r="C86" s="205"/>
    </row>
    <row r="87" spans="1:78" ht="12.9" hidden="1" customHeight="1">
      <c r="D87" s="205"/>
      <c r="AB87" s="2336"/>
      <c r="AC87" s="2336"/>
      <c r="AD87" s="2336"/>
      <c r="AE87" s="2336"/>
      <c r="AF87" s="2336"/>
    </row>
    <row r="88" spans="1:78" ht="12.9"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Normal="100" workbookViewId="0">
      <selection sqref="A1:AM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19" t="s">
        <v>1297</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1301</v>
      </c>
      <c r="AF7" s="2448"/>
      <c r="AG7" s="2448"/>
      <c r="AH7" s="2448"/>
      <c r="AI7" s="2448"/>
      <c r="AJ7" s="2448"/>
      <c r="AK7" s="2448"/>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590</v>
      </c>
      <c r="C12" s="2590"/>
      <c r="D12" s="540"/>
      <c r="E12" s="2451" t="s">
        <v>2550</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590</v>
      </c>
      <c r="C16" s="2590"/>
      <c r="D16" s="540"/>
      <c r="E16" s="2451" t="s">
        <v>2551</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590</v>
      </c>
      <c r="C20" s="2590"/>
      <c r="D20" s="540"/>
      <c r="E20" s="2451" t="s">
        <v>1978</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590</v>
      </c>
      <c r="C26" s="2590"/>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590</v>
      </c>
      <c r="C30" s="2590"/>
      <c r="D30" s="546"/>
      <c r="E30" s="2623" t="s">
        <v>2558</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590</v>
      </c>
      <c r="C33" s="2590"/>
      <c r="D33" s="546"/>
      <c r="E33" s="2623" t="s">
        <v>2559</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1303</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590</v>
      </c>
      <c r="C37" s="2590"/>
      <c r="D37" s="1136"/>
      <c r="E37" s="2616" t="s">
        <v>2563</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590</v>
      </c>
      <c r="C39" s="2590"/>
      <c r="D39" s="1136"/>
      <c r="E39" s="2616" t="s">
        <v>2560</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590</v>
      </c>
      <c r="C43" s="2590"/>
      <c r="D43" s="546"/>
      <c r="E43" s="2591" t="s">
        <v>2562</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590</v>
      </c>
      <c r="C46" s="2590"/>
      <c r="D46" s="546"/>
      <c r="E46" s="2623" t="s">
        <v>2561</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590</v>
      </c>
      <c r="C49" s="2590"/>
      <c r="D49" s="546"/>
      <c r="E49" s="2451" t="s">
        <v>1992</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590</v>
      </c>
      <c r="C52" s="2590"/>
      <c r="D52" s="546"/>
      <c r="E52" s="2616" t="s">
        <v>2201</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590</v>
      </c>
      <c r="C56" s="2590"/>
      <c r="D56" s="546"/>
      <c r="E56" s="2451" t="s">
        <v>2564</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590</v>
      </c>
      <c r="C59" s="2590"/>
      <c r="D59" s="546"/>
      <c r="E59" s="2616" t="s">
        <v>2565</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1306</v>
      </c>
      <c r="AF64" s="2448"/>
      <c r="AG64" s="2448"/>
      <c r="AH64" s="2448"/>
      <c r="AI64" s="2448"/>
      <c r="AJ64" s="2448"/>
      <c r="AK64" s="2448"/>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590</v>
      </c>
      <c r="C67" s="2590"/>
      <c r="D67" s="546" t="s">
        <v>1307</v>
      </c>
      <c r="E67" s="2591" t="s">
        <v>1979</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10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544</v>
      </c>
      <c r="C73" s="2590"/>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544</v>
      </c>
      <c r="F74" s="2590"/>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590</v>
      </c>
      <c r="F75" s="2637"/>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590</v>
      </c>
      <c r="F76" s="2637"/>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590</v>
      </c>
      <c r="C78" s="2590"/>
      <c r="D78" s="546" t="s">
        <v>1312</v>
      </c>
      <c r="E78" s="2451" t="s">
        <v>1727</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590</v>
      </c>
      <c r="C81" s="2590"/>
      <c r="D81" s="546" t="s">
        <v>1459</v>
      </c>
      <c r="E81" s="2616" t="s">
        <v>1725</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1301</v>
      </c>
      <c r="AF86" s="2448"/>
      <c r="AG86" s="2448"/>
      <c r="AH86" s="2448"/>
      <c r="AI86" s="2448"/>
      <c r="AJ86" s="2448"/>
      <c r="AK86" s="2448"/>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590</v>
      </c>
      <c r="C89" s="2590"/>
      <c r="D89" s="546" t="s">
        <v>1307</v>
      </c>
      <c r="E89" s="2591" t="s">
        <v>1317</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0.41208053691275154</v>
      </c>
      <c r="F92" s="2604"/>
      <c r="G92" s="2604"/>
      <c r="H92" s="2604"/>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0.18</v>
      </c>
      <c r="F93" s="2422"/>
      <c r="G93" s="2422"/>
      <c r="H93" s="2422"/>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20</v>
      </c>
      <c r="F94" s="2615"/>
      <c r="G94" s="2615"/>
      <c r="H94" s="2615"/>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544</v>
      </c>
      <c r="C97" s="2590"/>
      <c r="D97" s="546" t="s">
        <v>1309</v>
      </c>
      <c r="E97" s="2591" t="s">
        <v>1712</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0.41208053691275154</v>
      </c>
      <c r="F102" s="2604"/>
      <c r="G102" s="2604"/>
      <c r="H102" s="2604"/>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0.49664429530201343</v>
      </c>
      <c r="F103" s="2604"/>
      <c r="G103" s="2604"/>
      <c r="H103" s="2604"/>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0.38926174496644295</v>
      </c>
      <c r="F104" s="2604"/>
      <c r="G104" s="2604"/>
      <c r="H104" s="2604"/>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1306</v>
      </c>
      <c r="AF111" s="2448"/>
      <c r="AG111" s="2448"/>
      <c r="AH111" s="2448"/>
      <c r="AI111" s="2448"/>
      <c r="AJ111" s="2448"/>
      <c r="AK111" s="2448"/>
      <c r="AL111" s="540"/>
      <c r="AM111" s="540"/>
      <c r="AN111" s="535"/>
      <c r="AO111" s="536" t="str">
        <f>Application!B726</f>
        <v>SRO/Studio</v>
      </c>
      <c r="AQ111" s="536">
        <f>Application!O726</f>
        <v>772</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1331</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1611</v>
      </c>
    </row>
    <row r="114" spans="1:52" s="536" customFormat="1" ht="12.75" customHeight="1">
      <c r="A114" s="540"/>
      <c r="B114" s="2590" t="s">
        <v>544</v>
      </c>
      <c r="C114" s="2590"/>
      <c r="D114" s="546" t="s">
        <v>1307</v>
      </c>
      <c r="E114" s="2591" t="s">
        <v>2567</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1 Bedroom</v>
      </c>
      <c r="AQ114" s="536">
        <f>Application!O729</f>
        <v>818</v>
      </c>
      <c r="AU114" s="536" t="s">
        <v>1815</v>
      </c>
      <c r="AV114" s="593" t="s">
        <v>1816</v>
      </c>
      <c r="AW114" s="536" t="s">
        <v>1817</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1 Bedroom</v>
      </c>
      <c r="AQ115" s="536">
        <f>Application!O730</f>
        <v>1417</v>
      </c>
      <c r="AU115" s="852" t="str">
        <f>E123</f>
        <v>Studio/SRO</v>
      </c>
      <c r="AV115" s="536">
        <f t="array" ref="AV115">SUM(IF(Application!B726:F760="SRO/Studio",Application!G726:J760))</f>
        <v>22</v>
      </c>
      <c r="AW115" s="1006">
        <f>AV115/AV121</f>
        <v>0.1476510067114094</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1 Bedroom</v>
      </c>
      <c r="AQ116" s="536">
        <f>Application!O731</f>
        <v>1717</v>
      </c>
      <c r="AU116" s="852" t="str">
        <f>J123</f>
        <v>1-bedroom</v>
      </c>
      <c r="AV116" s="536">
        <f t="array" ref="AV116">SUM(IF(Application!B726:F760="1 Bedroom",Application!G726:J760))</f>
        <v>10</v>
      </c>
      <c r="AW116" s="1006">
        <f>AV116/AV121</f>
        <v>6.7114093959731544E-2</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2 Bedrooms</v>
      </c>
      <c r="AQ117" s="536">
        <f>Application!O732</f>
        <v>966</v>
      </c>
      <c r="AU117" s="852" t="str">
        <f>O123</f>
        <v>2-bedroom</v>
      </c>
      <c r="AV117" s="536">
        <f t="array" ref="AV117">SUM(IF(Application!B726:F760="2 Bedrooms",Application!G726:J760))</f>
        <v>68</v>
      </c>
      <c r="AW117" s="1006">
        <f>AV117/AV121</f>
        <v>0.4563758389261745</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2 Bedrooms</v>
      </c>
      <c r="AQ118" s="536">
        <f>Application!O733</f>
        <v>1685</v>
      </c>
      <c r="AU118" s="852" t="str">
        <f>T123</f>
        <v>3-bedroom</v>
      </c>
      <c r="AV118" s="536">
        <f t="array" ref="AV118">SUM(IF(Application!B726:F760="3 Bedrooms",Application!G726:J760))</f>
        <v>49</v>
      </c>
      <c r="AW118" s="1006">
        <f>AV118/AV121</f>
        <v>0.32885906040268459</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2 Bedrooms</v>
      </c>
      <c r="AQ119" s="536">
        <f>Application!O734</f>
        <v>2045</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t="str">
        <f>Application!B735</f>
        <v>3 Bedrooms</v>
      </c>
      <c r="AQ120" s="536">
        <f>Application!O735</f>
        <v>1104</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t="str">
        <f>Application!B736</f>
        <v>3 Bedrooms</v>
      </c>
      <c r="AQ121" s="536">
        <f>Application!O736</f>
        <v>1935</v>
      </c>
      <c r="AV121" s="536">
        <f>SUM(AV115:AV120)</f>
        <v>149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2351</v>
      </c>
    </row>
    <row r="123" spans="1:52" s="536" customFormat="1" ht="12.75" customHeight="1">
      <c r="A123" s="540"/>
      <c r="B123" s="539"/>
      <c r="C123" s="540"/>
      <c r="D123" s="540"/>
      <c r="E123" s="2603" t="s">
        <v>1575</v>
      </c>
      <c r="F123" s="2604"/>
      <c r="G123" s="2604"/>
      <c r="H123" s="2604"/>
      <c r="I123" s="575"/>
      <c r="J123" s="2604" t="s">
        <v>1618</v>
      </c>
      <c r="K123" s="2604"/>
      <c r="L123" s="2604"/>
      <c r="M123" s="2604"/>
      <c r="N123" s="575"/>
      <c r="O123" s="2604" t="s">
        <v>1619</v>
      </c>
      <c r="P123" s="2604"/>
      <c r="Q123" s="2604"/>
      <c r="R123" s="2604"/>
      <c r="S123" s="575"/>
      <c r="T123" s="2604" t="s">
        <v>1326</v>
      </c>
      <c r="U123" s="2604"/>
      <c r="V123" s="2604"/>
      <c r="W123" s="2604"/>
      <c r="X123" s="575"/>
      <c r="Y123" s="2604" t="s">
        <v>1620</v>
      </c>
      <c r="Z123" s="2604"/>
      <c r="AA123" s="2604"/>
      <c r="AB123" s="2604"/>
      <c r="AC123" s="575"/>
      <c r="AD123" s="2604" t="s">
        <v>1621</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v>1897</v>
      </c>
      <c r="F126" s="2606"/>
      <c r="G126" s="2606"/>
      <c r="H126" s="2606"/>
      <c r="I126" s="860"/>
      <c r="J126" s="2606">
        <v>1911</v>
      </c>
      <c r="K126" s="2606"/>
      <c r="L126" s="2606"/>
      <c r="M126" s="2606"/>
      <c r="N126" s="860"/>
      <c r="O126" s="2606">
        <v>2317</v>
      </c>
      <c r="P126" s="2606"/>
      <c r="Q126" s="2606"/>
      <c r="R126" s="2606"/>
      <c r="S126" s="860"/>
      <c r="T126" s="2606">
        <v>3360</v>
      </c>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835.5454545454545</v>
      </c>
      <c r="F129" s="2613"/>
      <c r="G129" s="2613"/>
      <c r="H129" s="2613"/>
      <c r="I129" s="860"/>
      <c r="J129" s="2613">
        <f>Application!EC678</f>
        <v>967.80000000000018</v>
      </c>
      <c r="K129" s="2613"/>
      <c r="L129" s="2613"/>
      <c r="M129" s="2613"/>
      <c r="N129" s="860"/>
      <c r="O129" s="2613">
        <f>Application!EH678</f>
        <v>1378.4264705882351</v>
      </c>
      <c r="P129" s="2613"/>
      <c r="Q129" s="2613"/>
      <c r="R129" s="2613"/>
      <c r="S129" s="864"/>
      <c r="T129" s="2613">
        <f>Application!EM678</f>
        <v>1773.9591836734694</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f>(E126-E129)/E126</f>
        <v>0.55954377725595439</v>
      </c>
      <c r="F132" s="2422"/>
      <c r="G132" s="2422"/>
      <c r="H132" s="2423"/>
      <c r="I132" s="575"/>
      <c r="J132" s="2421">
        <f>(J126-J129)/J126</f>
        <v>0.49356357927786487</v>
      </c>
      <c r="K132" s="2422"/>
      <c r="L132" s="2422"/>
      <c r="M132" s="2423"/>
      <c r="N132" s="575"/>
      <c r="O132" s="2421">
        <f>(O126-O129)/O126</f>
        <v>0.40508136789458993</v>
      </c>
      <c r="P132" s="2422"/>
      <c r="Q132" s="2422"/>
      <c r="R132" s="2423"/>
      <c r="S132" s="575"/>
      <c r="T132" s="2421">
        <f>(T126-T129)/T126</f>
        <v>0.47203595724003888</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f>IF(((E132-0.1)*AW115)&gt;0,((E132-0.1)*AW115),0)</f>
        <v>6.7852101339805349E-2</v>
      </c>
      <c r="F135" s="2611"/>
      <c r="G135" s="2611"/>
      <c r="H135" s="2612"/>
      <c r="I135" s="575"/>
      <c r="J135" s="2610">
        <f>IF(((J132-0.1)*AW116)&gt;0,((J132-0.1)*AW116),0)</f>
        <v>2.641366303878288E-2</v>
      </c>
      <c r="K135" s="2611"/>
      <c r="L135" s="2611"/>
      <c r="M135" s="2612"/>
      <c r="N135" s="575"/>
      <c r="O135" s="2610">
        <f>IF(((O132-0.1)*AW117)&gt;0,((O132-0.1)*AW117),0)</f>
        <v>0.13923176521363836</v>
      </c>
      <c r="P135" s="2611"/>
      <c r="Q135" s="2611"/>
      <c r="R135" s="2612"/>
      <c r="S135" s="575"/>
      <c r="T135" s="2610">
        <f>IF(((T132-0.1)*AW118)&gt;0,((T132-0.1)*AW118),0)</f>
        <v>0.12234739533397254</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0.35</v>
      </c>
      <c r="F137" s="2422"/>
      <c r="G137" s="2422"/>
      <c r="H137" s="2423"/>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48" t="s">
        <v>1306</v>
      </c>
      <c r="AF145" s="2448"/>
      <c r="AG145" s="2448"/>
      <c r="AH145" s="2448"/>
      <c r="AI145" s="2448"/>
      <c r="AJ145" s="2448"/>
      <c r="AK145" s="2448"/>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1330</v>
      </c>
      <c r="AG147" s="2389"/>
      <c r="AH147" s="2389"/>
      <c r="AI147" s="2389"/>
      <c r="AJ147" s="2389"/>
      <c r="AK147" s="2389"/>
      <c r="AL147" s="238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2646</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87" t="s">
        <v>1333</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1333</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1334</v>
      </c>
      <c r="AB154" s="2396" t="s">
        <v>590</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87" t="s">
        <v>1335</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2406</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2407</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2405</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590</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1344</v>
      </c>
      <c r="AG167" s="2389"/>
      <c r="AH167" s="2389"/>
      <c r="AI167" s="2389"/>
      <c r="AJ167" s="2389"/>
      <c r="AK167" s="2389"/>
      <c r="AL167" s="2389"/>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1342</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590</v>
      </c>
      <c r="AG171" s="2396"/>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7" t="s">
        <v>1335</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88" t="str">
        <f>Application!AA344</f>
        <v>ConAm Management Corporation</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1306</v>
      </c>
      <c r="AF185" s="2448"/>
      <c r="AG185" s="2448"/>
      <c r="AH185" s="2448"/>
      <c r="AI185" s="2448"/>
      <c r="AJ185" s="2448"/>
      <c r="AK185" s="2448"/>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5" t="s">
        <v>1039</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1355</v>
      </c>
      <c r="AG187" s="2389"/>
      <c r="AH187" s="2389"/>
      <c r="AI187" s="2389"/>
      <c r="AJ187" s="2389"/>
      <c r="AK187" s="2389"/>
      <c r="AL187" s="2389"/>
      <c r="AN187" s="595"/>
      <c r="AP187" s="549" t="s">
        <v>1041</v>
      </c>
      <c r="AQ187" s="549">
        <v>10</v>
      </c>
    </row>
    <row r="188" spans="1:73" s="549" customFormat="1" ht="12.75" customHeight="1">
      <c r="A188" s="536"/>
      <c r="B188" s="2395" t="s">
        <v>1713</v>
      </c>
      <c r="C188" s="2395"/>
      <c r="D188" s="2395"/>
      <c r="E188" s="2395"/>
      <c r="F188" s="2395"/>
      <c r="G188" s="2395"/>
      <c r="H188" s="2395"/>
      <c r="I188" s="2395"/>
      <c r="J188" s="2395"/>
      <c r="K188" s="2395"/>
      <c r="L188" s="2395"/>
      <c r="M188" s="2395"/>
      <c r="N188" s="2395"/>
      <c r="O188" s="2395"/>
      <c r="P188" s="2395"/>
      <c r="Q188" s="2395"/>
      <c r="R188" s="2395"/>
      <c r="S188" s="2395"/>
      <c r="T188" s="2586" t="s">
        <v>590</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91">
        <f>IF(AK83&gt;0,VLOOKUP($B$187,AP184:AQ190,2,FALSE),0)</f>
        <v>10</v>
      </c>
      <c r="AL190" s="2437"/>
      <c r="AM190" s="2392"/>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1363</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1614</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1577</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1594</v>
      </c>
      <c r="J221" s="2599"/>
      <c r="K221" s="2599"/>
      <c r="L221" s="536"/>
      <c r="M221" s="536"/>
      <c r="N221" s="536"/>
      <c r="O221" s="536"/>
      <c r="P221" s="536"/>
      <c r="Q221" s="536"/>
      <c r="R221" s="536"/>
      <c r="S221" s="536"/>
      <c r="T221" s="2425" t="s">
        <v>1588</v>
      </c>
      <c r="U221" s="2425"/>
      <c r="V221" s="2425"/>
      <c r="W221" s="2425"/>
      <c r="X221" s="2425"/>
      <c r="Y221" s="2425"/>
      <c r="Z221" s="845"/>
      <c r="AA221" s="489"/>
      <c r="AB221" s="2589" t="s">
        <v>1589</v>
      </c>
      <c r="AC221" s="2589"/>
      <c r="AD221" s="2589"/>
      <c r="AE221" s="2589"/>
      <c r="AF221" s="2589"/>
      <c r="AG221" s="2589"/>
      <c r="AH221" s="823"/>
      <c r="AI221" s="823"/>
      <c r="AJ221" s="823"/>
      <c r="AK221" s="608"/>
    </row>
    <row r="222" spans="1:37" hidden="1">
      <c r="A222" s="603"/>
      <c r="B222" s="2597" t="s">
        <v>1574</v>
      </c>
      <c r="C222" s="2597"/>
      <c r="D222" s="2597"/>
      <c r="E222" s="2597"/>
      <c r="F222" s="2597"/>
      <c r="G222" s="2597"/>
      <c r="I222" s="2598" t="s">
        <v>1595</v>
      </c>
      <c r="J222" s="2598"/>
      <c r="K222" s="2598"/>
      <c r="L222" s="1003"/>
      <c r="N222" s="2412" t="s">
        <v>1590</v>
      </c>
      <c r="O222" s="2412"/>
      <c r="P222" s="2412"/>
      <c r="Q222" s="2412"/>
      <c r="R222" s="2412"/>
      <c r="T222" s="2412" t="s">
        <v>1591</v>
      </c>
      <c r="U222" s="2412"/>
      <c r="V222" s="2412"/>
      <c r="W222" s="2412"/>
      <c r="X222" s="2412"/>
      <c r="Y222" s="2412"/>
      <c r="Z222" s="846"/>
      <c r="AA222" s="489"/>
      <c r="AB222" s="2468" t="s">
        <v>1592</v>
      </c>
      <c r="AC222" s="2468"/>
      <c r="AD222" s="2468"/>
      <c r="AE222" s="2468"/>
      <c r="AF222" s="2468"/>
      <c r="AG222" s="2468"/>
      <c r="AH222" s="823"/>
      <c r="AI222" s="823"/>
      <c r="AJ222" s="823"/>
      <c r="AK222" s="608"/>
    </row>
    <row r="223" spans="1:37" hidden="1">
      <c r="A223" s="603"/>
      <c r="B223" s="2469" t="s">
        <v>1182</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1182</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1182</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1182</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1182</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1182</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1182</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1182</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1182</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1182</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105299829</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59">
        <f>IFERROR(IF(AG269=0,0,IF((AG269*100)&gt;8,8,(AG269*100))),0)</f>
        <v>0</v>
      </c>
      <c r="AL272" s="2559"/>
      <c r="AM272" s="2560"/>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10" t="s">
        <v>544</v>
      </c>
      <c r="D279" s="2410"/>
      <c r="E279" s="546"/>
      <c r="F279" s="2397" t="s">
        <v>2568</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1355</v>
      </c>
      <c r="AH279" s="2567"/>
      <c r="AI279" s="2567"/>
      <c r="AJ279" s="2567"/>
      <c r="AK279" s="549"/>
      <c r="AL279" s="549"/>
      <c r="AM279" s="549"/>
      <c r="AO279" s="549"/>
    </row>
    <row r="280" spans="1:52" ht="13.65"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65"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65"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65"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65"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2575</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59">
        <f>IF($C$279="yes",10,0)</f>
        <v>10</v>
      </c>
      <c r="AL298" s="2559"/>
      <c r="AM298" s="2560"/>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2569</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5" t="s">
        <v>1372</v>
      </c>
      <c r="B305" s="1635"/>
      <c r="C305" s="2396" t="s">
        <v>590</v>
      </c>
      <c r="D305" s="2410"/>
      <c r="E305" s="546"/>
      <c r="F305" s="2561" t="s">
        <v>1373</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1980</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0" t="s">
        <v>1985</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1374</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1375</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5" t="s">
        <v>1376</v>
      </c>
      <c r="B315" s="1635"/>
      <c r="C315" s="2410" t="s">
        <v>544</v>
      </c>
      <c r="D315" s="2410"/>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30" t="s">
        <v>1981</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5" t="s">
        <v>1379</v>
      </c>
      <c r="B323" s="1635"/>
      <c r="C323" s="2410" t="s">
        <v>590</v>
      </c>
      <c r="D323" s="2410"/>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30" t="s">
        <v>1986</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1182</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1182</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44" t="s">
        <v>1182</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4" t="s">
        <v>1182</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35" t="s">
        <v>1382</v>
      </c>
      <c r="B346" s="1635"/>
      <c r="C346" s="2410" t="s">
        <v>590</v>
      </c>
      <c r="D346" s="2410"/>
      <c r="E346" s="546"/>
      <c r="F346" s="2451" t="s">
        <v>1987</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391">
        <f>IF(NOT(OR(Application!M364="Yes",Application!M365="Yes")),0,AP308)</f>
        <v>9</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48" t="s">
        <v>1306</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1443</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5"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2047</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2161</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1444</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2"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1445</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1446</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580</v>
      </c>
      <c r="AP374" s="692">
        <f>IF(C420="Yes",5,0)</f>
        <v>0</v>
      </c>
      <c r="AS374" s="539" t="s">
        <v>1851</v>
      </c>
    </row>
    <row r="375" spans="1:46" s="549" customFormat="1" ht="12.75" customHeight="1">
      <c r="A375" s="601"/>
      <c r="B375" s="609"/>
      <c r="C375" s="2528" t="s">
        <v>2185</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761</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583</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45"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226</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9" t="s">
        <v>1447</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455</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460</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644</v>
      </c>
      <c r="AP384" s="697">
        <f>IF(C466="Yes",5,0)</f>
        <v>0</v>
      </c>
    </row>
    <row r="385" spans="1:81" s="549" customFormat="1" ht="12.45"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0">
        <f>Application!DU810-U387</f>
        <v>315</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2">
        <f>IF(AP388&gt;0,AP388,0)</f>
        <v>0</v>
      </c>
      <c r="AR388" s="2462"/>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38" t="s">
        <v>1449</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590</v>
      </c>
      <c r="D394" s="2410"/>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1451</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38" t="s">
        <v>1452</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590</v>
      </c>
      <c r="D402" s="2410"/>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1451</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38" t="s">
        <v>1454</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544</v>
      </c>
      <c r="D410" s="2410"/>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1456</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590</v>
      </c>
      <c r="D412" s="2410"/>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1451</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38" t="s">
        <v>1460</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590</v>
      </c>
      <c r="D420" s="2410"/>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1451</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544</v>
      </c>
      <c r="D422" s="2410"/>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1463</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590</v>
      </c>
      <c r="D425" s="2410"/>
      <c r="E425" s="711" t="s">
        <v>1464</v>
      </c>
      <c r="F425" s="2438" t="s">
        <v>1465</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1451</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38" t="s">
        <v>1467</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590</v>
      </c>
      <c r="D434" s="2410"/>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1451</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590</v>
      </c>
      <c r="D436" s="2410"/>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1463</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38" t="s">
        <v>1471</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5"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590</v>
      </c>
      <c r="D443" s="2410"/>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1451</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1473</v>
      </c>
      <c r="F446" s="2438" t="s">
        <v>1474</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590</v>
      </c>
      <c r="D455" s="2410"/>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1451</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38" t="s">
        <v>1477</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590</v>
      </c>
      <c r="D462" s="2410"/>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1451</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590</v>
      </c>
      <c r="D466" s="2549"/>
      <c r="E466" s="711" t="s">
        <v>1486</v>
      </c>
      <c r="F466" s="2438" t="s">
        <v>1487</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1451</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7"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590</v>
      </c>
      <c r="D470" s="2410"/>
      <c r="E470" s="711" t="s">
        <v>1492</v>
      </c>
      <c r="F470" s="2438" t="s">
        <v>1493</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1451</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38" t="s">
        <v>1496</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590</v>
      </c>
      <c r="D479" s="2410"/>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1451</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64" t="s">
        <v>1500</v>
      </c>
      <c r="AF485" s="2464"/>
      <c r="AG485" s="2464"/>
      <c r="AH485" s="2464"/>
      <c r="AI485" s="2464"/>
      <c r="AJ485" s="2464"/>
      <c r="AK485" s="2464"/>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3" t="s">
        <v>590</v>
      </c>
      <c r="D491" s="2414"/>
      <c r="E491" s="757" t="s">
        <v>506</v>
      </c>
      <c r="F491" s="2449" t="s">
        <v>1506</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47" t="s">
        <v>590</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6" t="s">
        <v>544</v>
      </c>
      <c r="D495" s="2417"/>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46" t="s">
        <v>590</v>
      </c>
      <c r="W498" s="2446"/>
      <c r="X498" s="2446"/>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46" t="s">
        <v>590</v>
      </c>
      <c r="W500" s="2446"/>
      <c r="X500" s="2446"/>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46" t="s">
        <v>590</v>
      </c>
      <c r="W505" s="2446"/>
      <c r="X505" s="2446"/>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5"/>
      <c r="E508" s="2415"/>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46" t="s">
        <v>590</v>
      </c>
      <c r="W509" s="2446"/>
      <c r="X509" s="2446"/>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46" t="s">
        <v>590</v>
      </c>
      <c r="W511" s="2446"/>
      <c r="X511" s="2446"/>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590</v>
      </c>
      <c r="D514" s="2414"/>
      <c r="E514" s="757" t="s">
        <v>506</v>
      </c>
      <c r="F514" s="2449" t="s">
        <v>1506</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590</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590</v>
      </c>
      <c r="D518" s="2414"/>
      <c r="E518" s="757" t="s">
        <v>755</v>
      </c>
      <c r="F518" s="2443" t="s">
        <v>1528</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590</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590</v>
      </c>
      <c r="D523" s="2414"/>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590</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590</v>
      </c>
      <c r="D528" s="2474"/>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590</v>
      </c>
      <c r="D532" s="2474"/>
      <c r="F532" s="791" t="s">
        <v>1536</v>
      </c>
      <c r="G532" s="2439" t="s">
        <v>1537</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590</v>
      </c>
      <c r="D536" s="2476"/>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590</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1549</v>
      </c>
      <c r="AF551" s="2448"/>
      <c r="AG551" s="2448"/>
      <c r="AH551" s="2448"/>
      <c r="AI551" s="2448"/>
      <c r="AJ551" s="2448"/>
      <c r="AK551" s="2448"/>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544</v>
      </c>
      <c r="D554" s="2410"/>
      <c r="E554" s="550"/>
      <c r="F554" s="2550" t="s">
        <v>1550</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590</v>
      </c>
      <c r="D557" s="2410"/>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2628</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1552</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106461696</v>
      </c>
      <c r="AQ563" s="2429"/>
      <c r="AR563" s="2429"/>
      <c r="AS563" s="549" t="s">
        <v>2123</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103844772</v>
      </c>
      <c r="AG564" s="2434"/>
      <c r="AH564" s="2434"/>
      <c r="AI564" s="2434"/>
      <c r="AJ564" s="2434"/>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251015949.80000001</v>
      </c>
      <c r="AG565" s="2435"/>
      <c r="AH565" s="2435"/>
      <c r="AI565" s="2435"/>
      <c r="AJ565" s="2435"/>
      <c r="AK565" s="593"/>
      <c r="AL565" s="593"/>
      <c r="AM565" s="593"/>
      <c r="AN565" s="595"/>
      <c r="AP565" s="2429">
        <f>Application!AJ1054</f>
        <v>40455444.480000004</v>
      </c>
      <c r="AQ565" s="2429"/>
      <c r="AR565" s="2429"/>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0.57999999999999996</v>
      </c>
      <c r="AG566" s="2436"/>
      <c r="AH566" s="2436"/>
      <c r="AI566" s="2436"/>
      <c r="AJ566" s="2436"/>
      <c r="AK566" s="593"/>
      <c r="AL566" s="593"/>
      <c r="AM566" s="593"/>
      <c r="AN566" s="595"/>
      <c r="AP566" s="2427">
        <f>Application!AJ1058</f>
        <v>104332462.08</v>
      </c>
      <c r="AQ566" s="2427"/>
      <c r="AR566" s="2427"/>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0.8</v>
      </c>
      <c r="AQ567" s="2457"/>
      <c r="AR567" s="2457"/>
      <c r="AS567" s="549" t="s">
        <v>2125</v>
      </c>
    </row>
    <row r="568" spans="1:45" s="549" customFormat="1" ht="12.75" customHeight="1">
      <c r="A568" s="622"/>
      <c r="B568" s="2507" t="s">
        <v>1991</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165846593</v>
      </c>
      <c r="AQ569" s="2458"/>
      <c r="AR569" s="2458"/>
      <c r="AS569" s="549" t="s">
        <v>2127</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310634499.56</v>
      </c>
      <c r="AQ570" s="2429"/>
      <c r="AR570" s="2429"/>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16">
        <f>IFERROR(IF(AND(C554="N/A",C557="N/A"),0,IF(AF566=0,0,IF((AF566*100)&gt;12,12,(AF566*100)))),0)</f>
        <v>12</v>
      </c>
      <c r="AL572" s="2516"/>
      <c r="AM572" s="2517"/>
      <c r="AN572" s="595"/>
      <c r="AP572" s="2418">
        <f>AP569+(AP563*AP567)</f>
        <v>251015949.80000001</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1306</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1983</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1330</v>
      </c>
      <c r="AG591" s="2389"/>
      <c r="AH591" s="2389"/>
      <c r="AI591" s="2389"/>
      <c r="AJ591" s="2389"/>
      <c r="AK591" s="2389"/>
      <c r="AL591" s="2389"/>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1386</v>
      </c>
      <c r="AG598" s="2389"/>
      <c r="AH598" s="2389"/>
      <c r="AI598" s="2389"/>
      <c r="AJ598" s="2389"/>
      <c r="AK598" s="2389"/>
      <c r="AL598" s="2389"/>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1369</v>
      </c>
      <c r="AG604" s="2389"/>
      <c r="AH604" s="2389"/>
      <c r="AI604" s="2389"/>
      <c r="AJ604" s="2389"/>
      <c r="AK604" s="2389"/>
      <c r="AL604" s="2389"/>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1389</v>
      </c>
      <c r="AG610" s="2389"/>
      <c r="AH610" s="2389"/>
      <c r="AI610" s="2389"/>
      <c r="AJ610" s="2389"/>
      <c r="AK610" s="2389"/>
      <c r="AL610" s="2389"/>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1838</v>
      </c>
      <c r="O614" s="2534" t="s">
        <v>1182</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1344</v>
      </c>
      <c r="AG616" s="2389"/>
      <c r="AH616" s="2389"/>
      <c r="AI616" s="2389"/>
      <c r="AJ616" s="2389"/>
      <c r="AK616" s="2389"/>
      <c r="AL616" s="2389"/>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90" t="s">
        <v>685</v>
      </c>
      <c r="I619" s="2390"/>
      <c r="J619" s="932"/>
      <c r="K619" s="932"/>
      <c r="L619" s="932"/>
      <c r="N619" s="22"/>
      <c r="O619" s="22"/>
      <c r="P619" s="22"/>
      <c r="Q619" s="1145" t="s">
        <v>2130</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396" t="s">
        <v>590</v>
      </c>
      <c r="C629" s="2396"/>
      <c r="D629" s="640"/>
      <c r="E629" s="2388" t="s">
        <v>1393</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2" t="s">
        <v>1681</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1344</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396" t="s">
        <v>590</v>
      </c>
      <c r="Y647" s="2396"/>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1398</v>
      </c>
      <c r="AG649" s="2389"/>
      <c r="AH649" s="2389"/>
      <c r="AI649" s="2389"/>
      <c r="AJ649" s="2389"/>
      <c r="AK649" s="2389"/>
      <c r="AL649" s="2389"/>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0" t="s">
        <v>508</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91">
        <f>VLOOKUP($H$651,$AO$618:$AP$620,2,FALSE)</f>
        <v>2</v>
      </c>
      <c r="AK653" s="2392"/>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388" t="s">
        <v>2052</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1344</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1398</v>
      </c>
      <c r="AG660" s="2389"/>
      <c r="AH660" s="2389"/>
      <c r="AI660" s="2389"/>
      <c r="AJ660" s="2389"/>
      <c r="AK660" s="2389"/>
      <c r="AL660" s="2389"/>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0" t="s">
        <v>685</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91">
        <f>VLOOKUP(H663,AT618:AU620,2,FALSE)</f>
        <v>3</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388" t="s">
        <v>1408</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1369</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8" t="s">
        <v>1409</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1389</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8" t="s">
        <v>1410</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1344</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590</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88" t="s">
        <v>1411</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1389</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88" t="s">
        <v>1412</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1344</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88" t="s">
        <v>1413</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1398</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88" t="s">
        <v>1414</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1415</v>
      </c>
      <c r="AG694" s="2389"/>
      <c r="AH694" s="2389"/>
      <c r="AI694" s="2389"/>
      <c r="AJ694" s="2389"/>
      <c r="AK694" s="2389"/>
      <c r="AL694" s="2389"/>
      <c r="AM694" s="594"/>
      <c r="AN694" s="595"/>
      <c r="AO694" s="609" t="s">
        <v>685</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0" t="s">
        <v>685</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149</v>
      </c>
    </row>
    <row r="704" spans="1:50" s="549" customFormat="1" ht="12.75" customHeight="1">
      <c r="A704" s="675"/>
      <c r="B704" s="536"/>
      <c r="C704" s="944"/>
      <c r="D704" s="659" t="s">
        <v>685</v>
      </c>
      <c r="E704" s="2394" t="s">
        <v>2143</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1344</v>
      </c>
      <c r="AG704" s="2389"/>
      <c r="AH704" s="2389"/>
      <c r="AI704" s="2389"/>
      <c r="AJ704" s="2389"/>
      <c r="AK704" s="2389"/>
      <c r="AL704" s="2389"/>
      <c r="AN704" s="595"/>
      <c r="AW704" s="22" t="s">
        <v>2138</v>
      </c>
      <c r="AX704" s="549">
        <f>Application!DE761</f>
        <v>49</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388" t="s">
        <v>2088</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1344</v>
      </c>
      <c r="AG707" s="2389"/>
      <c r="AH707" s="2389"/>
      <c r="AI707" s="2389"/>
      <c r="AJ707" s="2389"/>
      <c r="AK707" s="2389"/>
      <c r="AL707" s="2389"/>
      <c r="AN707" s="595"/>
      <c r="AW707" s="22" t="s">
        <v>2141</v>
      </c>
      <c r="AX707" s="549">
        <f>AX704+AX705+AX706</f>
        <v>49</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1</v>
      </c>
      <c r="AP708" s="2458"/>
      <c r="AW708" s="22" t="s">
        <v>2142</v>
      </c>
      <c r="AX708" s="549">
        <f>IFERROR(AX707/AX703,0)</f>
        <v>0.32885906040268459</v>
      </c>
      <c r="AY708" s="549">
        <f>IFERROR(AX707/(AX703-AX702),0)</f>
        <v>0.32885906040268459</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388" t="s">
        <v>2089</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1398</v>
      </c>
      <c r="AG712" s="2389"/>
      <c r="AH712" s="2389"/>
      <c r="AI712" s="2389"/>
      <c r="AJ712" s="2389"/>
      <c r="AK712" s="2389"/>
      <c r="AL712" s="2389"/>
      <c r="AN712" s="595"/>
      <c r="AO712" s="609" t="s">
        <v>508</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388" t="s">
        <v>1680</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0" t="s">
        <v>277</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1">
        <f>VLOOKUP($H$722,$AO$716:$AP$719,2,FALSE)</f>
        <v>2</v>
      </c>
      <c r="AK724" s="2392"/>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30" t="s">
        <v>1682</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1344</v>
      </c>
      <c r="AG728" s="2389"/>
      <c r="AH728" s="2389"/>
      <c r="AI728" s="2389"/>
      <c r="AJ728" s="2389"/>
      <c r="AK728" s="2389"/>
      <c r="AL728" s="2389"/>
      <c r="AM728" s="549"/>
      <c r="AN728" s="680"/>
      <c r="AP728" s="568" t="s">
        <v>1422</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1423</v>
      </c>
    </row>
    <row r="730" spans="1:43" s="568" customFormat="1" ht="13.95"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1424</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5" customHeight="1">
      <c r="A732" s="549"/>
      <c r="B732" s="536"/>
      <c r="C732" s="927"/>
      <c r="D732" s="659" t="s">
        <v>508</v>
      </c>
      <c r="E732" s="2531" t="s">
        <v>1425</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1398</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685</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1390</v>
      </c>
      <c r="E736" s="932"/>
      <c r="F736" s="932"/>
      <c r="G736" s="932"/>
      <c r="H736" s="2390" t="s">
        <v>590</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388" t="s">
        <v>1683</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1344</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8" t="s">
        <v>1429</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1398</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0" t="s">
        <v>590</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388" t="s">
        <v>1432</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1344</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8" t="s">
        <v>1433</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1398</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0" t="s">
        <v>685</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91">
        <f>VLOOKUP($H$764,$AO$693:$AP$695,2,FALSE)</f>
        <v>3</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388" t="s">
        <v>1435</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1398</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8" t="s">
        <v>1436</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1415</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0" t="s">
        <v>685</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685</v>
      </c>
      <c r="E782" s="2388" t="s">
        <v>1679</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1398</v>
      </c>
      <c r="AG782" s="2389"/>
      <c r="AH782" s="2389"/>
      <c r="AI782" s="2389"/>
      <c r="AJ782" s="2389"/>
      <c r="AK782" s="2389"/>
      <c r="AL782" s="2389"/>
      <c r="AM782" s="611"/>
      <c r="AN782" s="680"/>
      <c r="AO782" s="549" t="s">
        <v>590</v>
      </c>
      <c r="AP782" s="669">
        <v>0</v>
      </c>
    </row>
    <row r="783" spans="1:74" s="568" customFormat="1" ht="13.65"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9" t="s">
        <v>1684</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1344</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0" t="s">
        <v>590</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685</v>
      </c>
      <c r="E798" s="2388" t="s">
        <v>2638</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1344</v>
      </c>
      <c r="AG798" s="2389"/>
      <c r="AH798" s="2389"/>
      <c r="AI798" s="2389"/>
      <c r="AJ798" s="2389"/>
      <c r="AK798" s="2389"/>
      <c r="AL798" s="2389"/>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90" t="s">
        <v>590</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91">
        <f>VLOOKUP($H$803,$AO$797:$AP$798,2,FALSE)</f>
        <v>0</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388" t="s">
        <v>2600</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1369</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90" t="s">
        <v>590</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1556</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1557</v>
      </c>
      <c r="U824" s="2522"/>
      <c r="V824" s="2522"/>
      <c r="W824" s="2522"/>
      <c r="X824" s="2522"/>
      <c r="Y824" s="2523"/>
      <c r="Z824" s="2521" t="s">
        <v>1558</v>
      </c>
      <c r="AA824" s="2522"/>
      <c r="AB824" s="2522"/>
      <c r="AC824" s="2522"/>
      <c r="AD824" s="2522"/>
      <c r="AE824" s="2523"/>
      <c r="AF824" s="2521" t="s">
        <v>1559</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755</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c r="A827" s="815" t="s">
        <v>1530</v>
      </c>
      <c r="B827" s="2479" t="s">
        <v>1305</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c r="A828" s="815" t="s">
        <v>1539</v>
      </c>
      <c r="B828" s="2479" t="s">
        <v>1315</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1560</v>
      </c>
      <c r="B829" s="2479" t="s">
        <v>1325</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1561</v>
      </c>
      <c r="B830" s="2479" t="s">
        <v>1562</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1563</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1564</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1353</v>
      </c>
      <c r="B833" s="2479" t="s">
        <v>1565</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idden="1">
      <c r="A834" s="815" t="s">
        <v>1361</v>
      </c>
      <c r="B834" s="2479" t="s">
        <v>1362</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588</v>
      </c>
      <c r="B835" s="2479" t="s">
        <v>1566</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9</v>
      </c>
      <c r="U837" s="2481"/>
      <c r="V837" s="2481"/>
      <c r="W837" s="2481"/>
      <c r="X837" s="2481"/>
      <c r="Y837" s="2481"/>
      <c r="Z837" s="2490">
        <v>10</v>
      </c>
      <c r="AA837" s="2491"/>
      <c r="AB837" s="2491"/>
      <c r="AC837" s="2491"/>
      <c r="AD837" s="2491"/>
      <c r="AE837" s="2492"/>
      <c r="AF837" s="2490">
        <f>IF(T837&gt;Z837,Z837,T837)</f>
        <v>9</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87">
        <f>AK351</f>
        <v>9</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843</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1548</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1568</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1570</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494" t="s">
        <v>1571</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111</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2026-01-20T16:32:26Z</cp:lastPrinted>
  <dcterms:created xsi:type="dcterms:W3CDTF">2007-12-27T18:26:28Z</dcterms:created>
  <dcterms:modified xsi:type="dcterms:W3CDTF">2026-01-31T18:59:05Z</dcterms:modified>
</cp:coreProperties>
</file>