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randrusz\Castellan Dropbox\Ryan Andrusz\HamAdv-CRP shared folder\CDLAC 4% R1 2026\The Ridge on Masonic\PART 6\6.1. TCAC Requirements 1-6\"/>
    </mc:Choice>
  </mc:AlternateContent>
  <xr:revisionPtr revIDLastSave="0" documentId="13_ncr:1_{AB766D14-F0D1-4B31-A97D-D1FF1EC894B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7720" yWindow="-1995" windowWidth="29040" windowHeight="17640" tabRatio="889" firstSheet="5" activeTab="1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4" l="1"/>
  <c r="AB50" i="15"/>
  <c r="AO648" i="3" l="1"/>
  <c r="E99" i="4"/>
  <c r="AC880" i="3" l="1"/>
  <c r="AB880" i="3"/>
  <c r="AA880" i="3"/>
  <c r="Z880" i="3"/>
  <c r="Y880" i="3"/>
  <c r="X880" i="3"/>
  <c r="AC879" i="3"/>
  <c r="AA879" i="3" s="1"/>
  <c r="Y879" i="3" s="1"/>
  <c r="AB879" i="3"/>
  <c r="Z879" i="3" s="1"/>
  <c r="X879" i="3" s="1"/>
  <c r="AC876" i="3"/>
  <c r="AB876" i="3"/>
  <c r="AA876" i="3"/>
  <c r="Z876" i="3"/>
  <c r="Y876" i="3"/>
  <c r="X876" i="3"/>
  <c r="W865" i="3"/>
  <c r="AC854" i="3"/>
  <c r="AB854" i="3"/>
  <c r="AC852" i="3"/>
  <c r="AB852" i="3"/>
  <c r="AA852" i="3"/>
  <c r="Z852" i="3"/>
  <c r="Y852" i="3"/>
  <c r="X852" i="3"/>
  <c r="AC851" i="3"/>
  <c r="AB851" i="3"/>
  <c r="AA851" i="3"/>
  <c r="Z851" i="3"/>
  <c r="Y851" i="3"/>
  <c r="X851" i="3"/>
  <c r="AA854" i="3" l="1"/>
  <c r="Y854" i="3" s="1"/>
  <c r="Z854" i="3"/>
  <c r="X854" i="3" s="1"/>
  <c r="C95" i="4" l="1"/>
  <c r="G54" i="7" l="1"/>
  <c r="G53" i="7"/>
  <c r="E41" i="7" l="1"/>
  <c r="A41" i="7"/>
  <c r="E30" i="4"/>
  <c r="E95" i="4"/>
  <c r="E94" i="4"/>
  <c r="E93" i="4"/>
  <c r="E92" i="4"/>
  <c r="E91" i="4"/>
  <c r="E90" i="4"/>
  <c r="E89" i="4"/>
  <c r="E88" i="4"/>
  <c r="E86" i="4"/>
  <c r="E85" i="4"/>
  <c r="E84" i="4"/>
  <c r="E83" i="4"/>
  <c r="E80" i="4"/>
  <c r="E79" i="4"/>
  <c r="E75" i="4"/>
  <c r="E65" i="4"/>
  <c r="E61" i="4"/>
  <c r="E58" i="4"/>
  <c r="E52" i="4"/>
  <c r="E50" i="4"/>
  <c r="E49" i="4"/>
  <c r="E48" i="4"/>
  <c r="E46" i="4"/>
  <c r="E45" i="4"/>
  <c r="E43" i="4"/>
  <c r="E40" i="4"/>
  <c r="E35" i="4"/>
  <c r="E34" i="4"/>
  <c r="E33" i="4"/>
  <c r="E32" i="4"/>
  <c r="E31" i="4"/>
  <c r="E29" i="4"/>
  <c r="E10" i="4"/>
  <c r="E5" i="4"/>
  <c r="E4" i="4"/>
  <c r="E69" i="4"/>
  <c r="AA656" i="3" l="1"/>
  <c r="Z655" i="3"/>
  <c r="Z654" i="3"/>
  <c r="Z653" i="3"/>
  <c r="Z652" i="3"/>
  <c r="Z589" i="3" l="1"/>
  <c r="Z588" i="3"/>
  <c r="Z587" i="3"/>
  <c r="G586" i="3"/>
  <c r="Z586"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E17" i="7" s="1"/>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G17" i="7"/>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94" i="11"/>
  <c r="C95" i="11"/>
  <c r="C96" i="11"/>
  <c r="B85" i="11"/>
  <c r="B86" i="11"/>
  <c r="B87" i="11"/>
  <c r="B88"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B80" i="13"/>
  <c r="R80" i="4"/>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7" i="13"/>
  <c r="E53" i="13"/>
  <c r="E51" i="13"/>
  <c r="E50" i="13"/>
  <c r="E49" i="13"/>
  <c r="E47" i="13"/>
  <c r="E46" i="13"/>
  <c r="E45" i="13"/>
  <c r="E41" i="13"/>
  <c r="E37" i="13"/>
  <c r="E29" i="13"/>
  <c r="E27" i="13"/>
  <c r="E25" i="13"/>
  <c r="E23" i="13"/>
  <c r="E22" i="13"/>
  <c r="E21" i="13"/>
  <c r="E20" i="13"/>
  <c r="E19" i="13"/>
  <c r="E18" i="13"/>
  <c r="E17" i="13"/>
  <c r="E15" i="13"/>
  <c r="E14" i="13"/>
  <c r="E13" i="13"/>
  <c r="F13" i="13" s="1"/>
  <c r="E10" i="13"/>
  <c r="F10" i="13" s="1"/>
  <c r="B99" i="13"/>
  <c r="C99" i="13" s="1"/>
  <c r="C104" i="13" s="1"/>
  <c r="B95" i="13"/>
  <c r="B94" i="13"/>
  <c r="B93" i="13"/>
  <c r="B87" i="13"/>
  <c r="B86" i="13"/>
  <c r="B85" i="13"/>
  <c r="B84" i="13"/>
  <c r="B83" i="13"/>
  <c r="B79" i="13"/>
  <c r="B76" i="13"/>
  <c r="B75" i="13"/>
  <c r="C75" i="13" s="1"/>
  <c r="C77" i="13" s="1"/>
  <c r="B74" i="13"/>
  <c r="B73" i="13"/>
  <c r="B72" i="13"/>
  <c r="B65" i="13"/>
  <c r="C65" i="13" s="1"/>
  <c r="B61" i="13"/>
  <c r="C61" i="13" s="1"/>
  <c r="B60" i="13"/>
  <c r="B59" i="13"/>
  <c r="B58" i="13"/>
  <c r="C58" i="13" s="1"/>
  <c r="B57" i="13"/>
  <c r="B56" i="13"/>
  <c r="B53" i="13"/>
  <c r="B52" i="13"/>
  <c r="C52" i="13" s="1"/>
  <c r="B51" i="13"/>
  <c r="B50" i="13"/>
  <c r="B49" i="13"/>
  <c r="B48" i="13"/>
  <c r="B47" i="13"/>
  <c r="B46" i="13"/>
  <c r="B45" i="13"/>
  <c r="B43" i="13"/>
  <c r="C43" i="13" s="1"/>
  <c r="C42" i="4"/>
  <c r="B42" i="13" s="1"/>
  <c r="B41" i="13"/>
  <c r="B40" i="13"/>
  <c r="C40" i="13" s="1"/>
  <c r="C42" i="13" s="1"/>
  <c r="B37" i="13"/>
  <c r="B35" i="13"/>
  <c r="B34" i="13"/>
  <c r="B33" i="13"/>
  <c r="B32" i="13"/>
  <c r="B31" i="13"/>
  <c r="B30" i="13"/>
  <c r="B29" i="13"/>
  <c r="B27" i="13"/>
  <c r="B25" i="13"/>
  <c r="B23" i="13"/>
  <c r="B22" i="13"/>
  <c r="B21" i="13"/>
  <c r="B20" i="13"/>
  <c r="B19" i="13"/>
  <c r="B18" i="13"/>
  <c r="B17" i="13"/>
  <c r="B5" i="13"/>
  <c r="B6" i="13"/>
  <c r="B7" i="13"/>
  <c r="C8" i="4"/>
  <c r="B9" i="13"/>
  <c r="B10" i="13"/>
  <c r="C10" i="13" s="1"/>
  <c r="C11" i="13" s="1"/>
  <c r="B13" i="13"/>
  <c r="C13" i="13" s="1"/>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S104" i="4" s="1"/>
  <c r="R95" i="4"/>
  <c r="R94" i="4"/>
  <c r="R93" i="4"/>
  <c r="R92" i="4"/>
  <c r="R90" i="4"/>
  <c r="R89" i="4"/>
  <c r="R88" i="4"/>
  <c r="R87" i="4"/>
  <c r="R86" i="4"/>
  <c r="R85" i="4"/>
  <c r="R83" i="4"/>
  <c r="R76" i="4"/>
  <c r="R75" i="4"/>
  <c r="R72" i="4"/>
  <c r="R73" i="4"/>
  <c r="R74" i="4"/>
  <c r="R69" i="4"/>
  <c r="R65" i="4"/>
  <c r="S65" i="4" s="1"/>
  <c r="S70" i="4" s="1"/>
  <c r="E70" i="13" s="1"/>
  <c r="R61" i="4"/>
  <c r="R60" i="4"/>
  <c r="R59" i="4"/>
  <c r="R58" i="4"/>
  <c r="R57" i="4"/>
  <c r="R56" i="4"/>
  <c r="R53" i="4"/>
  <c r="R52" i="4"/>
  <c r="S52" i="4" s="1"/>
  <c r="E52" i="13" s="1"/>
  <c r="F52" i="13" s="1"/>
  <c r="R51" i="4"/>
  <c r="R50" i="4"/>
  <c r="R49" i="4"/>
  <c r="R48" i="4"/>
  <c r="S48" i="4" s="1"/>
  <c r="E48" i="13" s="1"/>
  <c r="R47" i="4"/>
  <c r="R46" i="4"/>
  <c r="R45" i="4"/>
  <c r="R43" i="4"/>
  <c r="S43" i="4" s="1"/>
  <c r="E43" i="13" s="1"/>
  <c r="F43" i="13" s="1"/>
  <c r="R41" i="4"/>
  <c r="R40" i="4"/>
  <c r="S40" i="4" s="1"/>
  <c r="S42" i="4" s="1"/>
  <c r="E42" i="13" s="1"/>
  <c r="R37" i="4"/>
  <c r="R35" i="4"/>
  <c r="R34" i="4"/>
  <c r="R33" i="4"/>
  <c r="R32" i="4"/>
  <c r="R31" i="4"/>
  <c r="R30" i="4"/>
  <c r="S30" i="4" s="1"/>
  <c r="E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45" i="13" l="1" a="1"/>
  <c r="C45" i="13" s="1"/>
  <c r="C70" i="13"/>
  <c r="C48" i="13" a="1"/>
  <c r="C48" i="13" s="1"/>
  <c r="C83" i="13" a="1"/>
  <c r="C83" i="13" s="1"/>
  <c r="C62" i="13"/>
  <c r="S54" i="4"/>
  <c r="E54" i="13" s="1"/>
  <c r="C79" i="13" a="1"/>
  <c r="C79" i="13" s="1"/>
  <c r="C81" i="13" s="1"/>
  <c r="E65" i="13"/>
  <c r="F65" i="13" s="1"/>
  <c r="F70" i="13" s="1"/>
  <c r="E40" i="13"/>
  <c r="F40" i="13" s="1"/>
  <c r="F42" i="13" s="1"/>
  <c r="S89" i="4" a="1"/>
  <c r="S89" i="4" s="1"/>
  <c r="E89" i="13" s="1"/>
  <c r="S79" i="4" a="1"/>
  <c r="S79" i="4" s="1"/>
  <c r="E99" i="13"/>
  <c r="F99" i="13" s="1" a="1"/>
  <c r="F99" i="13" s="1"/>
  <c r="F104" i="13" s="1"/>
  <c r="S31" i="4" a="1"/>
  <c r="C4" i="13" a="1"/>
  <c r="C4" i="13" s="1"/>
  <c r="C8" i="13" s="1"/>
  <c r="C12" i="13" s="1"/>
  <c r="S84" i="4" a="1"/>
  <c r="C29" i="13" a="1"/>
  <c r="C29" i="13" s="1"/>
  <c r="C38" i="13" s="1"/>
  <c r="F45" i="13" a="1"/>
  <c r="F45" i="13" s="1"/>
  <c r="F54" i="13" s="1"/>
  <c r="S94" i="4" a="1"/>
  <c r="B26" i="4"/>
  <c r="D35" i="11"/>
  <c r="B8" i="13"/>
  <c r="N183" i="24"/>
  <c r="T20" i="21"/>
  <c r="AD7" i="15"/>
  <c r="AD68" i="15"/>
  <c r="BE24" i="3"/>
  <c r="BE69" i="3"/>
  <c r="D36" i="11"/>
  <c r="D94" i="11"/>
  <c r="D86" i="11"/>
  <c r="D87" i="11"/>
  <c r="D103" i="11"/>
  <c r="D34" i="11"/>
  <c r="D6" i="11"/>
  <c r="D25" i="11"/>
  <c r="D54" i="11"/>
  <c r="D70" i="11"/>
  <c r="D85" i="11"/>
  <c r="D101" i="11"/>
  <c r="D32" i="11"/>
  <c r="D33"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J63" i="13"/>
  <c r="J97" i="13" s="1"/>
  <c r="J105" i="13" s="1"/>
  <c r="J107" i="13" s="1"/>
  <c r="D81" i="11"/>
  <c r="R104" i="4"/>
  <c r="B77" i="4"/>
  <c r="C78" i="11"/>
  <c r="D60" i="11"/>
  <c r="M12" i="4"/>
  <c r="D63" i="4"/>
  <c r="D97" i="4" s="1"/>
  <c r="D105" i="4" s="1"/>
  <c r="BE68" i="3" s="1"/>
  <c r="R26" i="4"/>
  <c r="R42" i="4"/>
  <c r="R54" i="4"/>
  <c r="R62" i="4"/>
  <c r="D63" i="13"/>
  <c r="D97" i="13" s="1"/>
  <c r="D105" i="13" s="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54" i="13" l="1"/>
  <c r="E80" i="13"/>
  <c r="E92" i="13"/>
  <c r="E90" i="13"/>
  <c r="C63" i="13"/>
  <c r="E79" i="13"/>
  <c r="F79" i="13" s="1" a="1"/>
  <c r="F79" i="13" s="1"/>
  <c r="F81" i="13" s="1"/>
  <c r="S81" i="4"/>
  <c r="E81" i="13" s="1"/>
  <c r="E91" i="13"/>
  <c r="S94" i="4"/>
  <c r="E94" i="13" s="1"/>
  <c r="E95" i="13"/>
  <c r="S84" i="4"/>
  <c r="E86" i="13"/>
  <c r="E85" i="13"/>
  <c r="S31" i="4"/>
  <c r="E35" i="13"/>
  <c r="E34" i="13"/>
  <c r="E33" i="13"/>
  <c r="E32" i="13"/>
  <c r="D105" i="11"/>
  <c r="AJ634" i="20"/>
  <c r="G108" i="21"/>
  <c r="N190" i="24"/>
  <c r="D43" i="11"/>
  <c r="D71" i="11"/>
  <c r="B12" i="4"/>
  <c r="D55" i="11"/>
  <c r="D82" i="11"/>
  <c r="D39" i="11"/>
  <c r="D78" i="11"/>
  <c r="R12" i="4"/>
  <c r="D12" i="11"/>
  <c r="D63" i="11"/>
  <c r="B13" i="11"/>
  <c r="C64" i="11"/>
  <c r="B64" i="11"/>
  <c r="B63" i="4"/>
  <c r="R63" i="4"/>
  <c r="R97" i="4" s="1"/>
  <c r="R105" i="4" s="1"/>
  <c r="D2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F89" i="13" l="1" a="1"/>
  <c r="F89" i="13" s="1"/>
  <c r="E31" i="13"/>
  <c r="F29" i="13" s="1" a="1"/>
  <c r="F29" i="13" s="1"/>
  <c r="F38" i="13" s="1"/>
  <c r="F63" i="13" s="1"/>
  <c r="S38" i="4"/>
  <c r="E84" i="13"/>
  <c r="F84" i="13" s="1" a="1"/>
  <c r="F84" i="13" s="1"/>
  <c r="F96" i="13" s="1"/>
  <c r="S96" i="4"/>
  <c r="E96" i="13" s="1"/>
  <c r="O30" i="21"/>
  <c r="P30" i="21" s="1" a="1"/>
  <c r="P30" i="21" s="1"/>
  <c r="S30" i="21" s="1"/>
  <c r="O29" i="21"/>
  <c r="P29" i="21" s="1" a="1"/>
  <c r="P29" i="21" s="1"/>
  <c r="S29" i="21" s="1"/>
  <c r="O31" i="21"/>
  <c r="P31" i="21" s="1" a="1"/>
  <c r="P31" i="21" s="1"/>
  <c r="S31" i="21" s="1"/>
  <c r="O27" i="21"/>
  <c r="P27" i="21" s="1" a="1"/>
  <c r="P27" i="21" s="1"/>
  <c r="S27" i="21" s="1"/>
  <c r="O26" i="21"/>
  <c r="P26" i="21" s="1" a="1"/>
  <c r="P26" i="21" s="1"/>
  <c r="S26" i="21" s="1"/>
  <c r="O25" i="21"/>
  <c r="P25" i="21" s="1" a="1"/>
  <c r="P25" i="21" s="1"/>
  <c r="S25" i="21" s="1"/>
  <c r="O28" i="21"/>
  <c r="P28" i="21" s="1" a="1"/>
  <c r="P28" i="21" s="1"/>
  <c r="S28"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AK83" i="20"/>
  <c r="D13" i="11"/>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38" i="13" l="1"/>
  <c r="S63" i="4"/>
  <c r="F97" i="13"/>
  <c r="F105" i="13" s="1"/>
  <c r="F107" i="13" s="1"/>
  <c r="AK190" i="20"/>
  <c r="T827" i="20"/>
  <c r="AF827" i="20" s="1"/>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E63" i="13" l="1"/>
  <c r="S97" i="4"/>
  <c r="AJ1038" i="3"/>
  <c r="AJ1003" i="3"/>
  <c r="AJ1045" i="3"/>
  <c r="I15" i="21" s="1"/>
  <c r="AD11" i="15"/>
  <c r="AD23" i="15" s="1"/>
  <c r="AD26" i="15" s="1"/>
  <c r="AD28" i="15" s="1"/>
  <c r="AI11" i="15"/>
  <c r="AI23" i="15" s="1"/>
  <c r="AI26" i="15" s="1"/>
  <c r="AI28" i="15" s="1"/>
  <c r="BE72" i="3"/>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AZ1055" i="3" l="1"/>
  <c r="S105" i="4"/>
  <c r="E97" i="13"/>
  <c r="T11" i="15"/>
  <c r="T23" i="15" s="1"/>
  <c r="BE74" i="3"/>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I9" i="21" l="1"/>
  <c r="S107" i="4"/>
  <c r="E105" i="13"/>
  <c r="AZ1060" i="3"/>
  <c r="BA1065" i="3"/>
  <c r="T26" i="15"/>
  <c r="T28"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G166" i="21" l="1"/>
  <c r="G165" i="21"/>
  <c r="BA1064" i="3"/>
  <c r="BA1068" i="3" s="1"/>
  <c r="AA1065" i="3"/>
  <c r="E107" i="13"/>
  <c r="Y11" i="15" s="1"/>
  <c r="Y23" i="15" s="1"/>
  <c r="Y26" i="15" s="1"/>
  <c r="Y28" i="15" s="1"/>
  <c r="Y64" i="15" s="1"/>
  <c r="Y68" i="15" s="1"/>
  <c r="Y69" i="15" s="1"/>
  <c r="AC465" i="3"/>
  <c r="AF564" i="20"/>
  <c r="AP572" i="20"/>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F566" i="20" l="1"/>
  <c r="AK572" i="20" s="1"/>
  <c r="T840" i="20" s="1"/>
  <c r="AF840" i="20" s="1"/>
  <c r="AD38" i="15"/>
  <c r="AD40" i="15" s="1"/>
  <c r="Y38" i="15"/>
  <c r="Y40" i="15" s="1"/>
  <c r="AA1066" i="3"/>
  <c r="G1067" i="3" s="1"/>
  <c r="T29" i="15"/>
  <c r="BE81" i="3"/>
  <c r="AC53" i="7"/>
  <c r="AA58" i="7"/>
  <c r="U4" i="7"/>
  <c r="S5" i="7"/>
  <c r="M48" i="7"/>
  <c r="M47" i="7"/>
  <c r="M60" i="7"/>
  <c r="O45" i="7"/>
  <c r="O49" i="7"/>
  <c r="K66" i="7"/>
  <c r="K67" i="7"/>
  <c r="K62" i="7"/>
  <c r="Q7" i="7"/>
  <c r="Q11" i="7" s="1"/>
  <c r="Q37" i="7" s="1"/>
  <c r="S6" i="7"/>
  <c r="I70" i="7"/>
  <c r="I72" i="7" s="1"/>
  <c r="W22" i="7"/>
  <c r="W35" i="7" s="1"/>
  <c r="Y15" i="7"/>
  <c r="W9" i="7"/>
  <c r="Y8" i="7"/>
  <c r="Y41" i="15" l="1"/>
  <c r="AE53" i="7"/>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BE77" i="3"/>
  <c r="B89" i="11"/>
  <c r="C89" i="11"/>
  <c r="B90" i="11"/>
  <c r="C90" i="11"/>
  <c r="B91" i="11"/>
  <c r="C91" i="11"/>
  <c r="B92" i="11"/>
  <c r="C92" i="11"/>
  <c r="B93" i="11"/>
  <c r="C93" i="11"/>
  <c r="B88" i="13"/>
  <c r="B89" i="13"/>
  <c r="B90" i="13"/>
  <c r="B91" i="13"/>
  <c r="B92" i="13"/>
  <c r="B88" i="4"/>
  <c r="B89" i="4"/>
  <c r="B90" i="4"/>
  <c r="B91" i="4"/>
  <c r="B92" i="4"/>
  <c r="C96" i="4"/>
  <c r="B96" i="13" s="1"/>
  <c r="D91" i="11" l="1"/>
  <c r="D93" i="11"/>
  <c r="D89" i="11"/>
  <c r="C88" i="13" a="1"/>
  <c r="C88" i="13" s="1"/>
  <c r="C96" i="13" s="1"/>
  <c r="C97" i="13" s="1"/>
  <c r="C105" i="13" s="1"/>
  <c r="D90" i="11"/>
  <c r="C97" i="4"/>
  <c r="B97" i="4" s="1"/>
  <c r="D92" i="11"/>
  <c r="B96" i="4"/>
  <c r="C97" i="11"/>
  <c r="B97" i="11"/>
  <c r="B98" i="11" s="1"/>
  <c r="B106" i="11" s="1"/>
  <c r="C105" i="4" l="1"/>
  <c r="AC464" i="3" s="1"/>
  <c r="B97" i="13"/>
  <c r="C98" i="11"/>
  <c r="D97" i="11"/>
  <c r="B105" i="13" l="1"/>
  <c r="BE101" i="3"/>
  <c r="B105" i="4"/>
  <c r="BE22" i="3" s="1"/>
  <c r="AG268" i="20"/>
  <c r="D98" i="11"/>
  <c r="C106" i="11"/>
  <c r="D106" i="11" s="1"/>
  <c r="AB265" i="20"/>
  <c r="AG267" i="20" s="1"/>
  <c r="AG269" i="20" s="1"/>
  <c r="AK272" i="20" s="1"/>
  <c r="T834" i="20" s="1"/>
  <c r="AB47" i="15"/>
  <c r="AB49" i="15" s="1"/>
  <c r="AC463" i="3" l="1"/>
  <c r="BE44" i="3" s="1"/>
  <c r="N180" i="24"/>
  <c r="N181" i="24"/>
  <c r="N191" i="24"/>
  <c r="AB54" i="15"/>
  <c r="AB55" i="15" s="1"/>
  <c r="AB56" i="15" s="1"/>
  <c r="AB57" i="15" l="1"/>
  <c r="M26" i="3"/>
  <c r="BE19" i="3" l="1"/>
  <c r="P204" i="3"/>
  <c r="AB59" i="15"/>
  <c r="AB77" i="15" s="1"/>
  <c r="AB78" i="15" s="1"/>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ABC302AC-92B1-4F39-9BFF-D12648DDAC50}">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<sst xmlns="http://schemas.openxmlformats.org/spreadsheetml/2006/main" count="5085" uniqueCount="2795">
  <si>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</si>
  <si>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</si>
  <si>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</si>
  <si>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</si>
  <si>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</si>
  <si>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</si>
  <si>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</si>
  <si>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</si>
  <si>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</si>
  <si>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</si>
  <si>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</si>
  <si>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</si>
  <si>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</si>
  <si>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</si>
  <si>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</si>
  <si>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</si>
  <si>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</si>
  <si>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</si>
  <si>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</si>
  <si>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</si>
  <si>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</si>
  <si>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</si>
  <si>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</si>
  <si>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</si>
  <si>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</si>
  <si>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</si>
  <si>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</si>
  <si>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</si>
  <si>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</si>
  <si>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</si>
  <si>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</si>
  <si>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</si>
  <si>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</si>
  <si>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</si>
  <si>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</si>
  <si>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</si>
  <si>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</si>
  <si>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</si>
  <si>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</si>
  <si>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</si>
  <si>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</si>
  <si>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</si>
  <si>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</si>
  <si>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</si>
  <si>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</si>
  <si>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</si>
  <si>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</si>
  <si>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</si>
  <si>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</si>
  <si>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</si>
  <si>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</si>
  <si>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</si>
  <si>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</si>
  <si>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</si>
  <si>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</si>
  <si>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</si>
  <si>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</si>
  <si>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</si>
  <si>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</si>
  <si>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</si>
  <si>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</si>
  <si>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</si>
  <si>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</si>
  <si>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</si>
  <si>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</si>
  <si>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</si>
  <si>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</si>
  <si>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</si>
  <si>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</si>
  <si>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</si>
  <si>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</si>
  <si>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</si>
  <si>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</si>
  <si>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</si>
  <si>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</si>
  <si>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</si>
  <si>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</si>
  <si>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</si>
  <si>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</si>
  <si>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</si>
  <si>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</si>
  <si>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</si>
  <si>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</si>
  <si>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</si>
  <si>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</si>
  <si>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</si>
  <si>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</si>
  <si>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</si>
  <si>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</si>
  <si>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</si>
  <si>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</si>
  <si>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</si>
  <si>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</si>
  <si>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</si>
  <si>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</si>
  <si>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</si>
  <si>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</si>
  <si>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</si>
  <si>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</si>
  <si>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</si>
  <si>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</si>
  <si>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</si>
  <si>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</si>
  <si>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</si>
  <si>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</si>
  <si>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</si>
  <si>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</si>
  <si>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</si>
  <si>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</si>
  <si>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</si>
  <si>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</si>
  <si>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</si>
  <si>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</si>
  <si>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</si>
  <si>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</si>
  <si>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</si>
  <si>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</si>
  <si>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</si>
  <si>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</si>
  <si>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</si>
  <si>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</si>
  <si>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</si>
  <si>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</si>
  <si>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</si>
  <si>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</si>
  <si>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</si>
  <si>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</si>
  <si>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</si>
  <si>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</si>
  <si>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</si>
  <si>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</si>
  <si>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</si>
  <si>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</si>
  <si>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</si>
  <si>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</si>
  <si>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</si>
  <si>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</si>
  <si>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</si>
  <si>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</si>
  <si>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</si>
  <si>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</si>
  <si>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</si>
  <si>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</si>
  <si>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</si>
  <si>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</si>
  <si>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</si>
  <si>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</si>
  <si>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</si>
  <si>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</si>
  <si>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</si>
  <si>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</si>
  <si>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</si>
  <si>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</si>
  <si>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</si>
  <si>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</si>
  <si>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</si>
  <si>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</si>
  <si>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</si>
  <si>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</si>
  <si>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</si>
  <si>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</si>
  <si>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</si>
  <si>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</si>
  <si>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</si>
  <si>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</si>
  <si>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</si>
  <si>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</si>
  <si>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</si>
  <si>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</si>
  <si>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</si>
  <si>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</si>
  <si>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</si>
  <si>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</si>
  <si>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</si>
  <si>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</si>
  <si>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</si>
  <si>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</si>
  <si>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</si>
  <si>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</si>
  <si>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</si>
  <si>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</si>
  <si>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</si>
  <si>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</si>
  <si>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</si>
  <si>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</si>
  <si>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</si>
  <si>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</si>
  <si>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</si>
  <si>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</si>
  <si>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</si>
  <si>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</si>
  <si>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</si>
  <si>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</si>
  <si>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</si>
  <si>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</si>
  <si>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</si>
  <si>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</si>
  <si>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</si>
  <si>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</si>
  <si>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</si>
  <si>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</si>
  <si>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</si>
  <si>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</si>
  <si>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</si>
  <si>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</si>
  <si>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</si>
  <si>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</si>
  <si>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</si>
  <si>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</si>
  <si>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</si>
  <si>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</si>
  <si>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</si>
  <si>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</si>
  <si>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</si>
  <si>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</si>
  <si>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</si>
  <si>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</si>
  <si>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</si>
  <si>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</si>
  <si>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</si>
  <si>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</si>
  <si>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</si>
  <si>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</si>
  <si>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</si>
  <si>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</si>
  <si>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</si>
  <si>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</si>
  <si>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</si>
  <si>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</si>
  <si>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</si>
  <si>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</si>
  <si>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</si>
  <si>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</si>
  <si>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</si>
  <si>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</si>
  <si>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</si>
  <si>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</si>
  <si>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</si>
  <si>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</si>
  <si>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</si>
  <si>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</si>
  <si>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</si>
  <si>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</si>
  <si>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</si>
  <si>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</si>
  <si>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</si>
  <si>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</si>
  <si>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</si>
  <si>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</si>
  <si>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</si>
  <si>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</si>
  <si>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</si>
  <si>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</si>
  <si>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</si>
  <si>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</si>
  <si>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</si>
  <si>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</si>
  <si>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</si>
  <si>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</si>
  <si>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</si>
  <si>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</si>
  <si>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</si>
  <si>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</si>
  <si>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</si>
  <si>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</si>
  <si>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</si>
  <si>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</si>
  <si>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</si>
  <si>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</si>
  <si>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</si>
  <si>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</si>
  <si>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</si>
  <si>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</si>
  <si>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</si>
  <si>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</si>
  <si>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</si>
  <si>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</si>
  <si>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</si>
  <si>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</si>
  <si>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</si>
  <si>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</si>
  <si>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</si>
  <si>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</si>
  <si>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</si>
  <si>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</si>
  <si>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</si>
  <si>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</si>
  <si>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</si>
  <si>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</si>
  <si>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</si>
  <si>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</si>
  <si>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</si>
  <si>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</si>
  <si>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</si>
  <si>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</si>
  <si>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</si>
  <si>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</si>
  <si>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</si>
  <si>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</si>
  <si>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</si>
  <si>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</si>
  <si>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</si>
  <si>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</si>
  <si>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</si>
  <si>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</si>
  <si>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</si>
  <si>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</si>
  <si>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</si>
  <si>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</si>
  <si>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</si>
  <si>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</si>
  <si>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</si>
  <si>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</si>
  <si>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</si>
  <si>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</si>
  <si>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</si>
  <si>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</si>
  <si>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</si>
  <si>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</si>
  <si>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</si>
  <si>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</si>
  <si>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</si>
  <si>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</si>
  <si>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</si>
  <si>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</si>
  <si>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</si>
  <si>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</si>
  <si>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</si>
  <si>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</si>
  <si>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</si>
  <si>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</si>
  <si>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</si>
  <si>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</si>
  <si>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</si>
  <si>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</si>
  <si>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</si>
  <si>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</si>
  <si>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</si>
  <si>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</si>
  <si>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</si>
  <si>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</si>
  <si>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</si>
  <si>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</si>
  <si>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</si>
  <si>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</si>
  <si>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</si>
  <si>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</si>
  <si>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</si>
  <si>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</si>
  <si>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</si>
  <si>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</si>
  <si>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</si>
  <si>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</si>
  <si>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</si>
  <si>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</si>
  <si>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</si>
  <si>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</si>
  <si>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</si>
  <si>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</si>
  <si>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</si>
  <si>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</si>
  <si>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</si>
  <si>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</si>
  <si>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</si>
  <si>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</si>
  <si>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</si>
  <si>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</si>
  <si>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</si>
  <si>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</si>
  <si>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</si>
  <si>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</si>
  <si>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</si>
  <si>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</si>
  <si>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</si>
  <si>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</si>
  <si>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</si>
  <si>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</si>
  <si>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</si>
  <si>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</si>
  <si>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</si>
  <si>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</si>
  <si>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</si>
  <si>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</si>
  <si>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</si>
  <si>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</si>
  <si>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</si>
  <si>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</si>
  <si>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</si>
  <si>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</si>
  <si>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</si>
  <si>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</si>
  <si>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</si>
  <si>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</si>
  <si>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</si>
  <si>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</si>
  <si>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</si>
  <si>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</si>
  <si>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</si>
  <si>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</si>
  <si>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</si>
  <si>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</si>
  <si>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</si>
  <si>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</si>
  <si>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</si>
  <si>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</si>
  <si>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</si>
  <si>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</si>
  <si>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</si>
  <si>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</si>
  <si>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</si>
  <si>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</si>
  <si>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</si>
  <si>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</si>
  <si>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</si>
  <si>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</si>
  <si>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</si>
  <si>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</si>
  <si>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</si>
  <si>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</si>
  <si>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</si>
  <si>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</si>
  <si>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</si>
  <si>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</si>
  <si>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</si>
  <si>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</si>
  <si>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</si>
  <si>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</si>
  <si>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</si>
  <si>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</si>
  <si>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</si>
  <si>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</si>
  <si>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</si>
  <si>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</si>
  <si>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</si>
  <si>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</si>
  <si>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</si>
  <si>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</si>
  <si>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</si>
  <si>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</si>
  <si>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</si>
  <si>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</si>
  <si>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</si>
  <si>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</si>
  <si>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</si>
  <si>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</si>
  <si>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</si>
  <si>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</si>
  <si>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</si>
  <si>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</si>
  <si>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</si>
  <si>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</si>
  <si>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</si>
  <si>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</si>
  <si>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</si>
  <si>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</si>
  <si>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</si>
  <si>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</si>
  <si>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</si>
  <si>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</si>
  <si>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</si>
  <si>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</si>
  <si>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</si>
  <si>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</si>
  <si>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</si>
  <si>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</si>
  <si>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</si>
  <si>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</si>
  <si>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</si>
  <si>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</si>
  <si>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</si>
  <si>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</si>
  <si>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</si>
  <si>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</si>
  <si>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</si>
  <si>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</si>
  <si>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</si>
  <si>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</si>
  <si>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</si>
  <si>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</si>
  <si>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</si>
  <si>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</si>
  <si>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</si>
  <si>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</si>
  <si>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</si>
  <si>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</si>
  <si>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</si>
  <si>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</si>
  <si>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</si>
  <si>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</si>
  <si>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</si>
  <si>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</si>
  <si>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</si>
  <si>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</si>
  <si>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</si>
  <si>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</si>
  <si>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</si>
  <si>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</si>
  <si>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</si>
  <si>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</si>
  <si>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</si>
  <si>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</si>
  <si>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</si>
  <si>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</si>
  <si>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</si>
  <si>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</si>
  <si>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</si>
  <si>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</si>
  <si>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</si>
  <si>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</si>
  <si>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</si>
  <si>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</si>
  <si>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</si>
  <si>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</si>
  <si>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</si>
  <si>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</si>
  <si>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</si>
  <si>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</si>
  <si>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</si>
  <si>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</si>
  <si>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</si>
  <si>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</si>
  <si>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</si>
  <si>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</si>
  <si>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</si>
  <si>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</si>
  <si>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</si>
  <si>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</si>
  <si>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</si>
  <si>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</si>
  <si>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</si>
  <si>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</si>
  <si>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</si>
  <si>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</si>
  <si>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</si>
  <si>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</si>
  <si>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</si>
  <si>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</si>
  <si>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</si>
  <si>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</si>
  <si>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</si>
  <si>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</si>
  <si>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</si>
  <si>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</si>
  <si>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</si>
  <si>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</si>
  <si>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</si>
  <si>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</si>
  <si>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</si>
  <si>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</si>
  <si>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</si>
  <si>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</si>
  <si>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</si>
  <si>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</si>
  <si>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</si>
  <si>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</si>
  <si>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</si>
  <si>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</si>
  <si>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</si>
  <si>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</si>
  <si>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</si>
  <si>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</si>
  <si>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</si>
  <si>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</si>
  <si>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</si>
  <si>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</si>
  <si>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</si>
  <si>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</si>
  <si>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</si>
  <si>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</si>
  <si>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</si>
  <si>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</si>
  <si>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</si>
  <si>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</si>
  <si>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</si>
  <si>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</si>
  <si>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</si>
  <si>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</si>
  <si>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</si>
  <si>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</si>
  <si>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</si>
  <si>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</si>
  <si>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</si>
  <si>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</si>
  <si>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</si>
  <si>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</si>
  <si>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</si>
  <si>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</si>
  <si>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</si>
  <si>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</si>
  <si>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</si>
  <si>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</si>
  <si>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</si>
  <si>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</si>
  <si>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</si>
  <si>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</si>
  <si>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</si>
  <si>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</si>
  <si>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</si>
  <si>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</si>
  <si>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</si>
  <si>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</si>
  <si>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</si>
  <si>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</si>
  <si>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</si>
  <si>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</si>
  <si>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</si>
  <si>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</si>
  <si>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</si>
  <si>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</si>
  <si>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</si>
  <si>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</si>
  <si>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</si>
  <si>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</si>
  <si>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</si>
  <si>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</si>
  <si>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</si>
  <si>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</si>
  <si>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</si>
  <si>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</si>
  <si>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</si>
  <si>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</si>
  <si>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</si>
  <si>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</si>
  <si>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</si>
  <si>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</si>
  <si>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</si>
  <si>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</si>
  <si>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</si>
  <si>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</si>
  <si>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</si>
  <si>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</si>
  <si>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</si>
  <si>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</si>
  <si>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</si>
  <si>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</si>
  <si>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</si>
  <si>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</si>
  <si>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</si>
  <si>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</si>
  <si>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</si>
  <si>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</si>
  <si>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</si>
  <si>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</si>
  <si>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</si>
  <si>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</si>
  <si>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</si>
  <si>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</si>
  <si>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</si>
  <si>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</si>
  <si>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</si>
  <si>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</si>
  <si>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</si>
  <si>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</si>
  <si>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</si>
  <si>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</si>
  <si>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</si>
  <si>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</si>
  <si>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</si>
  <si>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</si>
  <si>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</si>
  <si>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</si>
  <si>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</si>
  <si>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</si>
  <si>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</si>
  <si>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</si>
  <si>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</si>
  <si>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</si>
  <si>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</si>
  <si>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</si>
  <si>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</si>
  <si>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</si>
  <si>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</si>
  <si>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</si>
  <si>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</si>
  <si>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</si>
  <si>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</si>
  <si>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</si>
  <si>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</si>
  <si>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</si>
  <si>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</si>
  <si>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</si>
  <si>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</si>
  <si>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</si>
  <si>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</si>
  <si>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</si>
  <si>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</si>
  <si>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</si>
  <si>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</si>
  <si>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</si>
  <si>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</si>
  <si>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</si>
  <si>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</si>
  <si>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</si>
  <si>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</si>
  <si>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</si>
  <si>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</si>
  <si>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</si>
  <si>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</si>
  <si>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</si>
  <si>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</si>
  <si>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</si>
  <si>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</si>
  <si>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</si>
  <si>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</si>
  <si>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</si>
  <si>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</si>
  <si>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</si>
  <si>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</si>
  <si>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</si>
  <si>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</si>
  <si>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</si>
  <si>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</si>
  <si>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</si>
  <si>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</si>
  <si>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</si>
  <si>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</si>
  <si>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</si>
  <si>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</si>
  <si>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</si>
  <si>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</si>
  <si>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</si>
  <si>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</si>
  <si>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</si>
  <si>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</si>
  <si>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</si>
  <si>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</si>
  <si>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</si>
  <si>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</si>
  <si>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</si>
  <si>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</si>
  <si>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</si>
  <si>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</si>
  <si>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</si>
  <si>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</si>
  <si>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</si>
  <si>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</si>
  <si>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</si>
  <si>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</si>
  <si>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</si>
  <si>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</si>
  <si>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</si>
  <si>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</si>
  <si>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</si>
  <si>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</si>
  <si>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</si>
  <si>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</si>
  <si>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</si>
  <si>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</si>
  <si>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</si>
  <si>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</si>
  <si>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</si>
  <si>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</si>
  <si>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</si>
  <si>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</si>
  <si>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</si>
  <si>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</si>
  <si>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</si>
  <si>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</si>
  <si>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</si>
  <si>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</si>
  <si>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</si>
  <si>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</si>
  <si>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</si>
  <si>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</si>
  <si>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</si>
  <si>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</si>
  <si>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</si>
  <si>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</si>
  <si>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</si>
  <si>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</si>
  <si>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</si>
  <si>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</si>
  <si>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</si>
  <si>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</si>
  <si>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</si>
  <si>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</si>
  <si>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</si>
  <si>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</si>
  <si>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</si>
  <si>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</si>
  <si>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</si>
  <si>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</si>
  <si>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</si>
  <si>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</si>
  <si>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</si>
  <si>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</si>
  <si>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</si>
  <si>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</si>
  <si>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</si>
  <si>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</si>
  <si>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</si>
  <si>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</si>
  <si>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</si>
  <si>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</si>
  <si>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</si>
  <si>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</si>
  <si>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</si>
  <si>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</si>
  <si>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</si>
  <si>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</si>
  <si>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</si>
  <si>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</si>
  <si>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</si>
  <si>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</si>
  <si>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</si>
  <si>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</si>
  <si>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</si>
  <si>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</si>
  <si>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</si>
  <si>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</si>
  <si>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</si>
  <si>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</si>
  <si>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</si>
  <si>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</si>
  <si>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</si>
  <si>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</si>
  <si>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</si>
  <si>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</si>
  <si>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</si>
  <si>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</si>
  <si>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</si>
  <si>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</si>
  <si>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</si>
  <si>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</si>
  <si>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</si>
  <si>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</si>
  <si>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</si>
  <si>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</si>
  <si>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</si>
  <si>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</si>
  <si>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</si>
  <si>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</si>
  <si>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</si>
  <si>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</si>
  <si>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</si>
  <si>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</si>
  <si>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</si>
  <si>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</si>
  <si>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</si>
  <si>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</si>
  <si>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</si>
  <si>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</si>
  <si>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</si>
  <si>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</si>
  <si>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</si>
  <si>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</si>
  <si>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</si>
  <si>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</si>
  <si>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</si>
  <si>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</si>
  <si>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</si>
  <si>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</si>
  <si>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</si>
  <si>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</si>
  <si>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</si>
  <si>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</si>
  <si>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</si>
  <si>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</si>
  <si>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</si>
  <si>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</si>
  <si>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</si>
  <si>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</si>
  <si>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</si>
  <si>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</si>
  <si>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</si>
  <si>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</si>
  <si>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</si>
  <si>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</si>
  <si>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</si>
  <si>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</si>
  <si>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</si>
  <si>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</si>
  <si>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</si>
  <si>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</si>
  <si>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</si>
  <si>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</si>
  <si>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</si>
  <si>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</si>
  <si>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</si>
  <si>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</si>
  <si>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</si>
  <si>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</si>
  <si>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</si>
  <si>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</si>
  <si>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</si>
  <si>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</si>
  <si>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</si>
  <si>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</si>
  <si>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</si>
  <si>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</si>
  <si>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</si>
  <si>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</si>
  <si>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</si>
  <si>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</si>
  <si>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</si>
  <si>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</si>
  <si>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</si>
  <si>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</si>
  <si>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</si>
  <si>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</si>
  <si>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</si>
  <si>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</si>
  <si>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</si>
  <si>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</si>
  <si>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</si>
  <si>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</si>
  <si>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</si>
  <si>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</si>
  <si>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</si>
  <si>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</si>
  <si>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</si>
  <si>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</si>
  <si>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</si>
  <si>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</si>
  <si>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</si>
  <si>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</si>
  <si>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</si>
  <si>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</si>
  <si>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</si>
  <si>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</si>
  <si>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</si>
  <si>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</si>
  <si>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</si>
  <si>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</si>
  <si>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</si>
  <si>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</si>
  <si>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</si>
  <si>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</si>
  <si>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</si>
  <si>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</si>
  <si>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</si>
  <si>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</si>
  <si>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</si>
  <si>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</si>
  <si>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</si>
  <si>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</si>
  <si>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</si>
  <si>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</si>
  <si>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</si>
  <si>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</si>
  <si>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</si>
  <si>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</si>
  <si>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</si>
  <si>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</si>
  <si>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</si>
  <si>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</si>
  <si>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</si>
  <si>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</si>
  <si>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</si>
  <si>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</si>
  <si>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</si>
  <si>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</si>
  <si>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</si>
  <si>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</si>
  <si>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</si>
  <si>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</si>
  <si>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</si>
  <si>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</si>
  <si>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</si>
  <si>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</si>
  <si>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</si>
  <si>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</si>
  <si>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</si>
  <si>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</si>
  <si>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</si>
  <si>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</si>
  <si>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</si>
  <si>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</si>
  <si>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</si>
  <si>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</si>
  <si>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</si>
  <si>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</si>
  <si>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</si>
  <si>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</si>
  <si>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</si>
  <si>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</si>
  <si>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</si>
  <si>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</si>
  <si>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</si>
  <si>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</si>
  <si>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</si>
  <si>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</si>
  <si>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</si>
  <si>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</si>
  <si>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</si>
  <si>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</si>
  <si>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</si>
  <si>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</si>
  <si>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</si>
  <si>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</si>
  <si>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</si>
  <si>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</si>
  <si>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</si>
  <si>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</si>
  <si>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</si>
  <si>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</si>
  <si>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</si>
  <si>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</si>
  <si>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</si>
  <si>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</si>
  <si>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</si>
  <si>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</si>
  <si>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</si>
  <si>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</si>
  <si>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</si>
  <si>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</si>
  <si>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</si>
  <si>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</si>
  <si>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</si>
  <si>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</si>
  <si>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</si>
  <si>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</si>
  <si>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</si>
  <si>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</si>
  <si>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</si>
  <si>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</si>
  <si>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</si>
  <si>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</si>
  <si>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</si>
  <si>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</si>
  <si>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</si>
  <si>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</si>
  <si>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</si>
  <si>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</si>
  <si>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</si>
  <si>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</si>
  <si>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</si>
  <si>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</si>
  <si>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</si>
  <si>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</si>
  <si>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</si>
  <si>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</si>
  <si>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</si>
  <si>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</si>
  <si>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</si>
  <si>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</si>
  <si>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</si>
  <si>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</si>
  <si>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</si>
  <si>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</si>
  <si>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</si>
  <si>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</si>
  <si>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</si>
  <si>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</si>
  <si>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</si>
  <si>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</si>
  <si>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</si>
  <si>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</si>
  <si>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</si>
  <si>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</si>
  <si>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</si>
  <si>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</si>
  <si>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</si>
  <si>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</si>
  <si>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</si>
  <si>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</si>
  <si>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</si>
  <si>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</si>
  <si>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</si>
  <si>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</si>
  <si>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</si>
  <si>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</si>
  <si>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</si>
  <si>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</si>
  <si>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</si>
  <si>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</si>
  <si>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</si>
  <si>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</si>
  <si>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</si>
  <si>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</si>
  <si>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</si>
  <si>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</si>
  <si>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</si>
  <si>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</si>
  <si>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</si>
  <si>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</si>
  <si>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</si>
  <si>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</si>
  <si>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</si>
  <si>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</si>
  <si>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</si>
  <si>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</si>
  <si>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</si>
  <si>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</si>
  <si>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</si>
  <si>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</si>
  <si>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</si>
  <si>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</si>
  <si>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</si>
  <si>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</si>
  <si>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</si>
  <si>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</si>
  <si>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</si>
  <si>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</si>
  <si>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</si>
  <si>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</si>
  <si>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</si>
  <si>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</si>
  <si>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</si>
  <si>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</si>
  <si>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</si>
  <si>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</si>
  <si>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</si>
  <si>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</si>
  <si>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</si>
  <si>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</si>
  <si>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</si>
  <si>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</si>
  <si>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</si>
  <si>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</si>
  <si>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</si>
  <si>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</si>
  <si>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</si>
  <si>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</si>
  <si>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</si>
  <si>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</si>
  <si>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</si>
  <si>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</si>
  <si>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</si>
  <si>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</si>
  <si>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</si>
  <si>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</si>
  <si>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</si>
  <si>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</si>
  <si>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</si>
  <si>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</si>
  <si>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</si>
  <si>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</si>
  <si>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</si>
  <si>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</si>
  <si>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</si>
  <si>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</si>
  <si>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</si>
  <si>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</si>
  <si>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</si>
  <si>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</si>
  <si>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</si>
  <si>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</si>
  <si>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</si>
  <si>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</si>
  <si>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</si>
  <si>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</si>
  <si>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</si>
  <si>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</si>
  <si>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</si>
  <si>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</si>
  <si>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</si>
  <si>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</si>
  <si>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</si>
  <si>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</si>
  <si>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</si>
  <si>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</si>
  <si>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</si>
  <si>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</si>
  <si>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</si>
  <si>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</si>
  <si>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</si>
  <si>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</si>
  <si>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</si>
  <si>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</si>
  <si>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</si>
  <si>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</si>
  <si>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</si>
  <si>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</si>
  <si>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</si>
  <si>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</si>
  <si>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</si>
  <si>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</si>
  <si>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</si>
  <si>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</si>
  <si>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</si>
  <si>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</si>
  <si>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</si>
  <si>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</si>
  <si>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</si>
  <si>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</si>
  <si>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</si>
  <si>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</si>
  <si>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</si>
  <si>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</si>
  <si>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</si>
  <si>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</si>
  <si>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</si>
  <si>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</si>
  <si>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</si>
  <si>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</si>
  <si>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</si>
  <si>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</si>
  <si>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</si>
  <si>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</si>
  <si>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</si>
  <si>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</si>
  <si>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</si>
  <si>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</si>
  <si>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</si>
  <si>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</si>
  <si>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</si>
  <si>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</si>
  <si>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</si>
  <si>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</si>
  <si>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</si>
  <si>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</si>
  <si>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</si>
  <si>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</si>
  <si>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</si>
  <si>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</si>
  <si>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</si>
  <si>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</si>
  <si>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</si>
  <si>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</si>
  <si>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</si>
  <si>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</si>
  <si>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</si>
  <si>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</si>
  <si>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</si>
  <si>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</si>
  <si>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</si>
  <si>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</si>
  <si>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</si>
  <si>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</si>
  <si>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</si>
  <si>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</si>
  <si>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</si>
  <si>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</si>
  <si>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</si>
  <si>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</si>
  <si>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</si>
  <si>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</si>
  <si>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</si>
  <si>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</si>
  <si>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</si>
  <si>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</si>
  <si>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</si>
  <si>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</si>
  <si>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</si>
  <si>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</si>
  <si>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</si>
  <si>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</si>
  <si>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</si>
  <si>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</si>
  <si>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</si>
  <si>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</si>
  <si>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</si>
  <si>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</si>
  <si>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</si>
  <si>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</si>
  <si>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</si>
  <si>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</si>
  <si>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</si>
  <si>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</si>
  <si>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</si>
  <si>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</si>
  <si>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</si>
  <si>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</si>
  <si>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</si>
  <si>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</si>
  <si>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</si>
  <si>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</si>
  <si>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</si>
  <si>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</si>
  <si>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</si>
  <si>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</si>
  <si>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</si>
  <si>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</si>
  <si>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</si>
  <si>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</si>
  <si>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</si>
  <si>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</si>
  <si>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</si>
  <si>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</si>
  <si>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</si>
  <si>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</si>
  <si>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</si>
  <si>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</si>
  <si>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</si>
  <si>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</si>
  <si>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</si>
  <si>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</si>
  <si>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</si>
  <si>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</si>
  <si>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</si>
  <si>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</si>
  <si>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</si>
  <si>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</si>
  <si>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</si>
  <si>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</si>
  <si>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</si>
  <si>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</si>
  <si>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</si>
  <si>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</si>
  <si>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</si>
  <si>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</si>
  <si>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</si>
  <si>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</si>
  <si>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</si>
  <si>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</si>
  <si>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</si>
  <si>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</si>
  <si>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</si>
  <si>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</si>
  <si>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</si>
  <si>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</si>
  <si>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</si>
  <si>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</si>
  <si>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</si>
  <si>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</si>
  <si>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</si>
  <si>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</si>
  <si>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</si>
  <si>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</si>
  <si>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</si>
  <si>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</si>
  <si>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</si>
  <si>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</si>
  <si>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</si>
  <si>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</si>
  <si>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</si>
  <si>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</si>
  <si>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</si>
  <si>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</si>
  <si>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</si>
  <si>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</si>
  <si>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</si>
  <si>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</si>
  <si>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</si>
  <si>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</si>
  <si>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</si>
  <si>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</si>
  <si>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</si>
  <si>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</si>
  <si>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</si>
  <si>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</si>
  <si>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</si>
  <si>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</si>
  <si>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</si>
  <si>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</si>
  <si>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</si>
  <si>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</si>
  <si>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</si>
  <si>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</si>
  <si>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</si>
  <si>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</si>
  <si>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</si>
  <si>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</si>
  <si>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</si>
  <si>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</si>
  <si>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</si>
  <si>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</si>
  <si>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</si>
  <si>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</si>
  <si>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</si>
  <si>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</si>
  <si>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</si>
  <si>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</si>
  <si>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</si>
  <si>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</si>
  <si>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</si>
  <si>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</si>
  <si>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</si>
  <si>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</si>
  <si>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</si>
  <si>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</si>
  <si>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</si>
  <si>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</si>
  <si>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</si>
  <si>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</si>
  <si>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</si>
  <si>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</si>
  <si>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</si>
  <si>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</si>
  <si>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</si>
  <si>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</si>
  <si>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</si>
  <si>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</si>
  <si>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</si>
  <si>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</si>
  <si>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</si>
  <si>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</si>
  <si>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</si>
  <si>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</si>
  <si>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</si>
  <si>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</si>
  <si>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</si>
  <si>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</si>
  <si>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</si>
  <si>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</si>
  <si>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</si>
  <si>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</si>
  <si>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</si>
  <si>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</si>
  <si>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</si>
  <si>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</si>
  <si>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</si>
  <si>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</si>
  <si>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</si>
  <si>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</si>
  <si>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</si>
  <si>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</si>
  <si>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</si>
  <si>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</si>
  <si>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</si>
  <si>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</si>
  <si>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</si>
  <si>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</si>
  <si>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</si>
  <si>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</si>
  <si>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</si>
  <si>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</si>
  <si>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</si>
  <si>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</si>
  <si>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</si>
  <si>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</si>
  <si>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</si>
  <si>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</si>
  <si>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</si>
  <si>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</si>
  <si>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</si>
  <si>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</si>
  <si>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</si>
  <si>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</si>
  <si>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</si>
  <si>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</si>
  <si>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</si>
  <si>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</si>
  <si>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</si>
  <si>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</si>
  <si>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</si>
  <si>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</si>
  <si>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</si>
  <si>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</si>
  <si>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</si>
  <si>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</si>
  <si>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</si>
  <si>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</si>
  <si>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</si>
  <si>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</si>
  <si>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</si>
  <si>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</si>
  <si>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</si>
  <si>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</si>
  <si>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</si>
  <si>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</si>
  <si>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</si>
  <si>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</si>
  <si>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</si>
  <si>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</si>
  <si>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</si>
  <si>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</si>
  <si>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</si>
  <si>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</si>
  <si>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</si>
  <si>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</si>
  <si>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</si>
  <si>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</si>
  <si>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</si>
  <si>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</si>
  <si>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</si>
  <si>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</si>
  <si>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</si>
  <si>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</si>
  <si>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</si>
  <si>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</si>
  <si>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</si>
  <si>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</si>
  <si>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</si>
  <si>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</si>
  <si>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</si>
  <si>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</si>
  <si>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</si>
  <si>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</si>
  <si>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</si>
  <si>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</si>
  <si>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</si>
  <si>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</si>
  <si>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</si>
  <si>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</si>
  <si>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</si>
  <si>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</si>
  <si>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</si>
  <si>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</si>
  <si>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</si>
  <si>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</si>
  <si>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</si>
  <si>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</si>
  <si>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</si>
  <si>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</si>
  <si>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</si>
  <si>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</si>
  <si>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</si>
  <si>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</si>
  <si>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</si>
  <si>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</si>
  <si>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</si>
  <si>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</si>
  <si>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</si>
  <si>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</si>
  <si>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</si>
  <si>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</si>
  <si>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</si>
  <si>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</si>
  <si>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</si>
  <si>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</si>
  <si>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</si>
  <si>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</si>
  <si>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</si>
  <si>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</si>
  <si>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</si>
  <si>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</si>
  <si>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</si>
  <si>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</si>
  <si>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</si>
  <si>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</si>
  <si>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</si>
  <si>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</si>
  <si>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</si>
  <si>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</si>
  <si>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</si>
  <si>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</si>
  <si>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</si>
  <si>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</si>
  <si>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</si>
  <si>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</si>
  <si>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</si>
  <si>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</si>
  <si>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</si>
  <si>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</si>
  <si>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</si>
  <si>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</si>
  <si>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</si>
  <si>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</si>
  <si>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</si>
  <si>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</si>
  <si>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</si>
  <si>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</si>
  <si>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</si>
  <si>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</si>
  <si>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</si>
  <si>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</si>
  <si>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</si>
  <si>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</si>
  <si>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</si>
  <si>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</si>
  <si>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</si>
  <si>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</si>
  <si>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</si>
  <si>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</si>
  <si>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</si>
  <si>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</si>
  <si>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</si>
  <si>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</si>
  <si>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</si>
  <si>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</si>
  <si>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</si>
  <si>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</si>
  <si>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</si>
  <si>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</si>
  <si>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</si>
  <si>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</si>
  <si>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</si>
  <si>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</si>
  <si>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</si>
  <si>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</si>
  <si>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</si>
  <si>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</si>
  <si>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</si>
  <si>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</si>
  <si>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</si>
  <si>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</si>
  <si>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</si>
  <si>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</si>
  <si>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</si>
  <si>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</si>
  <si>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</si>
  <si>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</si>
  <si>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</si>
  <si>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</si>
  <si>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</si>
  <si>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</si>
  <si>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</si>
  <si>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</si>
  <si>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</si>
  <si>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</si>
  <si>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</si>
  <si>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</si>
  <si>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</si>
  <si>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</si>
  <si>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</si>
  <si>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</si>
  <si>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</si>
  <si>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</si>
  <si>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</si>
  <si>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</si>
  <si>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</si>
  <si>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</si>
  <si>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</si>
  <si>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</si>
  <si>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</si>
  <si>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</si>
  <si>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</si>
  <si>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</si>
  <si>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</si>
  <si>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</si>
  <si>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</si>
  <si>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</si>
  <si>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</si>
  <si>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</si>
  <si>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</si>
  <si>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</si>
  <si>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</si>
  <si>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</si>
  <si>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</si>
  <si>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</si>
  <si>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</si>
  <si>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</si>
  <si>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</si>
  <si>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</si>
  <si>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</si>
  <si>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</si>
  <si>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</si>
  <si>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</si>
  <si>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</si>
  <si>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</si>
  <si>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</si>
  <si>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</si>
  <si>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</si>
  <si>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</si>
  <si>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</si>
  <si>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</si>
  <si>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</si>
  <si>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</si>
  <si>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</si>
  <si>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</si>
  <si>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</si>
  <si>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</si>
  <si>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</si>
  <si>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</si>
  <si>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</si>
  <si>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</si>
  <si>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</si>
  <si>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</si>
  <si>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</si>
  <si>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</si>
  <si>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</si>
  <si>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</si>
  <si>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</si>
  <si>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</si>
  <si>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</si>
  <si>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</si>
  <si>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</si>
  <si>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</si>
  <si>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</si>
  <si>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</si>
  <si>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</si>
  <si>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</si>
  <si>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</si>
  <si>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</si>
  <si>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</si>
  <si>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</si>
  <si>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</si>
  <si>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</si>
  <si>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</si>
  <si>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</si>
  <si>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</si>
  <si>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</si>
  <si>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</si>
  <si>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</si>
  <si>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</si>
  <si>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</si>
  <si>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</si>
  <si>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</si>
  <si>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</si>
  <si>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</si>
  <si>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</si>
  <si>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</si>
  <si>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</si>
  <si>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</si>
  <si>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</si>
  <si>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</si>
  <si>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</si>
  <si>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</si>
  <si>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</si>
  <si>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</si>
  <si>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</si>
  <si>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</si>
  <si>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</si>
  <si>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</si>
  <si>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</si>
  <si>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</si>
  <si>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</si>
  <si>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</si>
  <si>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</si>
  <si>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</si>
  <si>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</si>
  <si>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</si>
  <si>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</si>
  <si>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</si>
  <si>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</si>
  <si>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</si>
  <si>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</si>
  <si>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</si>
  <si>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</si>
  <si>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</si>
  <si>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</si>
  <si>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</si>
  <si>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</si>
  <si>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</si>
  <si>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</si>
  <si>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</si>
  <si>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</si>
  <si>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</si>
  <si>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</si>
  <si>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</si>
  <si>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</si>
  <si>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</si>
  <si>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</si>
  <si>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</si>
  <si>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</si>
  <si>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</si>
  <si>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</si>
  <si>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</si>
  <si>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</si>
  <si>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</si>
  <si>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</si>
  <si>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</si>
  <si>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</si>
  <si>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</si>
  <si>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</si>
  <si>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</si>
  <si>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</si>
  <si>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</si>
  <si>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</si>
  <si>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</si>
  <si>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</si>
  <si>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</si>
  <si>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</si>
  <si>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</si>
  <si>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</si>
  <si>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</si>
  <si>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</si>
  <si>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</si>
  <si>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</si>
  <si>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</si>
  <si>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</si>
  <si>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</si>
  <si>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</si>
  <si>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</si>
  <si>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</si>
  <si>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</si>
  <si>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</si>
  <si>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</si>
  <si>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</si>
  <si>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</si>
  <si>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</si>
  <si>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</si>
  <si>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</si>
  <si>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</si>
  <si>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</si>
  <si>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</si>
  <si>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</si>
  <si>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</si>
  <si>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</si>
  <si>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</si>
  <si>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</si>
  <si>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</si>
  <si>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</si>
  <si>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</si>
  <si>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</si>
  <si>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</si>
  <si>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</si>
  <si>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</si>
  <si>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</si>
  <si>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</si>
  <si>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</si>
  <si>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</si>
  <si>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</si>
  <si>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</si>
  <si>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</si>
  <si>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</si>
  <si>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</si>
  <si>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</si>
  <si>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</si>
  <si>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</si>
  <si>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</si>
  <si>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</si>
  <si>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</si>
  <si>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</si>
  <si>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</si>
  <si>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</si>
  <si>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</si>
  <si>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</si>
  <si>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</si>
  <si>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</si>
  <si>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</si>
  <si>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</si>
  <si>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</si>
  <si>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</si>
  <si>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</si>
  <si>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</si>
  <si>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</si>
  <si>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</si>
  <si>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</si>
  <si>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</si>
  <si>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</si>
  <si>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</si>
  <si>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</si>
  <si>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</si>
  <si>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</si>
  <si>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</si>
  <si>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</si>
  <si>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</si>
  <si>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</si>
  <si>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</si>
  <si>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</si>
  <si>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</si>
  <si>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</si>
  <si>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</si>
  <si>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</si>
  <si>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</si>
  <si>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</si>
  <si>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</si>
  <si>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</si>
  <si>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</si>
  <si>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</si>
  <si>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</si>
  <si>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</si>
  <si>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</si>
  <si>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</si>
  <si>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</si>
  <si>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</si>
  <si>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</si>
  <si>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</si>
  <si>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</si>
  <si>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</si>
  <si>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</si>
  <si>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</si>
  <si>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</si>
  <si>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</si>
  <si>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</si>
  <si>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</si>
  <si>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</si>
  <si>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</si>
  <si>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</si>
  <si>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</si>
  <si>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</si>
  <si>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</si>
  <si>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</si>
  <si>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</si>
  <si>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</si>
  <si>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</si>
  <si>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</si>
  <si>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</si>
  <si>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</si>
  <si>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</si>
  <si>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</si>
  <si>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</si>
  <si>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</si>
  <si>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</si>
  <si>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</si>
  <si>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</si>
  <si>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</si>
  <si>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</si>
  <si>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</si>
  <si>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</si>
  <si>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</si>
  <si>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</si>
  <si>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</si>
  <si>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</si>
  <si>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</si>
  <si>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</si>
  <si>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</si>
  <si>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</si>
  <si>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</si>
  <si>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</si>
  <si>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</si>
  <si>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</si>
  <si>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</si>
  <si>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</si>
  <si>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</si>
  <si>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</si>
  <si>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</si>
  <si>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</si>
  <si>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</si>
  <si>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</si>
  <si>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</si>
  <si>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</si>
  <si>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</si>
  <si>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</si>
  <si>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</si>
  <si>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</si>
  <si>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</si>
  <si>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</si>
  <si>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</si>
  <si>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</si>
  <si>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</si>
  <si>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</si>
  <si>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</si>
  <si>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</si>
  <si>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</si>
  <si>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</si>
  <si>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</si>
  <si>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</si>
  <si>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</si>
  <si>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</si>
  <si>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</si>
  <si>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</si>
  <si>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</si>
  <si>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</si>
  <si>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</si>
  <si>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</si>
  <si>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</si>
  <si>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</si>
  <si>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</si>
  <si>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</si>
  <si>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</si>
  <si>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</si>
  <si>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</si>
  <si>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</si>
  <si>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</si>
  <si>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</si>
  <si>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</si>
  <si>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</si>
  <si>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</si>
  <si>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</si>
  <si>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</si>
  <si>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</si>
  <si>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</si>
  <si>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</si>
  <si>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</si>
  <si>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</si>
  <si>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</si>
  <si>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</si>
  <si>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</si>
  <si>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</si>
  <si>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</si>
  <si>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</si>
  <si>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</si>
  <si>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</si>
  <si>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</si>
  <si>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</si>
  <si>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</si>
  <si>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</si>
  <si>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</si>
  <si>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</si>
  <si>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</si>
  <si>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</si>
  <si>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</si>
  <si>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</si>
  <si>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</si>
  <si>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</si>
  <si>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</si>
  <si>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</si>
  <si>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</si>
  <si>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</si>
  <si>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</si>
  <si>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</si>
  <si>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</si>
  <si>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</si>
  <si>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</si>
  <si>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</si>
  <si>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</si>
  <si>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</si>
  <si>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</si>
  <si>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</si>
  <si>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</si>
  <si>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</si>
  <si>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</si>
  <si>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</si>
  <si>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</si>
  <si>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</si>
  <si>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</si>
  <si>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</si>
  <si>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</si>
  <si>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</si>
  <si>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</si>
  <si>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</si>
  <si>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</si>
  <si>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</si>
  <si>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</si>
  <si>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</si>
  <si>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</si>
  <si>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</si>
  <si>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</si>
  <si>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</si>
  <si>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</si>
  <si>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</si>
  <si>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</si>
  <si>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</si>
  <si>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</si>
  <si>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</si>
  <si>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</si>
  <si>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</si>
  <si>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</si>
  <si>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</si>
  <si>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</si>
  <si>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</si>
  <si>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</si>
  <si>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</si>
  <si>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</si>
  <si>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</si>
  <si>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</si>
  <si>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</si>
  <si>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</si>
  <si>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</si>
  <si>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</si>
  <si>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</si>
  <si>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</si>
  <si>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</si>
  <si>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</si>
  <si>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</si>
  <si>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</si>
  <si>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</si>
  <si>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</si>
  <si>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</si>
  <si>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</si>
  <si>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</si>
  <si>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</si>
  <si>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</si>
  <si>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</si>
  <si>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</si>
  <si>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</si>
  <si>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</si>
  <si>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</si>
  <si>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</si>
  <si>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</si>
  <si>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</si>
  <si>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</si>
  <si>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</si>
  <si>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</si>
  <si>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</si>
  <si>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</si>
  <si>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</si>
  <si>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</si>
  <si>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</si>
  <si>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</si>
  <si>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</si>
  <si>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</si>
  <si>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</si>
  <si>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</si>
  <si>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</si>
  <si>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</si>
  <si>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</si>
  <si>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</si>
  <si>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</si>
  <si>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</si>
  <si>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</si>
  <si>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</si>
  <si>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</si>
  <si>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</si>
  <si>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</si>
  <si>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</si>
  <si>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</si>
  <si>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</si>
  <si>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</si>
  <si>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</si>
  <si>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</si>
  <si>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</si>
  <si>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</si>
  <si>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</si>
  <si>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</si>
  <si>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</si>
  <si>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</si>
  <si>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</si>
  <si>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</si>
  <si>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</si>
  <si>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</si>
  <si>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</si>
  <si>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</si>
  <si>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</si>
  <si>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</si>
  <si>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</si>
  <si>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</si>
  <si>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</si>
  <si>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</si>
  <si>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</si>
  <si>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</si>
  <si>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</si>
  <si>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</si>
  <si>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</si>
  <si>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</si>
  <si>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</si>
  <si>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</si>
  <si>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</si>
  <si>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</si>
  <si>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</si>
  <si>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</si>
  <si>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</si>
  <si>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</si>
  <si>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</si>
  <si>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</si>
  <si>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</si>
  <si>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</si>
  <si>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</si>
  <si>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</si>
  <si>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</si>
  <si>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</si>
  <si>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</si>
  <si>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</si>
  <si>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</si>
  <si>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</si>
  <si>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</si>
  <si>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</si>
  <si>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</si>
  <si>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</si>
  <si>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</si>
  <si>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</si>
  <si>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</si>
  <si>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</si>
  <si>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</si>
  <si>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</si>
  <si>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</si>
  <si>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</si>
  <si>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</si>
  <si>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</si>
  <si>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</si>
  <si>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</si>
  <si>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</si>
  <si>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</si>
  <si>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</si>
  <si>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</si>
  <si>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</si>
  <si>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</si>
  <si>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</si>
  <si>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</si>
  <si>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</si>
  <si>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</si>
  <si>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</si>
  <si>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</si>
  <si>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</si>
  <si>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</si>
  <si>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</si>
  <si>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</si>
  <si>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</si>
  <si>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</si>
  <si>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</si>
  <si>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</si>
  <si>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</si>
  <si>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</si>
  <si>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</si>
  <si>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</si>
  <si>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</si>
  <si>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</si>
  <si>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</si>
  <si>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</si>
  <si>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</si>
  <si>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</si>
  <si>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</si>
  <si>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</si>
  <si>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</si>
  <si>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</si>
  <si>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</si>
  <si>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</si>
  <si>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</si>
  <si>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</si>
  <si>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</si>
  <si>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</si>
  <si>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</si>
  <si>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</si>
  <si>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</si>
  <si>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</si>
  <si>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</si>
  <si>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</si>
  <si>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</si>
  <si>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</si>
  <si>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</si>
  <si>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</si>
  <si>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</si>
  <si>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</si>
  <si>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</si>
  <si>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</si>
  <si>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</si>
  <si>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</si>
  <si>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</si>
  <si>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</si>
  <si>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</si>
  <si>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</si>
  <si>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</si>
  <si>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</si>
  <si>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</si>
  <si>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</si>
  <si>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</si>
  <si>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</si>
  <si>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</si>
  <si>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</si>
  <si>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</si>
  <si>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</si>
  <si>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</si>
  <si>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</si>
  <si>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</si>
  <si>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</si>
  <si>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</si>
  <si>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</si>
  <si>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</si>
  <si>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</si>
  <si>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</si>
  <si>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</si>
  <si>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</si>
  <si>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</si>
  <si>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</si>
  <si>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</si>
  <si>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</si>
  <si>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</si>
  <si>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</si>
  <si>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</si>
  <si>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</si>
  <si>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</si>
  <si>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</si>
  <si>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</si>
  <si>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</si>
  <si>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</si>
  <si>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</si>
  <si>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</si>
  <si>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</si>
  <si>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</si>
  <si>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</si>
  <si>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</si>
  <si>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</si>
  <si>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</si>
  <si>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</si>
  <si>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</si>
  <si>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</si>
  <si>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</si>
  <si>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</si>
  <si>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</si>
  <si>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</si>
  <si>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</si>
  <si>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</si>
  <si>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</si>
  <si>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</si>
  <si>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</si>
  <si>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</si>
  <si>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</si>
  <si>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</si>
  <si>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</si>
  <si>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</si>
  <si>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</si>
  <si>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</si>
  <si>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</si>
  <si>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</si>
  <si>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</si>
  <si>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</si>
  <si>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</si>
  <si>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</si>
  <si>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</si>
  <si>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</si>
  <si>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</si>
  <si>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</si>
  <si>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</si>
  <si>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</si>
  <si>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</si>
  <si>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</si>
  <si>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</si>
  <si>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</si>
  <si>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</si>
  <si>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</si>
  <si>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</si>
  <si>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</si>
  <si>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</si>
  <si>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</si>
  <si>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</si>
  <si>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</si>
  <si>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</si>
  <si>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</si>
  <si>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</si>
  <si>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</si>
  <si>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</si>
  <si>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</si>
  <si>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</si>
  <si>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</si>
  <si>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</si>
  <si>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</si>
  <si>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</si>
  <si>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</si>
  <si>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</si>
  <si>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</si>
  <si>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</si>
  <si>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</si>
  <si>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</si>
  <si>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</si>
  <si>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</si>
  <si>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</si>
  <si>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</si>
  <si>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</si>
  <si>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</si>
  <si>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</si>
  <si>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</si>
  <si>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</si>
  <si>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</si>
  <si>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</si>
  <si>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</si>
  <si>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</si>
  <si>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</si>
  <si>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</si>
  <si>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</si>
  <si>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</si>
  <si>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</si>
  <si>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</si>
  <si>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</si>
  <si>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</si>
  <si>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</si>
  <si>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</si>
  <si>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</si>
  <si>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</si>
  <si>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</si>
  <si>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</si>
  <si>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</si>
  <si>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</si>
  <si>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</si>
  <si>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</si>
  <si>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</si>
  <si>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</si>
  <si>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</si>
  <si>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</si>
  <si>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</si>
  <si>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</si>
  <si>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</si>
  <si>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</si>
  <si>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</si>
  <si>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</si>
  <si>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</si>
  <si>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</si>
  <si>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</si>
  <si>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</si>
  <si>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</si>
  <si>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</si>
  <si>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</si>
  <si>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</si>
  <si>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</si>
  <si>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</si>
  <si>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</si>
  <si>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</si>
  <si>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</si>
  <si>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</si>
  <si>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</si>
  <si>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</si>
  <si>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</si>
  <si>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</si>
  <si>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</si>
  <si>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</si>
  <si>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</si>
  <si>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</si>
  <si>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</si>
  <si>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</si>
  <si>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</si>
  <si>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</si>
  <si>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</si>
  <si>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</si>
  <si>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</si>
  <si>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</si>
  <si>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</si>
  <si>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</si>
  <si>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</si>
  <si>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</si>
  <si>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</si>
  <si>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</si>
  <si>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</si>
  <si>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</si>
  <si>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</si>
  <si>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</si>
  <si>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</si>
  <si>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</si>
  <si>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</si>
  <si>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</si>
  <si>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</si>
  <si>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</si>
  <si>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</si>
  <si>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</si>
  <si>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</si>
  <si>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</si>
  <si>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</si>
  <si>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</si>
  <si>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</si>
  <si>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</si>
  <si>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</si>
  <si>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</si>
  <si>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</si>
  <si>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</si>
  <si>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</si>
  <si>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</si>
  <si>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</si>
  <si>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</si>
  <si>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</si>
  <si>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</si>
  <si>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</si>
  <si>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</si>
  <si>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</si>
  <si>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</si>
  <si>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</si>
  <si>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</si>
  <si>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</si>
  <si>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</si>
  <si>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</si>
  <si>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</si>
  <si>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</si>
  <si>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</si>
  <si>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</si>
  <si>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</si>
  <si>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</si>
  <si>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</si>
  <si>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</si>
  <si>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</si>
  <si>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</si>
  <si>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</si>
  <si>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</si>
  <si>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</si>
  <si>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</si>
  <si>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</si>
  <si>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</si>
  <si>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</si>
  <si>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</si>
  <si>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</si>
  <si>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</si>
  <si>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</si>
  <si>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</si>
  <si>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</si>
  <si>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</si>
  <si>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</si>
  <si>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</si>
  <si>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</si>
  <si>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</si>
  <si>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</si>
  <si>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</si>
  <si>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</si>
  <si>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</si>
  <si>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</si>
  <si>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</si>
  <si>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</si>
  <si>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</si>
  <si>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</si>
  <si>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</si>
  <si>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</si>
  <si>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</si>
  <si>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</si>
  <si>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</si>
  <si>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</si>
  <si>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</si>
  <si>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</si>
  <si>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</si>
  <si>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</si>
  <si>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</si>
  <si>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</si>
  <si>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</si>
  <si>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</si>
  <si>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</si>
  <si>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</si>
  <si>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</si>
  <si>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</si>
  <si>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</si>
  <si>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</si>
  <si>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</si>
  <si>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</si>
  <si>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</si>
  <si>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</si>
  <si>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</si>
  <si>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</si>
  <si>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</si>
  <si>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</si>
  <si>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</si>
  <si>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</si>
  <si>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</si>
  <si>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</si>
  <si>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</si>
  <si>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</si>
  <si>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</si>
  <si>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</si>
  <si>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</si>
  <si>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</si>
  <si>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</si>
  <si>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</si>
  <si>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</si>
  <si>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</si>
  <si>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</si>
  <si>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</si>
  <si>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</si>
  <si>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</si>
  <si>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</si>
  <si>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</si>
  <si>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</si>
  <si>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</si>
  <si>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</si>
  <si>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</si>
  <si>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</si>
  <si>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</si>
  <si>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</si>
  <si>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</si>
  <si>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</si>
  <si>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</si>
  <si>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</si>
  <si>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</si>
  <si>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</si>
  <si>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</si>
  <si>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</si>
  <si>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</si>
  <si>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</si>
  <si>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</si>
  <si>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</si>
  <si>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</si>
  <si>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</si>
  <si>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</si>
  <si>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</si>
  <si>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</si>
  <si>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</si>
  <si>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</si>
  <si>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</si>
  <si>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</si>
  <si>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</si>
  <si>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</si>
  <si>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</si>
  <si>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</si>
  <si>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</si>
  <si>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</si>
  <si>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</si>
  <si>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</si>
  <si>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</si>
  <si>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</si>
  <si>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</si>
  <si>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</si>
  <si>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</si>
  <si>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</si>
  <si>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</si>
  <si>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</si>
  <si>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</si>
  <si>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</si>
  <si>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</si>
  <si>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</si>
  <si>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</si>
  <si>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</si>
  <si>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</si>
  <si>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</si>
  <si>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</si>
  <si>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</si>
  <si>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</si>
  <si>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</si>
  <si>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</si>
  <si>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</si>
  <si>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</si>
  <si>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</si>
  <si>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</si>
  <si>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</si>
  <si>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</si>
  <si>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</si>
  <si>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</si>
  <si>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</si>
  <si>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</si>
  <si>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</si>
  <si>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</si>
  <si>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</si>
  <si>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</si>
  <si>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</si>
  <si>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</si>
  <si>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</si>
  <si>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</si>
  <si>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</si>
  <si>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</si>
  <si>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</si>
  <si>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</si>
  <si>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</si>
  <si>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</si>
  <si>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</si>
  <si>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</si>
  <si>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</si>
  <si>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</si>
  <si>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</si>
  <si>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</si>
  <si>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</si>
  <si>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</si>
  <si>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</si>
  <si>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</si>
  <si>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</si>
  <si>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</si>
  <si>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</si>
  <si>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</si>
  <si>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</si>
  <si>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</si>
  <si>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</si>
  <si>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</si>
  <si>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</si>
  <si>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</si>
  <si>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</si>
  <si>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</si>
  <si>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</si>
  <si>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</si>
  <si>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</si>
  <si>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</si>
  <si>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</si>
  <si>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</si>
  <si>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</si>
  <si>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</si>
  <si>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</si>
  <si>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</si>
  <si>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</si>
  <si>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</si>
  <si>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</si>
  <si>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</si>
  <si>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</si>
  <si>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</si>
  <si>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</si>
  <si>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</si>
  <si>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</si>
  <si>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</si>
  <si>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</si>
  <si>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</si>
  <si>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</si>
  <si>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</si>
  <si>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</si>
  <si>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</si>
  <si>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</si>
  <si>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</si>
  <si>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</si>
  <si>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</si>
  <si>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</si>
  <si>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</si>
  <si>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</si>
  <si>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</si>
  <si>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</si>
  <si>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</si>
  <si>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</si>
  <si>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</si>
  <si>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</si>
  <si>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</si>
  <si>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</si>
  <si>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</si>
  <si>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</si>
  <si>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</si>
  <si>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</si>
  <si>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</si>
  <si>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</si>
  <si>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</si>
  <si>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</si>
  <si>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</si>
  <si>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</si>
  <si>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</si>
  <si>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</si>
  <si>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</si>
  <si>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</si>
  <si>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</si>
  <si>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</si>
  <si>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</si>
  <si>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</si>
  <si>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</si>
  <si>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</si>
  <si>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</si>
  <si>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</si>
  <si>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</si>
  <si>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</si>
  <si>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Provided</t>
  </si>
  <si>
    <t>Not Applicable</t>
  </si>
  <si>
    <t>951 Old County LP</t>
  </si>
  <si>
    <t xml:space="preserve">The Ridge on Masonic </t>
  </si>
  <si>
    <t>City of Belmont</t>
  </si>
  <si>
    <t>Mr. Craig A. Ewing</t>
  </si>
  <si>
    <t xml:space="preserve">1070 6th Ave. #302 </t>
  </si>
  <si>
    <t xml:space="preserve">Belmont, CA </t>
  </si>
  <si>
    <t>(650) 637-2908</t>
  </si>
  <si>
    <t>(650) 637-2983</t>
  </si>
  <si>
    <t>951 Old County Road</t>
  </si>
  <si>
    <t>Belmont</t>
  </si>
  <si>
    <t>040-313-430</t>
  </si>
  <si>
    <t>122 E 42nd Street, Suite 1903</t>
  </si>
  <si>
    <t>New York</t>
  </si>
  <si>
    <t>NY</t>
  </si>
  <si>
    <t>Paul Salib</t>
  </si>
  <si>
    <t>212-776-1914</t>
  </si>
  <si>
    <t>psalib@crpaffordable.com</t>
  </si>
  <si>
    <t>Community Revitalization and Development Corporation</t>
  </si>
  <si>
    <t>Managing GP</t>
  </si>
  <si>
    <t>1918 West Street</t>
  </si>
  <si>
    <t>Redding</t>
  </si>
  <si>
    <t>CA</t>
  </si>
  <si>
    <t>530.241.6960</t>
  </si>
  <si>
    <t>David Rutledge</t>
  </si>
  <si>
    <t>david@crdc.org</t>
  </si>
  <si>
    <t>951 Old County AGP LLC</t>
  </si>
  <si>
    <t>Administrative GP</t>
  </si>
  <si>
    <t>CRP Affordable Housing and Community Development LLC</t>
  </si>
  <si>
    <t>Seth Sterneck</t>
  </si>
  <si>
    <t>646-518-7280</t>
  </si>
  <si>
    <t>ssterneck@crpaffordable.com</t>
  </si>
  <si>
    <t>Developer</t>
  </si>
  <si>
    <t>New York, NY 10168</t>
  </si>
  <si>
    <t>AO Architects</t>
  </si>
  <si>
    <t>144 North Orange Street</t>
  </si>
  <si>
    <t>Orange, CA 92866</t>
  </si>
  <si>
    <t>Ioanna Magiatti</t>
  </si>
  <si>
    <t>(714) 639-9860</t>
  </si>
  <si>
    <t>ioannam@aoarchitects.com</t>
  </si>
  <si>
    <t>Hobson Bernardino + Davis LLP</t>
  </si>
  <si>
    <t>6060 Center Drive, Floor 10</t>
  </si>
  <si>
    <t>Los Angeles, CA 90045</t>
  </si>
  <si>
    <t>Jason Hobson</t>
  </si>
  <si>
    <t>213-235-9191</t>
  </si>
  <si>
    <t>jhobson@hbdlegal.com</t>
  </si>
  <si>
    <t>Ironcore Construction LLC</t>
  </si>
  <si>
    <t xml:space="preserve">4429 Morena Boulevard, Suite A	</t>
  </si>
  <si>
    <t>San Diego, CA 92127</t>
  </si>
  <si>
    <t>Thomas A. Hodgin</t>
  </si>
  <si>
    <t>(619) 378-7878</t>
  </si>
  <si>
    <t>thodgin@ironcorecc.com</t>
  </si>
  <si>
    <t>Novogradac Consulting LLP</t>
  </si>
  <si>
    <t>6700 Antioch Rd #450</t>
  </si>
  <si>
    <t>Merriam, Kansas 66204</t>
  </si>
  <si>
    <t>Thomas Stagg</t>
  </si>
  <si>
    <t>515-519-1234</t>
  </si>
  <si>
    <t>thomas.stagg@novoco.com</t>
  </si>
  <si>
    <t xml:space="preserve">Enterprise Housing Credits Investments, LLC	</t>
  </si>
  <si>
    <t>70 Corporate Center, 11000 Broken Land Parkway, Suite 70</t>
  </si>
  <si>
    <t>Columbia, MD 21044</t>
  </si>
  <si>
    <t>Philip Porter</t>
  </si>
  <si>
    <t xml:space="preserve">410.772.2594​ </t>
  </si>
  <si>
    <t>pporter@enterprisecommunity.com</t>
  </si>
  <si>
    <t>Rachel Denton</t>
  </si>
  <si>
    <t>rachel.denton@novoco.com</t>
  </si>
  <si>
    <t>Partner Energy</t>
  </si>
  <si>
    <t>980 Knox St. Suite 150</t>
  </si>
  <si>
    <t>Los Angeles, Ca 90502</t>
  </si>
  <si>
    <t>Kelsey Shaw</t>
  </si>
  <si>
    <t>310-356-2199</t>
  </si>
  <si>
    <t>kshaw@ptrenergy.com</t>
  </si>
  <si>
    <t xml:space="preserve">California Municipal Finance Authority		</t>
  </si>
  <si>
    <t xml:space="preserve">2111 Palomar Airport Rd., Suite 320	</t>
  </si>
  <si>
    <t>Carlsbad, CA 92011</t>
  </si>
  <si>
    <t>760-940-8922</t>
  </si>
  <si>
    <t>CRP 951 Old County LLC</t>
  </si>
  <si>
    <t>Joel Hammer</t>
  </si>
  <si>
    <t>122 E 42nd Street, Suite 1903, NY</t>
  </si>
  <si>
    <t>Other (Specify below)</t>
  </si>
  <si>
    <t>Village Corridor Mixed Use (VCMU)</t>
  </si>
  <si>
    <t>Village Corridor Mixed Use (VCMU)- no Max density restriction</t>
  </si>
  <si>
    <t>Maximum 50 ft  (up to 65 ft with Community benefits)</t>
  </si>
  <si>
    <t>Citi Tax-exempt Construction Loa</t>
  </si>
  <si>
    <t>Citi Taxable Construction Loan</t>
  </si>
  <si>
    <t>Federal LIHTC Equity</t>
  </si>
  <si>
    <t>State LIHTC Equity</t>
  </si>
  <si>
    <t>SMC AHF 13.0</t>
  </si>
  <si>
    <t>Deferred Costs</t>
  </si>
  <si>
    <t>AHF 13.0</t>
  </si>
  <si>
    <t>300 South Grand Avenue, Suite 3110</t>
  </si>
  <si>
    <t>Los Angeles, CA 90071</t>
  </si>
  <si>
    <t>Hao Li</t>
  </si>
  <si>
    <t>(213) 239-1914</t>
  </si>
  <si>
    <t>Private</t>
  </si>
  <si>
    <t>410-964-0552</t>
  </si>
  <si>
    <t xml:space="preserve">Equity, LIHTC Investor </t>
  </si>
  <si>
    <t>264 Harbor Blvd, Building A</t>
  </si>
  <si>
    <t>Belmont, CA 94002-4017</t>
  </si>
  <si>
    <t>Jan Stokley</t>
  </si>
  <si>
    <t>650-802-3300</t>
  </si>
  <si>
    <t>4429 Morena Blvd Suite A</t>
  </si>
  <si>
    <t xml:space="preserve">(213) 239-1914	</t>
  </si>
  <si>
    <t xml:space="preserve">4429 Morena Boulevard, Suite A </t>
  </si>
  <si>
    <t>San Diego CA 92117</t>
  </si>
  <si>
    <t>SB 35</t>
  </si>
  <si>
    <t>Community Revitalization &amp; Development Corporation (CRDC)</t>
  </si>
  <si>
    <t>Authorised Sigantory</t>
  </si>
  <si>
    <t>8 story highrise - Five story Type III-A Wood Frame structure situated a top a Three-story Type I-A  podium.</t>
  </si>
  <si>
    <t>Housing Authority of the County of San Mateo</t>
  </si>
  <si>
    <t>Community Revitalization and Development Corporation &amp; CRP Affordable Housing and Community Development LLC.</t>
  </si>
  <si>
    <t>John P. Stoecker</t>
  </si>
  <si>
    <t>Novogradac &amp; Company LLP</t>
  </si>
  <si>
    <t>1300 114th Avenue SE, Suite 240</t>
  </si>
  <si>
    <t>Bellevue, WA 98004</t>
  </si>
  <si>
    <t>425-453-5783</t>
  </si>
  <si>
    <t>jstoecker@cmfa-ca.com</t>
  </si>
  <si>
    <t>Authorised Signatory</t>
  </si>
  <si>
    <t>Zero stalls required under State Density Bonus</t>
  </si>
  <si>
    <t>8 Stalls provided</t>
  </si>
  <si>
    <t>Total number of units are 63, with 4 reserved for at risk of Homelessness and</t>
  </si>
  <si>
    <t>Citi Perm Loan Tranche A</t>
  </si>
  <si>
    <t>Citi Perm Loan Tranche B</t>
  </si>
  <si>
    <t>Office Sal and Expenses</t>
  </si>
  <si>
    <t>Supplies</t>
  </si>
  <si>
    <t>Payroll taxes (project’s share)</t>
  </si>
  <si>
    <t>Property and liability insurance (hazard)</t>
  </si>
  <si>
    <t>Legal for Perm loan</t>
  </si>
  <si>
    <t xml:space="preserve">Relocation Cost </t>
  </si>
  <si>
    <t>CDLAC Fee</t>
  </si>
  <si>
    <t>SB35</t>
  </si>
  <si>
    <t>App. Fees, Late, etc</t>
  </si>
  <si>
    <t>Above residual receipts line for cash flow</t>
  </si>
  <si>
    <t>Below residual receipts line for cash flow</t>
  </si>
  <si>
    <t>Administrative GP Fee</t>
  </si>
  <si>
    <t>AHF 13.0 - Measure K</t>
  </si>
  <si>
    <t>State LIHTC</t>
  </si>
  <si>
    <t>Federal LIHTC</t>
  </si>
  <si>
    <t>Miscellaneous Third-Party Costs + Predevelopment Interest</t>
  </si>
  <si>
    <t xml:space="preserve">Workers Comp and health insurance </t>
  </si>
  <si>
    <t>FPI Management Corporation</t>
  </si>
  <si>
    <t>800 Iron Point Road</t>
  </si>
  <si>
    <t>Folsom, CA 95630</t>
  </si>
  <si>
    <t>June Valle</t>
  </si>
  <si>
    <t>916-357-5300</t>
  </si>
  <si>
    <t>june.valle@fpimgt.com</t>
  </si>
  <si>
    <t>Legal: Lender+Bond Issuer + MGP</t>
  </si>
  <si>
    <t>10 units will fulfill CTCAC accessibility requirements.</t>
  </si>
  <si>
    <t>Variable</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</si>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</sst>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
      <sz val="9"/>
      <color rgb="FF000000"/>
      <name val="Tahoma"/>
      <family val="2"/>
    </font>
    <font>
      <u/>
      <sz val="9"/>
      <color rgb="FF000000"/>
      <name val="Tahoma"/>
      <family val="2"/>
    </font>
    <font>
      <sz val="12"/>
      <name val="Arial MT"/>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061">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37" fontId="194" fillId="0" borderId="0"/>
  </cellStyleXfs>
  <cellXfs count="2688">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28"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0" fillId="5" borderId="6" xfId="0" applyFill="1" applyBorder="1" applyAlignment="1" applyProtection="1">
      <alignment horizontal="center"/>
      <protection locked="0"/>
    </xf>
    <xf numFmtId="0" fontId="28" fillId="0" borderId="0" xfId="543" applyFont="1" applyAlignment="1">
      <alignment horizontal="center"/>
    </xf>
    <xf numFmtId="0" fontId="0" fillId="0" borderId="0" xfId="0" applyAlignment="1">
      <alignment horizontal="center"/>
    </xf>
    <xf numFmtId="0" fontId="19" fillId="0" borderId="0" xfId="543" applyAlignment="1">
      <alignment wrapText="1"/>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7" fillId="0" borderId="0" xfId="0" applyFont="1" applyAlignment="1">
      <alignment horizontal="center"/>
    </xf>
    <xf numFmtId="168" fontId="28" fillId="0" borderId="4" xfId="0" applyNumberFormat="1" applyFont="1" applyBorder="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5" xfId="0" applyNumberFormat="1" applyFont="1" applyBorder="1" applyAlignment="1">
      <alignment horizontal="center"/>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74" fontId="0" fillId="5" borderId="4" xfId="0" applyNumberForma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6" xfId="0" applyFont="1" applyFill="1" applyBorder="1" applyAlignment="1" applyProtection="1">
      <alignment horizontal="left"/>
      <protection locked="0"/>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19" fillId="43" borderId="11"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19"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0" fillId="0" borderId="6" xfId="0" applyBorder="1" applyAlignment="1">
      <alignment horizontal="left"/>
    </xf>
    <xf numFmtId="0" fontId="28"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19" fillId="5" borderId="11" xfId="0" applyFont="1" applyFill="1" applyBorder="1" applyAlignment="1" applyProtection="1">
      <alignment horizontal="lef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28" fillId="0" borderId="0" xfId="0" applyFont="1" applyAlignment="1">
      <alignment horizontal="left" vertical="top" wrapText="1"/>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0" fontId="25" fillId="3" borderId="0" xfId="0" applyFont="1" applyFill="1" applyAlignment="1">
      <alignment horizontal="center" vertical="center"/>
    </xf>
    <xf numFmtId="166" fontId="19" fillId="5" borderId="6"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3" fontId="28" fillId="5" borderId="11" xfId="0" applyNumberFormat="1" applyFont="1" applyFill="1" applyBorder="1" applyAlignment="1" applyProtection="1">
      <alignment horizontal="center"/>
      <protection locked="0"/>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11" xfId="0"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0" borderId="11" xfId="0" applyBorder="1" applyAlignment="1">
      <alignment horizontal="center"/>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28" fillId="5" borderId="4" xfId="0" applyFont="1" applyFill="1" applyBorder="1" applyAlignment="1" applyProtection="1">
      <alignment wrapText="1"/>
      <protection locked="0"/>
    </xf>
    <xf numFmtId="168" fontId="0" fillId="5" borderId="11" xfId="0" applyNumberFormat="1" applyFill="1" applyBorder="1" applyAlignment="1" applyProtection="1">
      <alignment horizontal="right"/>
      <protection locked="0"/>
    </xf>
    <xf numFmtId="0" fontId="28" fillId="2" borderId="11" xfId="0" applyFont="1" applyFill="1" applyBorder="1" applyAlignment="1">
      <alignment horizontal="center"/>
    </xf>
    <xf numFmtId="0" fontId="19" fillId="0" borderId="11" xfId="543" applyBorder="1" applyAlignment="1">
      <alignment horizontal="center"/>
    </xf>
    <xf numFmtId="0" fontId="28" fillId="45" borderId="11" xfId="0" applyFont="1" applyFill="1" applyBorder="1" applyAlignment="1">
      <alignment horizontal="center"/>
    </xf>
    <xf numFmtId="180" fontId="0" fillId="0" borderId="6" xfId="0" applyNumberFormat="1" applyBorder="1" applyAlignment="1">
      <alignment horizontal="center"/>
    </xf>
    <xf numFmtId="0" fontId="26" fillId="0" borderId="9" xfId="0" applyFont="1" applyBorder="1" applyAlignment="1">
      <alignment horizontal="center"/>
    </xf>
    <xf numFmtId="0" fontId="26" fillId="0" borderId="6" xfId="0" applyFont="1"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19" fillId="0" borderId="11"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26" fillId="0" borderId="2" xfId="0" applyFont="1" applyBorder="1" applyAlignment="1">
      <alignment horizontal="right"/>
    </xf>
    <xf numFmtId="0" fontId="26" fillId="0" borderId="7" xfId="0" applyFont="1" applyBorder="1" applyAlignment="1">
      <alignment horizontal="right"/>
    </xf>
    <xf numFmtId="168"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8" fillId="5" borderId="11" xfId="0" applyNumberFormat="1" applyFont="1" applyFill="1" applyBorder="1" applyAlignment="1" applyProtection="1">
      <alignment horizontal="center"/>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0" fillId="0" borderId="9" xfId="0" applyBorder="1" applyAlignment="1">
      <alignment horizontal="left"/>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19" fillId="0" borderId="3" xfId="0" applyFont="1" applyBorder="1"/>
    <xf numFmtId="0" fontId="19" fillId="0" borderId="4" xfId="0" applyFont="1" applyBorder="1"/>
    <xf numFmtId="0" fontId="19" fillId="0" borderId="5" xfId="0" applyFont="1" applyBorder="1"/>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0" fontId="26" fillId="0" borderId="7" xfId="0" applyFont="1" applyBorder="1" applyAlignment="1">
      <alignment horizontal="center" wrapText="1"/>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8" fillId="0" borderId="11" xfId="0" applyFont="1" applyBorder="1" applyAlignment="1">
      <alignment horizontal="center" vertical="top" wrapText="1"/>
    </xf>
    <xf numFmtId="0" fontId="26" fillId="0" borderId="0" xfId="0" applyFont="1" applyAlignment="1">
      <alignment horizontal="center" vertical="center"/>
    </xf>
    <xf numFmtId="168" fontId="0" fillId="0" borderId="11" xfId="0" applyNumberFormat="1" applyBorder="1" applyAlignment="1">
      <alignment horizontal="center"/>
    </xf>
    <xf numFmtId="0" fontId="19" fillId="0" borderId="0" xfId="543" applyAlignment="1">
      <alignment horizontal="center"/>
    </xf>
    <xf numFmtId="2" fontId="19" fillId="0" borderId="0" xfId="543" applyNumberFormat="1" applyAlignment="1">
      <alignment horizontal="center"/>
    </xf>
    <xf numFmtId="9" fontId="19" fillId="5" borderId="3" xfId="0" applyNumberFormat="1" applyFont="1" applyFill="1" applyBorder="1" applyAlignment="1" applyProtection="1">
      <alignment horizontal="right"/>
      <protection locked="0"/>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0" fillId="0" borderId="11" xfId="0" applyNumberFormat="1" applyBorder="1" applyAlignment="1">
      <alignment horizontal="right"/>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0" fillId="5" borderId="3" xfId="0" quotePrefix="1" applyFill="1" applyBorder="1" applyAlignment="1" applyProtection="1">
      <alignment horizontal="right"/>
      <protection locked="0"/>
    </xf>
    <xf numFmtId="168" fontId="0" fillId="5" borderId="11" xfId="0" applyNumberFormat="1" applyFill="1" applyBorder="1" applyProtection="1">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6" fillId="0" borderId="11" xfId="0" applyFont="1" applyBorder="1" applyAlignment="1">
      <alignment horizontal="center"/>
    </xf>
    <xf numFmtId="0" fontId="28" fillId="0" borderId="11" xfId="0" applyFont="1"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0" fontId="19" fillId="0" borderId="1" xfId="0" applyFont="1" applyBorder="1" applyAlignment="1">
      <alignment horizontal="center" vertical="top" wrapText="1"/>
    </xf>
    <xf numFmtId="171" fontId="19" fillId="0" borderId="0" xfId="543" applyNumberFormat="1" applyAlignment="1">
      <alignment horizontal="center"/>
    </xf>
    <xf numFmtId="166" fontId="28" fillId="5" borderId="4"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0" fillId="43" borderId="4" xfId="0"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28" fillId="5" borderId="5" xfId="0" applyFont="1" applyFill="1" applyBorder="1" applyAlignment="1" applyProtection="1">
      <alignment wrapText="1"/>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5" borderId="4" xfId="0" applyFont="1" applyFill="1" applyBorder="1" applyAlignment="1" applyProtection="1">
      <alignment wrapText="1"/>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9" fillId="5" borderId="11" xfId="0" applyFont="1" applyFill="1" applyBorder="1" applyAlignment="1" applyProtection="1">
      <alignment horizontal="left" vertical="center" wrapText="1"/>
      <protection locked="0"/>
    </xf>
    <xf numFmtId="14" fontId="0" fillId="5" borderId="4" xfId="0" applyNumberFormat="1" applyFill="1" applyBorder="1" applyAlignment="1" applyProtection="1">
      <alignment horizontal="center"/>
      <protection locked="0"/>
    </xf>
    <xf numFmtId="0" fontId="28" fillId="0" borderId="4" xfId="0" applyFont="1" applyBorder="1" applyAlignment="1">
      <alignment horizontal="center"/>
    </xf>
    <xf numFmtId="0" fontId="26"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0" fillId="0" borderId="11" xfId="0" applyNumberFormat="1" applyBorder="1"/>
    <xf numFmtId="0" fontId="28"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9" fontId="1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28" fillId="0" borderId="3" xfId="0" applyFont="1" applyBorder="1" applyAlignment="1">
      <alignment horizontal="lef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71" fontId="19" fillId="0" borderId="0" xfId="543" applyNumberFormat="1" applyAlignment="1">
      <alignment horizontal="right"/>
    </xf>
    <xf numFmtId="168" fontId="157"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8" fillId="5" borderId="4" xfId="0" applyNumberFormat="1" applyFont="1" applyFill="1" applyBorder="1" applyAlignment="1" applyProtection="1">
      <alignment horizontal="right"/>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12" xfId="0"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0" fontId="28" fillId="0" borderId="6" xfId="0" applyFont="1" applyBorder="1" applyAlignment="1">
      <alignment horizontal="left" wrapText="1"/>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0" borderId="0" xfId="0" applyFont="1" applyAlignment="1" applyProtection="1">
      <alignment horizontal="left"/>
      <protection locked="0"/>
    </xf>
    <xf numFmtId="167"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19" fillId="5" borderId="6" xfId="244" applyFont="1" applyFill="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49"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168" fontId="28" fillId="0" borderId="11" xfId="0" applyNumberFormat="1" applyFont="1" applyBorder="1" applyAlignment="1">
      <alignment horizontal="center"/>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10" fontId="28" fillId="5" borderId="4" xfId="0" applyNumberFormat="1" applyFont="1" applyFill="1" applyBorder="1" applyAlignment="1" applyProtection="1">
      <alignment horizontal="right"/>
      <protection locked="0"/>
    </xf>
    <xf numFmtId="0" fontId="38" fillId="5" borderId="6" xfId="0"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178" fontId="2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8" fillId="5" borderId="11" xfId="0" applyFont="1" applyFill="1" applyBorder="1" applyAlignment="1" applyProtection="1">
      <alignment horizontal="center"/>
      <protection locked="0"/>
    </xf>
    <xf numFmtId="1" fontId="28" fillId="5" borderId="6" xfId="0" applyNumberFormat="1" applyFont="1" applyFill="1" applyBorder="1" applyAlignment="1" applyProtection="1">
      <alignment horizontal="right"/>
      <protection locked="0"/>
    </xf>
    <xf numFmtId="168" fontId="19" fillId="0" borderId="3" xfId="0" applyNumberFormat="1" applyFont="1" applyBorder="1" applyAlignment="1">
      <alignment horizontal="left" vertical="top"/>
    </xf>
    <xf numFmtId="0" fontId="0" fillId="0" borderId="6" xfId="0"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0" fontId="26" fillId="0" borderId="11" xfId="0" applyFont="1" applyBorder="1" applyAlignment="1">
      <alignment horizontal="center" vertical="center"/>
    </xf>
    <xf numFmtId="0" fontId="0" fillId="0" borderId="5" xfId="0" applyBorder="1" applyAlignment="1">
      <alignment horizontal="left"/>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19" fillId="43" borderId="4" xfId="0" applyFont="1" applyFill="1" applyBorder="1" applyAlignment="1" applyProtection="1">
      <alignment horizontal="left" wrapText="1"/>
      <protection locked="0"/>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6" fillId="0" borderId="10" xfId="0" applyFont="1" applyBorder="1" applyAlignment="1">
      <alignment horizontal="center"/>
    </xf>
    <xf numFmtId="3" fontId="0" fillId="0" borderId="6" xfId="0" applyNumberFormat="1" applyBorder="1" applyAlignment="1">
      <alignment horizontal="right"/>
    </xf>
    <xf numFmtId="2" fontId="0" fillId="0" borderId="6" xfId="0" applyNumberFormat="1" applyBorder="1" applyAlignment="1">
      <alignment horizontal="center"/>
    </xf>
    <xf numFmtId="0" fontId="26" fillId="0" borderId="3" xfId="0"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3" fontId="28" fillId="0" borderId="11" xfId="0" applyNumberFormat="1" applyFont="1" applyBorder="1" applyAlignment="1">
      <alignment horizontal="center"/>
    </xf>
    <xf numFmtId="10" fontId="2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061">
    <cellStyle name="20% - Accent1" xfId="1" builtinId="30" customBuiltin="1"/>
    <cellStyle name="20% - Accent1 10" xfId="4504" xr:uid="{00000000-0005-0000-0000-000001000000}"/>
    <cellStyle name="20% - Accent1 10 2" xfId="13830" xr:uid="{5D92DC44-97B5-419E-A500-92DFD5E5E532}"/>
    <cellStyle name="20% - Accent1 11" xfId="8758" xr:uid="{2F735C8D-70CB-4E84-A95A-4445894745BC}"/>
    <cellStyle name="20% - Accent1 12" xfId="9613" xr:uid="{A5CAE50C-CACA-45F2-A147-73E00DD11D5B}"/>
    <cellStyle name="20% - Accent1 2" xfId="2" xr:uid="{00000000-0005-0000-0000-000002000000}"/>
    <cellStyle name="20% - Accent1 2 10" xfId="8797" xr:uid="{7F4BEAE6-CC35-4B07-89BD-8FC5D6B3D35B}"/>
    <cellStyle name="20% - Accent1 2 11" xfId="9614" xr:uid="{14E3CA6C-6634-480E-91C1-ADD1AEE13371}"/>
    <cellStyle name="20% - Accent1 2 2" xfId="3" xr:uid="{00000000-0005-0000-0000-000003000000}"/>
    <cellStyle name="20% - Accent1 2 2 10" xfId="9615" xr:uid="{51659261-E495-4E8A-AE3A-9D79036E5E2E}"/>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622EEB69-148E-4733-A29D-ED1DF17D8D4A}"/>
    <cellStyle name="20% - Accent1 2 2 2 2 2 3" xfId="12175" xr:uid="{C6DADC8E-BE2F-4AEF-B7C5-99E42A8D8A6F}"/>
    <cellStyle name="20% - Accent1 2 2 2 2 3" xfId="4921" xr:uid="{00000000-0005-0000-0000-000008000000}"/>
    <cellStyle name="20% - Accent1 2 2 2 2 3 2" xfId="14247" xr:uid="{10B1F294-35A9-4961-99ED-7279A98F3CBC}"/>
    <cellStyle name="20% - Accent1 2 2 2 2 4" xfId="9532" xr:uid="{D5FAB462-C5A9-4306-AA37-C118C84F9393}"/>
    <cellStyle name="20% - Accent1 2 2 2 2 5" xfId="10030" xr:uid="{2C4E17A4-FE0F-4F88-9751-2F0682B1C687}"/>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2D11D22F-DE9C-4B6C-A98D-88FD1D27F2B9}"/>
    <cellStyle name="20% - Accent1 2 2 2 3 2 3" xfId="12588" xr:uid="{81313579-3C3E-40F5-9294-B77EE4BEB3AD}"/>
    <cellStyle name="20% - Accent1 2 2 2 3 3" xfId="5334" xr:uid="{00000000-0005-0000-0000-00000C000000}"/>
    <cellStyle name="20% - Accent1 2 2 2 3 3 2" xfId="14660" xr:uid="{001A19B2-B4F8-4B6F-8458-1E82E8816CB2}"/>
    <cellStyle name="20% - Accent1 2 2 2 3 4" xfId="10443" xr:uid="{EE6AE5D6-FF6C-4797-B935-0AD8FD45E51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1D133114-7E70-4C1E-A34E-DC6035E0E4FD}"/>
    <cellStyle name="20% - Accent1 2 2 2 4 2 3" xfId="13001" xr:uid="{82F038FC-758E-4CBA-A3E9-EFA7EAA38FED}"/>
    <cellStyle name="20% - Accent1 2 2 2 4 3" xfId="5747" xr:uid="{00000000-0005-0000-0000-000010000000}"/>
    <cellStyle name="20% - Accent1 2 2 2 4 3 2" xfId="15073" xr:uid="{53AC6F1E-5C95-4DD3-BBFE-B00AABA28C83}"/>
    <cellStyle name="20% - Accent1 2 2 2 4 4" xfId="10856" xr:uid="{05329378-31D7-415A-B8CA-523803E076C3}"/>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3CFAF2D5-6C28-4C8E-BA84-69023E9513EF}"/>
    <cellStyle name="20% - Accent1 2 2 2 5 2 3" xfId="13414" xr:uid="{023909B2-FD98-484B-BA1F-F7247C33437D}"/>
    <cellStyle name="20% - Accent1 2 2 2 5 3" xfId="6160" xr:uid="{00000000-0005-0000-0000-000014000000}"/>
    <cellStyle name="20% - Accent1 2 2 2 5 3 2" xfId="15486" xr:uid="{718C0DEF-F3F0-4491-8F43-1822FD3BDD48}"/>
    <cellStyle name="20% - Accent1 2 2 2 5 4" xfId="11269" xr:uid="{00380D01-56B0-4EB1-BD93-CFEF1CD92F70}"/>
    <cellStyle name="20% - Accent1 2 2 2 6" xfId="2267" xr:uid="{00000000-0005-0000-0000-000015000000}"/>
    <cellStyle name="20% - Accent1 2 2 2 6 2" xfId="6573" xr:uid="{00000000-0005-0000-0000-000016000000}"/>
    <cellStyle name="20% - Accent1 2 2 2 6 2 2" xfId="15899" xr:uid="{B5F2B65D-9D79-4045-A60F-E546BCA28917}"/>
    <cellStyle name="20% - Accent1 2 2 2 6 3" xfId="11682" xr:uid="{A16221B8-E573-4200-9427-BBC445A02B81}"/>
    <cellStyle name="20% - Accent1 2 2 2 7" xfId="4507" xr:uid="{00000000-0005-0000-0000-000017000000}"/>
    <cellStyle name="20% - Accent1 2 2 2 7 2" xfId="13833" xr:uid="{62E68D1B-7AC5-4EE5-9342-D0E4C6EE154D}"/>
    <cellStyle name="20% - Accent1 2 2 2 8" xfId="9107" xr:uid="{4168D01E-823F-4E8F-9A1D-70697AC1F241}"/>
    <cellStyle name="20% - Accent1 2 2 2 9" xfId="9616" xr:uid="{26C17B6B-1CB3-49AA-808A-5C51E5B8DDD5}"/>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32E8781C-6244-4B28-AB65-A2AD15CA120B}"/>
    <cellStyle name="20% - Accent1 2 2 3 2 3" xfId="12174" xr:uid="{1C377DB3-CA94-403F-94A5-CEEB9A7C9EF5}"/>
    <cellStyle name="20% - Accent1 2 2 3 3" xfId="4920" xr:uid="{00000000-0005-0000-0000-00001B000000}"/>
    <cellStyle name="20% - Accent1 2 2 3 3 2" xfId="14246" xr:uid="{A5923256-4786-4E8D-BFA1-2E1FDDBAF418}"/>
    <cellStyle name="20% - Accent1 2 2 3 4" xfId="9325" xr:uid="{DE19910B-698B-4F31-B25F-3533B35DDA95}"/>
    <cellStyle name="20% - Accent1 2 2 3 5" xfId="10029" xr:uid="{05AFE534-D30F-4941-BC12-F969ACCB1E90}"/>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9899840B-0583-43B5-897E-0386C5213A12}"/>
    <cellStyle name="20% - Accent1 2 2 4 2 3" xfId="12587" xr:uid="{2C666979-EF36-4A8F-ACD3-81505B117C3C}"/>
    <cellStyle name="20% - Accent1 2 2 4 3" xfId="5333" xr:uid="{00000000-0005-0000-0000-00001F000000}"/>
    <cellStyle name="20% - Accent1 2 2 4 3 2" xfId="14659" xr:uid="{2E1CC3AA-D6A0-4823-9B48-A560D78BB29D}"/>
    <cellStyle name="20% - Accent1 2 2 4 4" xfId="10442" xr:uid="{8C6158D9-7597-4C5D-AD72-ED84EFAABA78}"/>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FFCC6844-66CC-4C1E-8A90-645A613A3092}"/>
    <cellStyle name="20% - Accent1 2 2 5 2 3" xfId="13000" xr:uid="{ACBD3B8A-2FFE-455F-AD7D-6F2BC587BDFF}"/>
    <cellStyle name="20% - Accent1 2 2 5 3" xfId="5746" xr:uid="{00000000-0005-0000-0000-000023000000}"/>
    <cellStyle name="20% - Accent1 2 2 5 3 2" xfId="15072" xr:uid="{6B11DBEB-400A-4258-B5FD-ED226A667935}"/>
    <cellStyle name="20% - Accent1 2 2 5 4" xfId="10855" xr:uid="{DC729577-F9E7-420D-995D-1DDA2C47FB35}"/>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E6D519B1-95D9-4DF1-84D2-4B0FC0E60C92}"/>
    <cellStyle name="20% - Accent1 2 2 6 2 3" xfId="13413" xr:uid="{BEEE6379-45DB-4BDB-AC71-86590DBE8A1E}"/>
    <cellStyle name="20% - Accent1 2 2 6 3" xfId="6159" xr:uid="{00000000-0005-0000-0000-000027000000}"/>
    <cellStyle name="20% - Accent1 2 2 6 3 2" xfId="15485" xr:uid="{4EC654AD-F6DD-42D1-969F-D689071F751B}"/>
    <cellStyle name="20% - Accent1 2 2 6 4" xfId="11268" xr:uid="{45F415DA-8218-45D8-814C-A6890EEF3ED0}"/>
    <cellStyle name="20% - Accent1 2 2 7" xfId="2266" xr:uid="{00000000-0005-0000-0000-000028000000}"/>
    <cellStyle name="20% - Accent1 2 2 7 2" xfId="6572" xr:uid="{00000000-0005-0000-0000-000029000000}"/>
    <cellStyle name="20% - Accent1 2 2 7 2 2" xfId="15898" xr:uid="{5838EE9D-E129-47BF-B4FF-9516473D1561}"/>
    <cellStyle name="20% - Accent1 2 2 7 3" xfId="11681" xr:uid="{17358EBD-14CF-4E67-8AE4-2351AB95A4C5}"/>
    <cellStyle name="20% - Accent1 2 2 8" xfId="4506" xr:uid="{00000000-0005-0000-0000-00002A000000}"/>
    <cellStyle name="20% - Accent1 2 2 8 2" xfId="13832" xr:uid="{0821C2C4-255B-4191-A078-FB7EAA7CB845}"/>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CF4D63E4-6446-48AF-90B9-84539703F20D}"/>
    <cellStyle name="20% - Accent1 2 3 2 2 3" xfId="12176" xr:uid="{ABFDBB36-96A9-463E-A46D-59B9F1BAE8FF}"/>
    <cellStyle name="20% - Accent1 2 3 2 3" xfId="4922" xr:uid="{00000000-0005-0000-0000-00002F000000}"/>
    <cellStyle name="20% - Accent1 2 3 2 3 2" xfId="14248" xr:uid="{E1A41B9E-3E34-47E6-A97D-AF5F3D94083A}"/>
    <cellStyle name="20% - Accent1 2 3 2 4" xfId="9429" xr:uid="{CCD4BD61-3143-497B-A316-8024A8762A6C}"/>
    <cellStyle name="20% - Accent1 2 3 2 5" xfId="10031" xr:uid="{467A5030-3033-4C6F-99D1-B27DEC386517}"/>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6C1B7F7D-71BE-4F6F-84E3-46E6B8F00CA2}"/>
    <cellStyle name="20% - Accent1 2 3 3 2 3" xfId="12589" xr:uid="{11740363-B255-4C69-9291-4DA63ADD6D1D}"/>
    <cellStyle name="20% - Accent1 2 3 3 3" xfId="5335" xr:uid="{00000000-0005-0000-0000-000033000000}"/>
    <cellStyle name="20% - Accent1 2 3 3 3 2" xfId="14661" xr:uid="{FE9CF867-616E-4414-93B8-823A04C821AC}"/>
    <cellStyle name="20% - Accent1 2 3 3 4" xfId="10444" xr:uid="{489B437B-65C6-4DBD-A99A-16258CE79A60}"/>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5478821D-CF03-4709-91F9-9E1C54E5175F}"/>
    <cellStyle name="20% - Accent1 2 3 4 2 3" xfId="13002" xr:uid="{0B0D9DF2-E997-447A-A71F-8F58A8ECE1A0}"/>
    <cellStyle name="20% - Accent1 2 3 4 3" xfId="5748" xr:uid="{00000000-0005-0000-0000-000037000000}"/>
    <cellStyle name="20% - Accent1 2 3 4 3 2" xfId="15074" xr:uid="{87744811-5419-40BB-8B5D-8524AEB3AE56}"/>
    <cellStyle name="20% - Accent1 2 3 4 4" xfId="10857" xr:uid="{FA36557D-8A4D-4FCC-A8A2-1DBF8EE9D450}"/>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6D499636-59FB-497B-BE69-482C88E232A7}"/>
    <cellStyle name="20% - Accent1 2 3 5 2 3" xfId="13415" xr:uid="{C15AE57B-3911-4933-872F-C9C29CD146B4}"/>
    <cellStyle name="20% - Accent1 2 3 5 3" xfId="6161" xr:uid="{00000000-0005-0000-0000-00003B000000}"/>
    <cellStyle name="20% - Accent1 2 3 5 3 2" xfId="15487" xr:uid="{128BBF9F-4833-49BF-907D-CD813C0F8CB7}"/>
    <cellStyle name="20% - Accent1 2 3 5 4" xfId="11270" xr:uid="{6850D64F-BCCC-46D2-8A71-36EBFB51BDBA}"/>
    <cellStyle name="20% - Accent1 2 3 6" xfId="2268" xr:uid="{00000000-0005-0000-0000-00003C000000}"/>
    <cellStyle name="20% - Accent1 2 3 6 2" xfId="6574" xr:uid="{00000000-0005-0000-0000-00003D000000}"/>
    <cellStyle name="20% - Accent1 2 3 6 2 2" xfId="15900" xr:uid="{40ABDF4A-1731-409B-9A88-BAE75C6554DE}"/>
    <cellStyle name="20% - Accent1 2 3 6 3" xfId="11683" xr:uid="{65E54A04-6E26-4618-AA33-96165B5FB2BD}"/>
    <cellStyle name="20% - Accent1 2 3 7" xfId="4508" xr:uid="{00000000-0005-0000-0000-00003E000000}"/>
    <cellStyle name="20% - Accent1 2 3 7 2" xfId="13834" xr:uid="{A879F378-CD55-47FE-8C48-D15F22F51089}"/>
    <cellStyle name="20% - Accent1 2 3 8" xfId="9004" xr:uid="{14A9C135-BB7B-44DD-97E1-B6B10773DEE2}"/>
    <cellStyle name="20% - Accent1 2 3 9" xfId="9617" xr:uid="{BB701BEF-2BAD-4908-8EF7-9DA423190AC2}"/>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48C8C567-757B-4611-BF87-49157B7E0616}"/>
    <cellStyle name="20% - Accent1 2 4 2 3" xfId="12173" xr:uid="{F779534A-94A0-43B0-A80E-B374F8E33DF5}"/>
    <cellStyle name="20% - Accent1 2 4 3" xfId="4919" xr:uid="{00000000-0005-0000-0000-000042000000}"/>
    <cellStyle name="20% - Accent1 2 4 3 2" xfId="14245" xr:uid="{7A2773BD-E1F4-4D2B-87AF-8CA9BD8856EA}"/>
    <cellStyle name="20% - Accent1 2 4 4" xfId="9221" xr:uid="{11532E3F-E59C-4FF7-9F45-291A17A69435}"/>
    <cellStyle name="20% - Accent1 2 4 5" xfId="10028" xr:uid="{AE420B2D-A8B6-4381-8256-94432EDAFAFC}"/>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FA143707-52FE-46C8-AA45-797F7156A9DA}"/>
    <cellStyle name="20% - Accent1 2 5 2 3" xfId="12586" xr:uid="{E830CC1C-3031-4AD9-B317-61445839EF89}"/>
    <cellStyle name="20% - Accent1 2 5 3" xfId="5332" xr:uid="{00000000-0005-0000-0000-000046000000}"/>
    <cellStyle name="20% - Accent1 2 5 3 2" xfId="14658" xr:uid="{5B6D59D3-F5F6-431F-B7E1-7E1FC9F87515}"/>
    <cellStyle name="20% - Accent1 2 5 4" xfId="10441" xr:uid="{ADC73AF3-9573-4CB7-B703-5858E72E2B1F}"/>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383CDB66-170B-4F9C-9BBE-FF6C6993DB07}"/>
    <cellStyle name="20% - Accent1 2 6 2 3" xfId="12999" xr:uid="{543CD5FA-697A-431B-A4B0-0A23F2BF0CA2}"/>
    <cellStyle name="20% - Accent1 2 6 3" xfId="5745" xr:uid="{00000000-0005-0000-0000-00004A000000}"/>
    <cellStyle name="20% - Accent1 2 6 3 2" xfId="15071" xr:uid="{52D9AF29-4EB1-4500-AB07-352F5C4054FC}"/>
    <cellStyle name="20% - Accent1 2 6 4" xfId="10854" xr:uid="{EDDF1771-E1CE-4B9B-B340-231B10A44F89}"/>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660AB16D-324B-4C0D-890A-EE91F5988F28}"/>
    <cellStyle name="20% - Accent1 2 7 2 3" xfId="13412" xr:uid="{36279D83-7877-4CDC-BA11-E2B727D9D8A4}"/>
    <cellStyle name="20% - Accent1 2 7 3" xfId="6158" xr:uid="{00000000-0005-0000-0000-00004E000000}"/>
    <cellStyle name="20% - Accent1 2 7 3 2" xfId="15484" xr:uid="{D8845439-8648-4832-931B-C1A72AA49C2B}"/>
    <cellStyle name="20% - Accent1 2 7 4" xfId="11267" xr:uid="{40C32D7B-571A-4360-95C1-1409F69F4466}"/>
    <cellStyle name="20% - Accent1 2 8" xfId="2265" xr:uid="{00000000-0005-0000-0000-00004F000000}"/>
    <cellStyle name="20% - Accent1 2 8 2" xfId="6571" xr:uid="{00000000-0005-0000-0000-000050000000}"/>
    <cellStyle name="20% - Accent1 2 8 2 2" xfId="15897" xr:uid="{5AAF1FD0-BB8F-4DBD-A5A3-92FE7A292F3A}"/>
    <cellStyle name="20% - Accent1 2 8 3" xfId="11680" xr:uid="{9FB4F55B-87E8-44A5-A1C2-62FC1A3EF5EF}"/>
    <cellStyle name="20% - Accent1 2 9" xfId="4505" xr:uid="{00000000-0005-0000-0000-000051000000}"/>
    <cellStyle name="20% - Accent1 2 9 2" xfId="13831" xr:uid="{058BAE18-8E1C-4B2C-B86C-36224CA982AF}"/>
    <cellStyle name="20% - Accent1 3" xfId="6" xr:uid="{00000000-0005-0000-0000-000052000000}"/>
    <cellStyle name="20% - Accent1 3 10" xfId="9618" xr:uid="{A305FCF5-F78C-4F4B-8EA4-6AC5C8A74B0D}"/>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9F42E39D-61D7-425C-BA2E-703884D4EA83}"/>
    <cellStyle name="20% - Accent1 3 2 2 2 3" xfId="12178" xr:uid="{41340309-2E72-4918-92F8-F3CEB29ABDBA}"/>
    <cellStyle name="20% - Accent1 3 2 2 3" xfId="4924" xr:uid="{00000000-0005-0000-0000-000057000000}"/>
    <cellStyle name="20% - Accent1 3 2 2 3 2" xfId="14250" xr:uid="{42DB4668-6374-4924-83A6-E8A844AC04DA}"/>
    <cellStyle name="20% - Accent1 3 2 2 4" xfId="9493" xr:uid="{FCEFE71D-2A04-4899-B62A-B225DBF7F0BF}"/>
    <cellStyle name="20% - Accent1 3 2 2 5" xfId="10033" xr:uid="{793E2B80-1191-43F5-A261-BB353D3C3A78}"/>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CF932F62-F4D6-4C9E-8765-D6BAEB2F64FD}"/>
    <cellStyle name="20% - Accent1 3 2 3 2 3" xfId="12591" xr:uid="{7DD9A657-7D77-4794-A95F-A6B71C6D09FD}"/>
    <cellStyle name="20% - Accent1 3 2 3 3" xfId="5337" xr:uid="{00000000-0005-0000-0000-00005B000000}"/>
    <cellStyle name="20% - Accent1 3 2 3 3 2" xfId="14663" xr:uid="{BA14AB49-BFA2-4CC3-84F8-C24B9868AF86}"/>
    <cellStyle name="20% - Accent1 3 2 3 4" xfId="10446" xr:uid="{7FBF9583-9AA6-4A73-879C-C886708F6B3A}"/>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87A85AF4-D114-4649-9908-D5C75D0A4151}"/>
    <cellStyle name="20% - Accent1 3 2 4 2 3" xfId="13004" xr:uid="{26BA69AE-1978-437E-8173-121B5D30418B}"/>
    <cellStyle name="20% - Accent1 3 2 4 3" xfId="5750" xr:uid="{00000000-0005-0000-0000-00005F000000}"/>
    <cellStyle name="20% - Accent1 3 2 4 3 2" xfId="15076" xr:uid="{445E7836-9002-418D-810D-2E1E5B19BE86}"/>
    <cellStyle name="20% - Accent1 3 2 4 4" xfId="10859" xr:uid="{06206096-15D6-4A8E-97BF-DE4D9DE8097B}"/>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3276040D-C8A9-4D97-85CF-A8587DCD00BA}"/>
    <cellStyle name="20% - Accent1 3 2 5 2 3" xfId="13417" xr:uid="{33DAF9F8-B63E-4334-8777-711017D8C910}"/>
    <cellStyle name="20% - Accent1 3 2 5 3" xfId="6163" xr:uid="{00000000-0005-0000-0000-000063000000}"/>
    <cellStyle name="20% - Accent1 3 2 5 3 2" xfId="15489" xr:uid="{11C068CE-E83D-4647-9993-53D474D95FDC}"/>
    <cellStyle name="20% - Accent1 3 2 5 4" xfId="11272" xr:uid="{82E0059B-78FE-461F-B7E0-594EF95B8CD2}"/>
    <cellStyle name="20% - Accent1 3 2 6" xfId="2270" xr:uid="{00000000-0005-0000-0000-000064000000}"/>
    <cellStyle name="20% - Accent1 3 2 6 2" xfId="6576" xr:uid="{00000000-0005-0000-0000-000065000000}"/>
    <cellStyle name="20% - Accent1 3 2 6 2 2" xfId="15902" xr:uid="{D1B21F2C-11B4-4667-B0F1-FFC127C518BA}"/>
    <cellStyle name="20% - Accent1 3 2 6 3" xfId="11685" xr:uid="{EBE7FF9D-4400-4E71-A43E-9AE6B38501F3}"/>
    <cellStyle name="20% - Accent1 3 2 7" xfId="4510" xr:uid="{00000000-0005-0000-0000-000066000000}"/>
    <cellStyle name="20% - Accent1 3 2 7 2" xfId="13836" xr:uid="{39E8267A-D3FE-43FC-BB7A-492FC4EB070C}"/>
    <cellStyle name="20% - Accent1 3 2 8" xfId="9068" xr:uid="{354460C9-AD38-4FCD-882B-4DFB81DE5890}"/>
    <cellStyle name="20% - Accent1 3 2 9" xfId="9619" xr:uid="{A2897E53-171F-47F8-BBEB-00CAB1B93F13}"/>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C86FEBEC-D792-4F22-9A8C-02A61CD71D7D}"/>
    <cellStyle name="20% - Accent1 3 3 2 3" xfId="12177" xr:uid="{82F07A5D-AFE1-4563-9D5A-E16687B8C56E}"/>
    <cellStyle name="20% - Accent1 3 3 3" xfId="4923" xr:uid="{00000000-0005-0000-0000-00006A000000}"/>
    <cellStyle name="20% - Accent1 3 3 3 2" xfId="14249" xr:uid="{CE355B85-11FD-41FD-BFD8-A8DE241EF335}"/>
    <cellStyle name="20% - Accent1 3 3 4" xfId="9286" xr:uid="{B5220C4B-EBE7-4AD0-9A24-7F16FA378184}"/>
    <cellStyle name="20% - Accent1 3 3 5" xfId="10032" xr:uid="{424B767D-D99E-41F8-A6E4-ED156B2A9A32}"/>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776C6D8A-130C-4DF2-B7A8-14804701FBC3}"/>
    <cellStyle name="20% - Accent1 3 4 2 3" xfId="12590" xr:uid="{D86A7E8C-A1A5-4055-B5B0-111A1BCBDAD8}"/>
    <cellStyle name="20% - Accent1 3 4 3" xfId="5336" xr:uid="{00000000-0005-0000-0000-00006E000000}"/>
    <cellStyle name="20% - Accent1 3 4 3 2" xfId="14662" xr:uid="{A182C957-5121-4F6F-897E-174141C7B257}"/>
    <cellStyle name="20% - Accent1 3 4 4" xfId="10445" xr:uid="{4FB4348F-A2D5-4832-9EFC-244595B8A670}"/>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E2BCFF9A-B873-4546-9082-613257A54D72}"/>
    <cellStyle name="20% - Accent1 3 5 2 3" xfId="13003" xr:uid="{46C9D26E-05E1-4D4C-BEFF-96F76AED1F52}"/>
    <cellStyle name="20% - Accent1 3 5 3" xfId="5749" xr:uid="{00000000-0005-0000-0000-000072000000}"/>
    <cellStyle name="20% - Accent1 3 5 3 2" xfId="15075" xr:uid="{B92DAA13-0C47-4167-9ECE-F58685B9B33A}"/>
    <cellStyle name="20% - Accent1 3 5 4" xfId="10858" xr:uid="{7DDC1435-DD5B-406C-92C2-16226CAAC3E3}"/>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BCB4EB22-91F9-4E04-B26C-044CCB94C133}"/>
    <cellStyle name="20% - Accent1 3 6 2 3" xfId="13416" xr:uid="{A2FD204C-CB71-405A-A5EA-D2B174A5324E}"/>
    <cellStyle name="20% - Accent1 3 6 3" xfId="6162" xr:uid="{00000000-0005-0000-0000-000076000000}"/>
    <cellStyle name="20% - Accent1 3 6 3 2" xfId="15488" xr:uid="{E2A64283-5258-4A98-B0E7-BE1FBBC84BE9}"/>
    <cellStyle name="20% - Accent1 3 6 4" xfId="11271" xr:uid="{E7AAA600-72FF-470F-93B6-D48FCD03EF92}"/>
    <cellStyle name="20% - Accent1 3 7" xfId="2269" xr:uid="{00000000-0005-0000-0000-000077000000}"/>
    <cellStyle name="20% - Accent1 3 7 2" xfId="6575" xr:uid="{00000000-0005-0000-0000-000078000000}"/>
    <cellStyle name="20% - Accent1 3 7 2 2" xfId="15901" xr:uid="{480DAB8F-2194-4F45-A685-62F490FA154E}"/>
    <cellStyle name="20% - Accent1 3 7 3" xfId="11684" xr:uid="{1D9ADD6C-2AD8-4239-BCAD-973E30C15008}"/>
    <cellStyle name="20% - Accent1 3 8" xfId="4509" xr:uid="{00000000-0005-0000-0000-000079000000}"/>
    <cellStyle name="20% - Accent1 3 8 2" xfId="13835" xr:uid="{22BCB663-1F10-4B70-BF2B-7070CA7E271B}"/>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846D9E6D-8668-48F4-8487-729FC0C0D9AC}"/>
    <cellStyle name="20% - Accent1 4 2 2 3" xfId="12179" xr:uid="{1DBFAD3D-9FDD-4444-B8C8-EF61010C1DB4}"/>
    <cellStyle name="20% - Accent1 4 2 3" xfId="4925" xr:uid="{00000000-0005-0000-0000-00007E000000}"/>
    <cellStyle name="20% - Accent1 4 2 3 2" xfId="14251" xr:uid="{1DC985B7-D50C-4767-9AA9-19E69E8D6525}"/>
    <cellStyle name="20% - Accent1 4 2 4" xfId="9372" xr:uid="{E6B08341-6F7D-4580-9BCF-4BFC252FAE31}"/>
    <cellStyle name="20% - Accent1 4 2 5" xfId="10034" xr:uid="{2796AC84-4023-413F-9970-C2BD96978CB5}"/>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406B5FDA-4FBA-4D41-B80C-4D717F188076}"/>
    <cellStyle name="20% - Accent1 4 3 2 3" xfId="12592" xr:uid="{56255113-98F1-4F13-B965-E25E1063499E}"/>
    <cellStyle name="20% - Accent1 4 3 3" xfId="5338" xr:uid="{00000000-0005-0000-0000-000082000000}"/>
    <cellStyle name="20% - Accent1 4 3 3 2" xfId="14664" xr:uid="{8E718101-A7D3-42EC-A5DF-62E3407EF578}"/>
    <cellStyle name="20% - Accent1 4 3 4" xfId="10447" xr:uid="{87F021FB-A40F-463B-BF57-F83902B1523F}"/>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8B753415-AA1B-42AE-A740-346E36D34D6A}"/>
    <cellStyle name="20% - Accent1 4 4 2 3" xfId="13005" xr:uid="{3D48C54B-F87B-4459-8473-2103270B2F21}"/>
    <cellStyle name="20% - Accent1 4 4 3" xfId="5751" xr:uid="{00000000-0005-0000-0000-000086000000}"/>
    <cellStyle name="20% - Accent1 4 4 3 2" xfId="15077" xr:uid="{70558710-5B38-4981-9333-A662D050DDDE}"/>
    <cellStyle name="20% - Accent1 4 4 4" xfId="10860" xr:uid="{272FB1A5-6213-4B2E-8182-84F482718C41}"/>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889CA99E-27FB-472E-84B4-3C906AA2D5CA}"/>
    <cellStyle name="20% - Accent1 4 5 2 3" xfId="13418" xr:uid="{D231E721-43B2-479E-AE3F-79853C39B939}"/>
    <cellStyle name="20% - Accent1 4 5 3" xfId="6164" xr:uid="{00000000-0005-0000-0000-00008A000000}"/>
    <cellStyle name="20% - Accent1 4 5 3 2" xfId="15490" xr:uid="{A0E739B2-0D50-4AEE-AD3D-1986F2386DFC}"/>
    <cellStyle name="20% - Accent1 4 5 4" xfId="11273" xr:uid="{4B4C7DF5-5FB1-44E1-A62B-6400ED035C22}"/>
    <cellStyle name="20% - Accent1 4 6" xfId="2271" xr:uid="{00000000-0005-0000-0000-00008B000000}"/>
    <cellStyle name="20% - Accent1 4 6 2" xfId="6577" xr:uid="{00000000-0005-0000-0000-00008C000000}"/>
    <cellStyle name="20% - Accent1 4 6 2 2" xfId="15903" xr:uid="{790010A1-1F53-42CB-8B1B-D43BA442799F}"/>
    <cellStyle name="20% - Accent1 4 6 3" xfId="11686" xr:uid="{12064589-F697-40D4-85AD-7709F4E370E1}"/>
    <cellStyle name="20% - Accent1 4 7" xfId="4511" xr:uid="{00000000-0005-0000-0000-00008D000000}"/>
    <cellStyle name="20% - Accent1 4 7 2" xfId="13837" xr:uid="{44760515-6DA3-4C89-99DC-FD9D2F18CB20}"/>
    <cellStyle name="20% - Accent1 4 8" xfId="8947" xr:uid="{1FCDBFE2-CC86-42DD-AD9B-D3EAF476002E}"/>
    <cellStyle name="20% - Accent1 4 9" xfId="9620" xr:uid="{691B4BE2-9393-4042-8867-1EE924AD047A}"/>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96294348-B014-4115-8A7D-91D121C8C9A4}"/>
    <cellStyle name="20% - Accent1 5 2 3" xfId="12172" xr:uid="{4D719661-8A52-4D3A-9531-04CC4C4AEF60}"/>
    <cellStyle name="20% - Accent1 5 3" xfId="4918" xr:uid="{00000000-0005-0000-0000-000091000000}"/>
    <cellStyle name="20% - Accent1 5 3 2" xfId="14244" xr:uid="{EBD367F2-46F1-4922-971D-8A15422A9520}"/>
    <cellStyle name="20% - Accent1 5 4" xfId="9180" xr:uid="{D0AEF57E-25E3-47C5-B910-DC1A0019F498}"/>
    <cellStyle name="20% - Accent1 5 5" xfId="10027" xr:uid="{535DC181-29A6-4BE0-8690-40CAD4975424}"/>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4C49BC76-B2F6-4A64-A842-36BCAD29F11D}"/>
    <cellStyle name="20% - Accent1 6 2 3" xfId="12585" xr:uid="{49A0554D-2FAC-4B8D-BBCE-42D0FA692215}"/>
    <cellStyle name="20% - Accent1 6 3" xfId="5331" xr:uid="{00000000-0005-0000-0000-000095000000}"/>
    <cellStyle name="20% - Accent1 6 3 2" xfId="14657" xr:uid="{6DC859A6-6C22-4F26-AEB1-1F38F4B2DAE6}"/>
    <cellStyle name="20% - Accent1 6 4" xfId="10440" xr:uid="{A42115B9-5153-4F45-90D9-C9D5D849CB11}"/>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62B02CB5-F290-4E83-8748-FA69E1976FF6}"/>
    <cellStyle name="20% - Accent1 7 2 3" xfId="12998" xr:uid="{42C1497D-3A2B-4A23-B268-14EFFF096AD5}"/>
    <cellStyle name="20% - Accent1 7 3" xfId="5744" xr:uid="{00000000-0005-0000-0000-000099000000}"/>
    <cellStyle name="20% - Accent1 7 3 2" xfId="15070" xr:uid="{D6BC08C8-2FBE-485A-B117-96A6B65D90DC}"/>
    <cellStyle name="20% - Accent1 7 4" xfId="10853" xr:uid="{24C6915D-AEF8-4F7C-9AFE-703EBF4743B1}"/>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FA757987-73BA-4012-A726-D369E1ECEA1F}"/>
    <cellStyle name="20% - Accent1 8 2 3" xfId="13411" xr:uid="{956D6E79-A3AD-42DF-BAC1-FF84E85FE9FE}"/>
    <cellStyle name="20% - Accent1 8 3" xfId="6157" xr:uid="{00000000-0005-0000-0000-00009D000000}"/>
    <cellStyle name="20% - Accent1 8 3 2" xfId="15483" xr:uid="{16517C73-0F10-4F78-BC14-027FB64500FC}"/>
    <cellStyle name="20% - Accent1 8 4" xfId="11266" xr:uid="{F633DE0B-AF49-4BED-ABA9-0BE1C98CCDA7}"/>
    <cellStyle name="20% - Accent1 9" xfId="2264" xr:uid="{00000000-0005-0000-0000-00009E000000}"/>
    <cellStyle name="20% - Accent1 9 2" xfId="6570" xr:uid="{00000000-0005-0000-0000-00009F000000}"/>
    <cellStyle name="20% - Accent1 9 2 2" xfId="15896" xr:uid="{5BB27DFF-95A7-4FE4-A26A-E6A41B07D402}"/>
    <cellStyle name="20% - Accent1 9 3" xfId="11679" xr:uid="{BE62DFC0-FA21-45FD-AE13-60BE4A3C8EAE}"/>
    <cellStyle name="20% - Accent2" xfId="9" builtinId="34" customBuiltin="1"/>
    <cellStyle name="20% - Accent2 10" xfId="4512" xr:uid="{00000000-0005-0000-0000-0000A1000000}"/>
    <cellStyle name="20% - Accent2 10 2" xfId="13838" xr:uid="{9EEA5E5A-3D6E-413C-9129-FDB12BF2FDF4}"/>
    <cellStyle name="20% - Accent2 11" xfId="8760" xr:uid="{2F9D8AF1-C115-467C-ADFB-3BF13039D076}"/>
    <cellStyle name="20% - Accent2 12" xfId="9621" xr:uid="{57C8F9AF-C09F-4CE4-9EC6-C78C9F50BBE1}"/>
    <cellStyle name="20% - Accent2 2" xfId="10" xr:uid="{00000000-0005-0000-0000-0000A2000000}"/>
    <cellStyle name="20% - Accent2 2 10" xfId="8793" xr:uid="{AA7C3473-3A75-4F75-9E25-D7658C57F3A0}"/>
    <cellStyle name="20% - Accent2 2 11" xfId="9622" xr:uid="{28C8D2AB-A27C-406D-AA95-8301B77129A2}"/>
    <cellStyle name="20% - Accent2 2 2" xfId="11" xr:uid="{00000000-0005-0000-0000-0000A3000000}"/>
    <cellStyle name="20% - Accent2 2 2 10" xfId="9623" xr:uid="{7B11E29A-513A-43DB-A545-FDEF7419507F}"/>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FECC4ED4-AD82-4F63-98EC-F625188B1423}"/>
    <cellStyle name="20% - Accent2 2 2 2 2 2 3" xfId="12183" xr:uid="{2C589E0C-7BFB-4291-9871-BEC9179E9A42}"/>
    <cellStyle name="20% - Accent2 2 2 2 2 3" xfId="4929" xr:uid="{00000000-0005-0000-0000-0000A8000000}"/>
    <cellStyle name="20% - Accent2 2 2 2 2 3 2" xfId="14255" xr:uid="{8CB21578-4064-4AC1-BF3A-20C8DD27F4C6}"/>
    <cellStyle name="20% - Accent2 2 2 2 2 4" xfId="9528" xr:uid="{C8BEA541-FD8B-4449-95AA-43E1904F35BB}"/>
    <cellStyle name="20% - Accent2 2 2 2 2 5" xfId="10038" xr:uid="{44AE5973-9875-4F43-8CC6-247AC09F265F}"/>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427D0320-9214-4E39-8C48-897BAE70EF82}"/>
    <cellStyle name="20% - Accent2 2 2 2 3 2 3" xfId="12596" xr:uid="{FF26FA5D-6B07-4542-A937-45388E63F4E8}"/>
    <cellStyle name="20% - Accent2 2 2 2 3 3" xfId="5342" xr:uid="{00000000-0005-0000-0000-0000AC000000}"/>
    <cellStyle name="20% - Accent2 2 2 2 3 3 2" xfId="14668" xr:uid="{6A2F9A9B-F982-457E-AA5D-F0D0D7B03874}"/>
    <cellStyle name="20% - Accent2 2 2 2 3 4" xfId="10451" xr:uid="{48A01D62-E9E0-4CC1-ABBA-25D68F015F59}"/>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0C2EE69E-0D35-41B7-9830-E2F3F9B3A6A4}"/>
    <cellStyle name="20% - Accent2 2 2 2 4 2 3" xfId="13009" xr:uid="{1C89E302-246F-4F34-9E44-215DDC8B43B6}"/>
    <cellStyle name="20% - Accent2 2 2 2 4 3" xfId="5755" xr:uid="{00000000-0005-0000-0000-0000B0000000}"/>
    <cellStyle name="20% - Accent2 2 2 2 4 3 2" xfId="15081" xr:uid="{69D938C9-F95F-4522-8E7C-E2C4FDEDF7E0}"/>
    <cellStyle name="20% - Accent2 2 2 2 4 4" xfId="10864" xr:uid="{9A3D77F3-CA7D-4672-8866-33DA0981C7A2}"/>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10477BDA-25BA-44EB-806C-21048657BD99}"/>
    <cellStyle name="20% - Accent2 2 2 2 5 2 3" xfId="13422" xr:uid="{A20C4F51-7C1B-40E5-9599-7C3FE6E3770B}"/>
    <cellStyle name="20% - Accent2 2 2 2 5 3" xfId="6168" xr:uid="{00000000-0005-0000-0000-0000B4000000}"/>
    <cellStyle name="20% - Accent2 2 2 2 5 3 2" xfId="15494" xr:uid="{02403CFC-56EA-4ADA-9AEB-D236B78203A0}"/>
    <cellStyle name="20% - Accent2 2 2 2 5 4" xfId="11277" xr:uid="{2EA0C4E4-BC82-417B-8C75-38175245A4E5}"/>
    <cellStyle name="20% - Accent2 2 2 2 6" xfId="2275" xr:uid="{00000000-0005-0000-0000-0000B5000000}"/>
    <cellStyle name="20% - Accent2 2 2 2 6 2" xfId="6581" xr:uid="{00000000-0005-0000-0000-0000B6000000}"/>
    <cellStyle name="20% - Accent2 2 2 2 6 2 2" xfId="15907" xr:uid="{8C47C3AF-D30D-47F7-BC6E-8739B31B0448}"/>
    <cellStyle name="20% - Accent2 2 2 2 6 3" xfId="11690" xr:uid="{112177F3-3670-42BF-A878-C955DE24019E}"/>
    <cellStyle name="20% - Accent2 2 2 2 7" xfId="4515" xr:uid="{00000000-0005-0000-0000-0000B7000000}"/>
    <cellStyle name="20% - Accent2 2 2 2 7 2" xfId="13841" xr:uid="{B5F4E064-CC43-4824-B97C-284814ED6BB8}"/>
    <cellStyle name="20% - Accent2 2 2 2 8" xfId="9103" xr:uid="{91DB80A1-3464-4086-B948-71B6A26537C4}"/>
    <cellStyle name="20% - Accent2 2 2 2 9" xfId="9624" xr:uid="{1E52E300-C45A-46B1-8F27-9E4682CC76D1}"/>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CC7DBA03-0B6F-430D-8F01-8632F1488AD8}"/>
    <cellStyle name="20% - Accent2 2 2 3 2 3" xfId="12182" xr:uid="{D8CA48B9-A412-4326-AD79-6A6A54F6BF48}"/>
    <cellStyle name="20% - Accent2 2 2 3 3" xfId="4928" xr:uid="{00000000-0005-0000-0000-0000BB000000}"/>
    <cellStyle name="20% - Accent2 2 2 3 3 2" xfId="14254" xr:uid="{0B9DA4E0-9907-478B-90F4-25D1E1064E15}"/>
    <cellStyle name="20% - Accent2 2 2 3 4" xfId="9321" xr:uid="{32B21C3A-E360-4F19-B469-1116F045A0F3}"/>
    <cellStyle name="20% - Accent2 2 2 3 5" xfId="10037" xr:uid="{06E92C63-BF43-4A71-814D-6719F62B8350}"/>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63895635-8E1E-4C36-9527-14F693F3A2FC}"/>
    <cellStyle name="20% - Accent2 2 2 4 2 3" xfId="12595" xr:uid="{1A6C74A9-F9B2-4C6D-899D-07F5852C7320}"/>
    <cellStyle name="20% - Accent2 2 2 4 3" xfId="5341" xr:uid="{00000000-0005-0000-0000-0000BF000000}"/>
    <cellStyle name="20% - Accent2 2 2 4 3 2" xfId="14667" xr:uid="{E4B8B476-111B-4EE0-8729-E893099A82B2}"/>
    <cellStyle name="20% - Accent2 2 2 4 4" xfId="10450" xr:uid="{FE7C2F49-9876-4CD6-AB50-D7A8BACC2F5C}"/>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FD55AA51-01CF-4904-9A2A-80C520B36C3C}"/>
    <cellStyle name="20% - Accent2 2 2 5 2 3" xfId="13008" xr:uid="{DA359114-548F-4551-AC47-D71126B85F48}"/>
    <cellStyle name="20% - Accent2 2 2 5 3" xfId="5754" xr:uid="{00000000-0005-0000-0000-0000C3000000}"/>
    <cellStyle name="20% - Accent2 2 2 5 3 2" xfId="15080" xr:uid="{E4C8A642-868A-4F3F-A999-EBFC0EC6EA0F}"/>
    <cellStyle name="20% - Accent2 2 2 5 4" xfId="10863" xr:uid="{9E5AF265-0224-4376-B859-322B6E4588EF}"/>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18503DA2-2138-4B39-87FC-52ED286BB448}"/>
    <cellStyle name="20% - Accent2 2 2 6 2 3" xfId="13421" xr:uid="{5659E794-0E3F-48AB-A1A8-8FB43E763BE4}"/>
    <cellStyle name="20% - Accent2 2 2 6 3" xfId="6167" xr:uid="{00000000-0005-0000-0000-0000C7000000}"/>
    <cellStyle name="20% - Accent2 2 2 6 3 2" xfId="15493" xr:uid="{3B19225F-AB4C-4813-8229-074F6918355F}"/>
    <cellStyle name="20% - Accent2 2 2 6 4" xfId="11276" xr:uid="{8A3A7C6A-5C32-4DB3-8B75-694B09375E50}"/>
    <cellStyle name="20% - Accent2 2 2 7" xfId="2274" xr:uid="{00000000-0005-0000-0000-0000C8000000}"/>
    <cellStyle name="20% - Accent2 2 2 7 2" xfId="6580" xr:uid="{00000000-0005-0000-0000-0000C9000000}"/>
    <cellStyle name="20% - Accent2 2 2 7 2 2" xfId="15906" xr:uid="{B946E77E-A313-440F-89C9-D35F84658723}"/>
    <cellStyle name="20% - Accent2 2 2 7 3" xfId="11689" xr:uid="{598DE563-A158-4F6B-9AAC-E8D195336708}"/>
    <cellStyle name="20% - Accent2 2 2 8" xfId="4514" xr:uid="{00000000-0005-0000-0000-0000CA000000}"/>
    <cellStyle name="20% - Accent2 2 2 8 2" xfId="13840" xr:uid="{61CF97F5-BB64-490E-B7C1-AFE501EFA5CE}"/>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E0AFD88A-43E4-4C01-80E4-903185879E66}"/>
    <cellStyle name="20% - Accent2 2 3 2 2 3" xfId="12184" xr:uid="{F983CE8F-874A-4CAF-A9F1-6B76794B4DA4}"/>
    <cellStyle name="20% - Accent2 2 3 2 3" xfId="4930" xr:uid="{00000000-0005-0000-0000-0000CF000000}"/>
    <cellStyle name="20% - Accent2 2 3 2 3 2" xfId="14256" xr:uid="{84723641-DBD2-4E42-B008-50A36ED427E8}"/>
    <cellStyle name="20% - Accent2 2 3 2 4" xfId="9425" xr:uid="{35BECFF4-0F5A-4F6E-AE6E-354891135B4F}"/>
    <cellStyle name="20% - Accent2 2 3 2 5" xfId="10039" xr:uid="{8B0B9EA2-4AB6-4959-A352-032E6B536328}"/>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6EA323BC-3CBB-4B46-B4EC-77EFC7B28E46}"/>
    <cellStyle name="20% - Accent2 2 3 3 2 3" xfId="12597" xr:uid="{D743E1B4-7D17-462B-9082-A8A7841E566A}"/>
    <cellStyle name="20% - Accent2 2 3 3 3" xfId="5343" xr:uid="{00000000-0005-0000-0000-0000D3000000}"/>
    <cellStyle name="20% - Accent2 2 3 3 3 2" xfId="14669" xr:uid="{042142C1-5679-403F-BB0A-E5BCBE864485}"/>
    <cellStyle name="20% - Accent2 2 3 3 4" xfId="10452" xr:uid="{A99722B3-900B-445B-A2E8-F9931361816C}"/>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6A236674-34A5-4FF8-8064-9D8BB02EC68F}"/>
    <cellStyle name="20% - Accent2 2 3 4 2 3" xfId="13010" xr:uid="{226FD1C4-7A02-4C4C-9708-632A0CC3238D}"/>
    <cellStyle name="20% - Accent2 2 3 4 3" xfId="5756" xr:uid="{00000000-0005-0000-0000-0000D7000000}"/>
    <cellStyle name="20% - Accent2 2 3 4 3 2" xfId="15082" xr:uid="{48984B97-C333-4D33-BEEC-0DA6EF81C648}"/>
    <cellStyle name="20% - Accent2 2 3 4 4" xfId="10865" xr:uid="{28169959-B948-43D2-BD14-78BE91F26E50}"/>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53ABAA2A-51FE-419F-8781-378DC8F9089F}"/>
    <cellStyle name="20% - Accent2 2 3 5 2 3" xfId="13423" xr:uid="{99131756-4363-48FE-ACCA-9F2C16B3752A}"/>
    <cellStyle name="20% - Accent2 2 3 5 3" xfId="6169" xr:uid="{00000000-0005-0000-0000-0000DB000000}"/>
    <cellStyle name="20% - Accent2 2 3 5 3 2" xfId="15495" xr:uid="{025B746A-411A-42C5-833A-F9F67D6C3349}"/>
    <cellStyle name="20% - Accent2 2 3 5 4" xfId="11278" xr:uid="{45785A7E-FF17-491F-B790-4F9CD2AF6FF2}"/>
    <cellStyle name="20% - Accent2 2 3 6" xfId="2276" xr:uid="{00000000-0005-0000-0000-0000DC000000}"/>
    <cellStyle name="20% - Accent2 2 3 6 2" xfId="6582" xr:uid="{00000000-0005-0000-0000-0000DD000000}"/>
    <cellStyle name="20% - Accent2 2 3 6 2 2" xfId="15908" xr:uid="{8BEFC0DF-E1CF-4CDA-AD27-9404209EAB79}"/>
    <cellStyle name="20% - Accent2 2 3 6 3" xfId="11691" xr:uid="{B2CD9893-520B-4BB5-9AD8-AE1B458B9606}"/>
    <cellStyle name="20% - Accent2 2 3 7" xfId="4516" xr:uid="{00000000-0005-0000-0000-0000DE000000}"/>
    <cellStyle name="20% - Accent2 2 3 7 2" xfId="13842" xr:uid="{27E3B11E-7065-4ED3-A991-598363D31C30}"/>
    <cellStyle name="20% - Accent2 2 3 8" xfId="9000" xr:uid="{133DFC5C-F2FF-49E9-82EE-ABAA9C815393}"/>
    <cellStyle name="20% - Accent2 2 3 9" xfId="9625" xr:uid="{6BD64647-3CA1-43A2-96CA-5D10FEC66E61}"/>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29C94642-858B-47D5-8842-BBC9974169C8}"/>
    <cellStyle name="20% - Accent2 2 4 2 3" xfId="12181" xr:uid="{7CBFB36F-769D-492A-84D8-19A845AB0C39}"/>
    <cellStyle name="20% - Accent2 2 4 3" xfId="4927" xr:uid="{00000000-0005-0000-0000-0000E2000000}"/>
    <cellStyle name="20% - Accent2 2 4 3 2" xfId="14253" xr:uid="{16EF557C-56F7-431D-8957-FBE7758DC8B7}"/>
    <cellStyle name="20% - Accent2 2 4 4" xfId="9217" xr:uid="{28DDC3F5-BA57-40F8-8D06-6CFF141CF9A1}"/>
    <cellStyle name="20% - Accent2 2 4 5" xfId="10036" xr:uid="{1ECD7829-2884-4A86-AEB1-B795B3F0919C}"/>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A95AC84B-990C-4706-B4C6-2717DC6DE0AE}"/>
    <cellStyle name="20% - Accent2 2 5 2 3" xfId="12594" xr:uid="{65A1A257-1A38-4430-BCD7-B61EE3F960B3}"/>
    <cellStyle name="20% - Accent2 2 5 3" xfId="5340" xr:uid="{00000000-0005-0000-0000-0000E6000000}"/>
    <cellStyle name="20% - Accent2 2 5 3 2" xfId="14666" xr:uid="{1AC49EA8-88A2-4CFA-8D6A-19189C685958}"/>
    <cellStyle name="20% - Accent2 2 5 4" xfId="10449" xr:uid="{0D13C0BD-48EB-4E25-BC2E-3A93A76E6907}"/>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3ED250FF-2485-4B5F-BA0C-D90C98C4606C}"/>
    <cellStyle name="20% - Accent2 2 6 2 3" xfId="13007" xr:uid="{A4A5E055-7717-4440-85D4-C3FBB19FC69E}"/>
    <cellStyle name="20% - Accent2 2 6 3" xfId="5753" xr:uid="{00000000-0005-0000-0000-0000EA000000}"/>
    <cellStyle name="20% - Accent2 2 6 3 2" xfId="15079" xr:uid="{CC611232-3AB5-4EA2-AD4F-E45BF7B06AD6}"/>
    <cellStyle name="20% - Accent2 2 6 4" xfId="10862" xr:uid="{AC7BB752-89FE-46C1-9299-7D9324ED169E}"/>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BEE85A2B-6F8B-407E-B743-892E10E5EABF}"/>
    <cellStyle name="20% - Accent2 2 7 2 3" xfId="13420" xr:uid="{EC2CAD6C-78BE-489F-B973-287B428F96F9}"/>
    <cellStyle name="20% - Accent2 2 7 3" xfId="6166" xr:uid="{00000000-0005-0000-0000-0000EE000000}"/>
    <cellStyle name="20% - Accent2 2 7 3 2" xfId="15492" xr:uid="{B2FB2A3E-ADBB-4406-8209-C98614E5FDC7}"/>
    <cellStyle name="20% - Accent2 2 7 4" xfId="11275" xr:uid="{38967931-3A03-404E-97AA-26D07ABBD517}"/>
    <cellStyle name="20% - Accent2 2 8" xfId="2273" xr:uid="{00000000-0005-0000-0000-0000EF000000}"/>
    <cellStyle name="20% - Accent2 2 8 2" xfId="6579" xr:uid="{00000000-0005-0000-0000-0000F0000000}"/>
    <cellStyle name="20% - Accent2 2 8 2 2" xfId="15905" xr:uid="{06B772AC-C2F1-4E5A-96F7-213A612EAED0}"/>
    <cellStyle name="20% - Accent2 2 8 3" xfId="11688" xr:uid="{3513D37F-0A0F-49BA-816D-B174316C1D37}"/>
    <cellStyle name="20% - Accent2 2 9" xfId="4513" xr:uid="{00000000-0005-0000-0000-0000F1000000}"/>
    <cellStyle name="20% - Accent2 2 9 2" xfId="13839" xr:uid="{6B60D7A1-CF9C-4822-9497-6C629DC5A223}"/>
    <cellStyle name="20% - Accent2 3" xfId="14" xr:uid="{00000000-0005-0000-0000-0000F2000000}"/>
    <cellStyle name="20% - Accent2 3 10" xfId="9626" xr:uid="{10F449FC-9E66-48D7-8603-FB7B88428F57}"/>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CA44F610-F2B5-43F2-BDCB-3BDD9B9B7213}"/>
    <cellStyle name="20% - Accent2 3 2 2 2 3" xfId="12186" xr:uid="{252C05DD-B5E2-4CFB-985F-FFBE54EB8917}"/>
    <cellStyle name="20% - Accent2 3 2 2 3" xfId="4932" xr:uid="{00000000-0005-0000-0000-0000F7000000}"/>
    <cellStyle name="20% - Accent2 3 2 2 3 2" xfId="14258" xr:uid="{8926406F-FB64-4C16-87D5-C774AF5A258B}"/>
    <cellStyle name="20% - Accent2 3 2 2 4" xfId="9495" xr:uid="{9F5A6FE7-BBC9-4787-8EC4-2112F4D5A0EA}"/>
    <cellStyle name="20% - Accent2 3 2 2 5" xfId="10041" xr:uid="{1DB4D48C-3842-4F6B-9B44-62B33968994F}"/>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9C18B1B8-0BB9-4031-B16F-5F9BC1427E7C}"/>
    <cellStyle name="20% - Accent2 3 2 3 2 3" xfId="12599" xr:uid="{22FDFBD8-A5A5-4844-AB93-D1B5F669A2BE}"/>
    <cellStyle name="20% - Accent2 3 2 3 3" xfId="5345" xr:uid="{00000000-0005-0000-0000-0000FB000000}"/>
    <cellStyle name="20% - Accent2 3 2 3 3 2" xfId="14671" xr:uid="{238C3DE9-3297-4D20-BDDF-B1E99C421016}"/>
    <cellStyle name="20% - Accent2 3 2 3 4" xfId="10454" xr:uid="{5BB08A4F-48B5-4F67-A260-35526C8D8C81}"/>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FE4579FD-A567-48DB-9946-259303C187E2}"/>
    <cellStyle name="20% - Accent2 3 2 4 2 3" xfId="13012" xr:uid="{0C843515-A1DB-4543-AC90-9E6C3BBE1B16}"/>
    <cellStyle name="20% - Accent2 3 2 4 3" xfId="5758" xr:uid="{00000000-0005-0000-0000-0000FF000000}"/>
    <cellStyle name="20% - Accent2 3 2 4 3 2" xfId="15084" xr:uid="{DC039F8A-A938-46D4-80FF-F091B5D39CD8}"/>
    <cellStyle name="20% - Accent2 3 2 4 4" xfId="10867" xr:uid="{342120EA-5DB1-494D-B26E-25FBB11FFAC1}"/>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5447DE94-1862-40B2-9E61-40027562DCAB}"/>
    <cellStyle name="20% - Accent2 3 2 5 2 3" xfId="13425" xr:uid="{61A59498-F632-4ECA-97E2-0F9DDE82F449}"/>
    <cellStyle name="20% - Accent2 3 2 5 3" xfId="6171" xr:uid="{00000000-0005-0000-0000-000003010000}"/>
    <cellStyle name="20% - Accent2 3 2 5 3 2" xfId="15497" xr:uid="{4B9D24C4-ACA0-4948-8351-27251CEA5EA9}"/>
    <cellStyle name="20% - Accent2 3 2 5 4" xfId="11280" xr:uid="{7D4A12A0-FFD0-4CDF-A586-59B0AAAAE37E}"/>
    <cellStyle name="20% - Accent2 3 2 6" xfId="2278" xr:uid="{00000000-0005-0000-0000-000004010000}"/>
    <cellStyle name="20% - Accent2 3 2 6 2" xfId="6584" xr:uid="{00000000-0005-0000-0000-000005010000}"/>
    <cellStyle name="20% - Accent2 3 2 6 2 2" xfId="15910" xr:uid="{46187EA6-7683-47C9-9323-C64EBDD601D2}"/>
    <cellStyle name="20% - Accent2 3 2 6 3" xfId="11693" xr:uid="{6662D641-C70F-47D4-8E16-FACB1E135324}"/>
    <cellStyle name="20% - Accent2 3 2 7" xfId="4518" xr:uid="{00000000-0005-0000-0000-000006010000}"/>
    <cellStyle name="20% - Accent2 3 2 7 2" xfId="13844" xr:uid="{2B5FFA6F-393B-4719-8FDE-0F1F5599E176}"/>
    <cellStyle name="20% - Accent2 3 2 8" xfId="9070" xr:uid="{8A9168BA-490F-4E57-83EA-22187D24153F}"/>
    <cellStyle name="20% - Accent2 3 2 9" xfId="9627" xr:uid="{57A442CA-B2A9-498D-AF6E-8E84EB51796C}"/>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F0C680DD-232E-4309-ACFB-92DEDF04DE72}"/>
    <cellStyle name="20% - Accent2 3 3 2 3" xfId="12185" xr:uid="{52514BAC-E90C-4AB3-A6F2-7F8F58FFAE1D}"/>
    <cellStyle name="20% - Accent2 3 3 3" xfId="4931" xr:uid="{00000000-0005-0000-0000-00000A010000}"/>
    <cellStyle name="20% - Accent2 3 3 3 2" xfId="14257" xr:uid="{7717F328-9E2C-4225-A6A3-106001FE1521}"/>
    <cellStyle name="20% - Accent2 3 3 4" xfId="9288" xr:uid="{FCD70616-ECAD-4A0B-889F-4698E1AD889E}"/>
    <cellStyle name="20% - Accent2 3 3 5" xfId="10040" xr:uid="{90D3B2E2-2870-4EEA-9D19-14CB202BDD9E}"/>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0B8669D7-CC37-42B4-AC6E-2FC623B8B176}"/>
    <cellStyle name="20% - Accent2 3 4 2 3" xfId="12598" xr:uid="{187B55F7-3224-4912-9C95-A41354742F14}"/>
    <cellStyle name="20% - Accent2 3 4 3" xfId="5344" xr:uid="{00000000-0005-0000-0000-00000E010000}"/>
    <cellStyle name="20% - Accent2 3 4 3 2" xfId="14670" xr:uid="{E2F56053-2737-4F6B-B529-D3ABE7DE0D76}"/>
    <cellStyle name="20% - Accent2 3 4 4" xfId="10453" xr:uid="{CAFB81CC-1D8A-4BF9-8E81-5C076A93FF7B}"/>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2729F1DB-9CDF-4FF8-8101-F5C9E135766D}"/>
    <cellStyle name="20% - Accent2 3 5 2 3" xfId="13011" xr:uid="{679C5570-620A-43E4-A6FC-D27E6627E5FB}"/>
    <cellStyle name="20% - Accent2 3 5 3" xfId="5757" xr:uid="{00000000-0005-0000-0000-000012010000}"/>
    <cellStyle name="20% - Accent2 3 5 3 2" xfId="15083" xr:uid="{5FFC6AFB-5D36-4D6F-B688-D3641C6EAFC7}"/>
    <cellStyle name="20% - Accent2 3 5 4" xfId="10866" xr:uid="{4F884B19-FB61-4DEF-888A-E79F7EA30B7F}"/>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F9F886ED-A13C-421E-9A51-3C1869A6A3E7}"/>
    <cellStyle name="20% - Accent2 3 6 2 3" xfId="13424" xr:uid="{0A45B56B-778A-4BB4-9EF2-7FCB02401430}"/>
    <cellStyle name="20% - Accent2 3 6 3" xfId="6170" xr:uid="{00000000-0005-0000-0000-000016010000}"/>
    <cellStyle name="20% - Accent2 3 6 3 2" xfId="15496" xr:uid="{5B0828F0-72F8-48AC-9BC5-98E1DCB48ED3}"/>
    <cellStyle name="20% - Accent2 3 6 4" xfId="11279" xr:uid="{B9EDFA1F-9A11-4627-A082-EC028D12DEEA}"/>
    <cellStyle name="20% - Accent2 3 7" xfId="2277" xr:uid="{00000000-0005-0000-0000-000017010000}"/>
    <cellStyle name="20% - Accent2 3 7 2" xfId="6583" xr:uid="{00000000-0005-0000-0000-000018010000}"/>
    <cellStyle name="20% - Accent2 3 7 2 2" xfId="15909" xr:uid="{B8788FFA-55B0-442F-BA19-A9E03401429D}"/>
    <cellStyle name="20% - Accent2 3 7 3" xfId="11692" xr:uid="{B3D57904-C012-4C59-BA42-A9542B1761A3}"/>
    <cellStyle name="20% - Accent2 3 8" xfId="4517" xr:uid="{00000000-0005-0000-0000-000019010000}"/>
    <cellStyle name="20% - Accent2 3 8 2" xfId="13843" xr:uid="{18A12ACD-E7BD-4E25-B2D9-6B827CDD0761}"/>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8EFFB71F-BA44-4A3A-8E79-4033404E0638}"/>
    <cellStyle name="20% - Accent2 4 2 2 3" xfId="12187" xr:uid="{51C496D9-A760-4AD8-A70A-D97ED788123D}"/>
    <cellStyle name="20% - Accent2 4 2 3" xfId="4933" xr:uid="{00000000-0005-0000-0000-00001E010000}"/>
    <cellStyle name="20% - Accent2 4 2 3 2" xfId="14259" xr:uid="{A814D077-9728-4941-9009-1FDDA3CA01A9}"/>
    <cellStyle name="20% - Accent2 4 2 4" xfId="9374" xr:uid="{26FD7A0E-8D04-4AF7-B092-2B22A78F0A97}"/>
    <cellStyle name="20% - Accent2 4 2 5" xfId="10042" xr:uid="{FE7D5DE8-DDBD-4F3D-A2DD-203212758C85}"/>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12A6F2E4-D46C-46C2-8344-2984831625C6}"/>
    <cellStyle name="20% - Accent2 4 3 2 3" xfId="12600" xr:uid="{C507C5CA-7FAA-4606-9566-142367D91E2B}"/>
    <cellStyle name="20% - Accent2 4 3 3" xfId="5346" xr:uid="{00000000-0005-0000-0000-000022010000}"/>
    <cellStyle name="20% - Accent2 4 3 3 2" xfId="14672" xr:uid="{B6B89476-1520-4928-9C0B-9A29CAF5EEC1}"/>
    <cellStyle name="20% - Accent2 4 3 4" xfId="10455" xr:uid="{801080EE-CFD2-4A63-B484-9AED0F6EF0D7}"/>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EF0B5DAB-313E-4207-9C6C-5827EADB286F}"/>
    <cellStyle name="20% - Accent2 4 4 2 3" xfId="13013" xr:uid="{FEB60B58-3614-4C10-9FF2-37FB5E0FF3E7}"/>
    <cellStyle name="20% - Accent2 4 4 3" xfId="5759" xr:uid="{00000000-0005-0000-0000-000026010000}"/>
    <cellStyle name="20% - Accent2 4 4 3 2" xfId="15085" xr:uid="{2CD44E4E-19B0-475F-AA50-151E55A12B4A}"/>
    <cellStyle name="20% - Accent2 4 4 4" xfId="10868" xr:uid="{822BE16E-4008-4B3E-90FC-98083DB32F43}"/>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E4652BC7-A2B2-4885-A7A6-4ECD64727FB5}"/>
    <cellStyle name="20% - Accent2 4 5 2 3" xfId="13426" xr:uid="{BB58FBDB-00EF-461D-A59A-6855C9374218}"/>
    <cellStyle name="20% - Accent2 4 5 3" xfId="6172" xr:uid="{00000000-0005-0000-0000-00002A010000}"/>
    <cellStyle name="20% - Accent2 4 5 3 2" xfId="15498" xr:uid="{151E0D7A-F65D-4C08-84B0-5CE7BEE2E531}"/>
    <cellStyle name="20% - Accent2 4 5 4" xfId="11281" xr:uid="{D641E585-5E13-4A10-BA41-E303098D1B89}"/>
    <cellStyle name="20% - Accent2 4 6" xfId="2279" xr:uid="{00000000-0005-0000-0000-00002B010000}"/>
    <cellStyle name="20% - Accent2 4 6 2" xfId="6585" xr:uid="{00000000-0005-0000-0000-00002C010000}"/>
    <cellStyle name="20% - Accent2 4 6 2 2" xfId="15911" xr:uid="{AFCAA860-1062-4332-8D16-5A421CB2A0C5}"/>
    <cellStyle name="20% - Accent2 4 6 3" xfId="11694" xr:uid="{82E0FCC9-EE58-4512-BA9F-B2AAB8C1A9EC}"/>
    <cellStyle name="20% - Accent2 4 7" xfId="4519" xr:uid="{00000000-0005-0000-0000-00002D010000}"/>
    <cellStyle name="20% - Accent2 4 7 2" xfId="13845" xr:uid="{0BCAE6D5-5A72-40DB-9BBB-9F6E1FAC640C}"/>
    <cellStyle name="20% - Accent2 4 8" xfId="8949" xr:uid="{084C22A9-B904-4AFE-A752-AC1DC2CA76B8}"/>
    <cellStyle name="20% - Accent2 4 9" xfId="9628" xr:uid="{EB8B2D9F-F38D-4DD3-B6BF-2F62A1916A13}"/>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7308545E-DF45-4B3D-B717-05926F7475EB}"/>
    <cellStyle name="20% - Accent2 5 2 3" xfId="12180" xr:uid="{0CCEA608-CA44-42D8-9727-334C803FF2B3}"/>
    <cellStyle name="20% - Accent2 5 3" xfId="4926" xr:uid="{00000000-0005-0000-0000-000031010000}"/>
    <cellStyle name="20% - Accent2 5 3 2" xfId="14252" xr:uid="{497CEE5C-45AC-4161-8890-69D4E3CFC7FA}"/>
    <cellStyle name="20% - Accent2 5 4" xfId="9182" xr:uid="{F822E263-B2A4-41B5-BBF9-FCE1A7A30601}"/>
    <cellStyle name="20% - Accent2 5 5" xfId="10035" xr:uid="{D29487F0-7823-4F2C-AF82-F055EC2854FC}"/>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77B08B98-3333-4A4C-8A3F-522A65587C0E}"/>
    <cellStyle name="20% - Accent2 6 2 3" xfId="12593" xr:uid="{F72FE99E-9F8F-4E33-97DE-2AA9C9D42F67}"/>
    <cellStyle name="20% - Accent2 6 3" xfId="5339" xr:uid="{00000000-0005-0000-0000-000035010000}"/>
    <cellStyle name="20% - Accent2 6 3 2" xfId="14665" xr:uid="{66964318-9F81-4487-8B21-0D5F2E0091B8}"/>
    <cellStyle name="20% - Accent2 6 4" xfId="10448" xr:uid="{D3C5A1D1-6820-4CA3-A62C-A4FA24C3C180}"/>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AC0229CA-2A7B-4F4E-9343-8FFEE1434796}"/>
    <cellStyle name="20% - Accent2 7 2 3" xfId="13006" xr:uid="{3C70A3E2-CD6F-4D27-91F0-1969073C8303}"/>
    <cellStyle name="20% - Accent2 7 3" xfId="5752" xr:uid="{00000000-0005-0000-0000-000039010000}"/>
    <cellStyle name="20% - Accent2 7 3 2" xfId="15078" xr:uid="{73F7E077-124C-461F-8415-8574031E3551}"/>
    <cellStyle name="20% - Accent2 7 4" xfId="10861" xr:uid="{0F1E613F-8742-437F-91C7-5D3C26A433EE}"/>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ECD7A5C8-37A5-4F37-A60A-529DE6C248CD}"/>
    <cellStyle name="20% - Accent2 8 2 3" xfId="13419" xr:uid="{44194E8A-1547-4F66-B1D3-32C40F09C3FD}"/>
    <cellStyle name="20% - Accent2 8 3" xfId="6165" xr:uid="{00000000-0005-0000-0000-00003D010000}"/>
    <cellStyle name="20% - Accent2 8 3 2" xfId="15491" xr:uid="{A0827A25-B6D4-4B75-B4BD-058ACE66DEE5}"/>
    <cellStyle name="20% - Accent2 8 4" xfId="11274" xr:uid="{1766B2A0-E272-4558-A8A7-A87F8176B992}"/>
    <cellStyle name="20% - Accent2 9" xfId="2272" xr:uid="{00000000-0005-0000-0000-00003E010000}"/>
    <cellStyle name="20% - Accent2 9 2" xfId="6578" xr:uid="{00000000-0005-0000-0000-00003F010000}"/>
    <cellStyle name="20% - Accent2 9 2 2" xfId="15904" xr:uid="{55A1B873-94E0-48FB-9104-0D82B16CE58D}"/>
    <cellStyle name="20% - Accent2 9 3" xfId="11687" xr:uid="{0D007E54-28B5-4194-8B27-D94EB5E4CC0A}"/>
    <cellStyle name="20% - Accent3" xfId="17" builtinId="38" customBuiltin="1"/>
    <cellStyle name="20% - Accent3 10" xfId="4520" xr:uid="{00000000-0005-0000-0000-000041010000}"/>
    <cellStyle name="20% - Accent3 10 2" xfId="13846" xr:uid="{690C6779-C367-40A1-9502-7A5E8922F8EC}"/>
    <cellStyle name="20% - Accent3 11" xfId="8762" xr:uid="{49ACF776-43E7-4BB5-82F5-A8A4FEBC45F8}"/>
    <cellStyle name="20% - Accent3 12" xfId="9629" xr:uid="{5C125E51-B80D-4B7D-9DDA-088D5723E176}"/>
    <cellStyle name="20% - Accent3 2" xfId="18" xr:uid="{00000000-0005-0000-0000-000042010000}"/>
    <cellStyle name="20% - Accent3 2 10" xfId="8792" xr:uid="{65E5762F-047C-4860-B47E-71363924E2A5}"/>
    <cellStyle name="20% - Accent3 2 11" xfId="9630" xr:uid="{0452F0A2-D315-492F-9B0A-91278D681CB4}"/>
    <cellStyle name="20% - Accent3 2 2" xfId="19" xr:uid="{00000000-0005-0000-0000-000043010000}"/>
    <cellStyle name="20% - Accent3 2 2 10" xfId="9631" xr:uid="{99318682-9006-42CA-B9ED-0E137035BE94}"/>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F5DA4D25-98A3-429A-AFCE-EA3632475370}"/>
    <cellStyle name="20% - Accent3 2 2 2 2 2 3" xfId="12191" xr:uid="{BA6E173D-A9B9-4854-8B6E-B082CAD2B8E5}"/>
    <cellStyle name="20% - Accent3 2 2 2 2 3" xfId="4937" xr:uid="{00000000-0005-0000-0000-000048010000}"/>
    <cellStyle name="20% - Accent3 2 2 2 2 3 2" xfId="14263" xr:uid="{1E9A4DDE-0418-4004-A693-D0D54E4127A0}"/>
    <cellStyle name="20% - Accent3 2 2 2 2 4" xfId="9527" xr:uid="{B82F9F3C-4714-4F10-BEB2-F90FC0563F53}"/>
    <cellStyle name="20% - Accent3 2 2 2 2 5" xfId="10046" xr:uid="{0EF7C111-6F6F-4DC5-94AC-4C58DE0625F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754DD948-9DBF-429D-AE4C-0977BA1FC8C3}"/>
    <cellStyle name="20% - Accent3 2 2 2 3 2 3" xfId="12604" xr:uid="{48166D34-FE03-4657-B04D-B1039C00BB77}"/>
    <cellStyle name="20% - Accent3 2 2 2 3 3" xfId="5350" xr:uid="{00000000-0005-0000-0000-00004C010000}"/>
    <cellStyle name="20% - Accent3 2 2 2 3 3 2" xfId="14676" xr:uid="{EDEC6491-93B5-4948-8F80-696EB5C676EE}"/>
    <cellStyle name="20% - Accent3 2 2 2 3 4" xfId="10459" xr:uid="{350788CE-0444-4E8D-B902-ABE416608C22}"/>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CE833AA9-0F2D-4370-9F9E-40E2FB498494}"/>
    <cellStyle name="20% - Accent3 2 2 2 4 2 3" xfId="13017" xr:uid="{28E98397-2D4D-4995-B6AB-41652A94342B}"/>
    <cellStyle name="20% - Accent3 2 2 2 4 3" xfId="5763" xr:uid="{00000000-0005-0000-0000-000050010000}"/>
    <cellStyle name="20% - Accent3 2 2 2 4 3 2" xfId="15089" xr:uid="{334D4503-A761-4114-B50E-24043308EFE3}"/>
    <cellStyle name="20% - Accent3 2 2 2 4 4" xfId="10872" xr:uid="{2F1F081E-1A6E-4B9A-BCDE-715B85336478}"/>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98459755-AACC-4982-BF26-D99E03A54049}"/>
    <cellStyle name="20% - Accent3 2 2 2 5 2 3" xfId="13430" xr:uid="{EDB6A1DE-168F-4880-8924-D7708B9BC974}"/>
    <cellStyle name="20% - Accent3 2 2 2 5 3" xfId="6176" xr:uid="{00000000-0005-0000-0000-000054010000}"/>
    <cellStyle name="20% - Accent3 2 2 2 5 3 2" xfId="15502" xr:uid="{6525F42D-84EC-4AC0-8287-09961C30226C}"/>
    <cellStyle name="20% - Accent3 2 2 2 5 4" xfId="11285" xr:uid="{48980EA0-54EC-4406-B6E5-CA3580252665}"/>
    <cellStyle name="20% - Accent3 2 2 2 6" xfId="2283" xr:uid="{00000000-0005-0000-0000-000055010000}"/>
    <cellStyle name="20% - Accent3 2 2 2 6 2" xfId="6589" xr:uid="{00000000-0005-0000-0000-000056010000}"/>
    <cellStyle name="20% - Accent3 2 2 2 6 2 2" xfId="15915" xr:uid="{89F90B9D-9855-4A81-84A6-D7E7DC955F8A}"/>
    <cellStyle name="20% - Accent3 2 2 2 6 3" xfId="11698" xr:uid="{E10F9116-9247-42EB-9754-AFF48A48D720}"/>
    <cellStyle name="20% - Accent3 2 2 2 7" xfId="4523" xr:uid="{00000000-0005-0000-0000-000057010000}"/>
    <cellStyle name="20% - Accent3 2 2 2 7 2" xfId="13849" xr:uid="{616B6DDB-6EF7-4518-886E-9492C511C842}"/>
    <cellStyle name="20% - Accent3 2 2 2 8" xfId="9102" xr:uid="{77698EAD-FDE4-4105-BE80-980B5219F464}"/>
    <cellStyle name="20% - Accent3 2 2 2 9" xfId="9632" xr:uid="{85BADD8C-A05F-4094-9A29-4363D9A28E66}"/>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907B8881-EA98-4E7B-BDE3-CDF34EC1407E}"/>
    <cellStyle name="20% - Accent3 2 2 3 2 3" xfId="12190" xr:uid="{E819D9EF-E357-431A-9735-3CBB161EAE7F}"/>
    <cellStyle name="20% - Accent3 2 2 3 3" xfId="4936" xr:uid="{00000000-0005-0000-0000-00005B010000}"/>
    <cellStyle name="20% - Accent3 2 2 3 3 2" xfId="14262" xr:uid="{8B1B4769-8CE6-40A7-9B8C-79EB9ACD6E2E}"/>
    <cellStyle name="20% - Accent3 2 2 3 4" xfId="9320" xr:uid="{BF070B19-D289-4211-B080-DBB621CAE7BA}"/>
    <cellStyle name="20% - Accent3 2 2 3 5" xfId="10045" xr:uid="{158A200F-0834-4114-B7F1-38BA70B01FB3}"/>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69C60834-8F32-4010-885D-DA107DDA73F6}"/>
    <cellStyle name="20% - Accent3 2 2 4 2 3" xfId="12603" xr:uid="{8043CB60-F593-4D35-BA7F-DCB30C8F34FD}"/>
    <cellStyle name="20% - Accent3 2 2 4 3" xfId="5349" xr:uid="{00000000-0005-0000-0000-00005F010000}"/>
    <cellStyle name="20% - Accent3 2 2 4 3 2" xfId="14675" xr:uid="{C9D2A868-42CE-4B30-995A-771BD125CE4C}"/>
    <cellStyle name="20% - Accent3 2 2 4 4" xfId="10458" xr:uid="{31A1908B-9A3D-4B75-9750-94164AFB2EBD}"/>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189DEA9E-E192-4B1C-A66C-CAE00958BD63}"/>
    <cellStyle name="20% - Accent3 2 2 5 2 3" xfId="13016" xr:uid="{AF94DC24-D749-4EC6-970B-5B209CDAA774}"/>
    <cellStyle name="20% - Accent3 2 2 5 3" xfId="5762" xr:uid="{00000000-0005-0000-0000-000063010000}"/>
    <cellStyle name="20% - Accent3 2 2 5 3 2" xfId="15088" xr:uid="{BC2BB96A-AFF3-4D70-A980-435161FDA50A}"/>
    <cellStyle name="20% - Accent3 2 2 5 4" xfId="10871" xr:uid="{069CB478-9174-4E3E-93F9-173F6CDB9A95}"/>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C937FDF3-61E7-449E-8A52-D2734738C648}"/>
    <cellStyle name="20% - Accent3 2 2 6 2 3" xfId="13429" xr:uid="{4E442B30-C1E3-4DDD-A27C-B1C69AF82A6F}"/>
    <cellStyle name="20% - Accent3 2 2 6 3" xfId="6175" xr:uid="{00000000-0005-0000-0000-000067010000}"/>
    <cellStyle name="20% - Accent3 2 2 6 3 2" xfId="15501" xr:uid="{4A9DDCB1-C57A-49A0-AF5D-C3264F6DE5C6}"/>
    <cellStyle name="20% - Accent3 2 2 6 4" xfId="11284" xr:uid="{E3A69C62-B158-45EE-9927-B4661B83008A}"/>
    <cellStyle name="20% - Accent3 2 2 7" xfId="2282" xr:uid="{00000000-0005-0000-0000-000068010000}"/>
    <cellStyle name="20% - Accent3 2 2 7 2" xfId="6588" xr:uid="{00000000-0005-0000-0000-000069010000}"/>
    <cellStyle name="20% - Accent3 2 2 7 2 2" xfId="15914" xr:uid="{AC58336D-A2A0-48A2-BABE-A0A2585776D7}"/>
    <cellStyle name="20% - Accent3 2 2 7 3" xfId="11697" xr:uid="{52B85A67-21C0-45C9-BA78-7546E85C3CCA}"/>
    <cellStyle name="20% - Accent3 2 2 8" xfId="4522" xr:uid="{00000000-0005-0000-0000-00006A010000}"/>
    <cellStyle name="20% - Accent3 2 2 8 2" xfId="13848" xr:uid="{09759B8A-BF80-4B23-AB3D-D5CA248BBB55}"/>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531E0B0C-2609-4B0D-8301-A71617F7991E}"/>
    <cellStyle name="20% - Accent3 2 3 2 2 3" xfId="12192" xr:uid="{2B252886-5755-4D56-8722-48EA3D2647DC}"/>
    <cellStyle name="20% - Accent3 2 3 2 3" xfId="4938" xr:uid="{00000000-0005-0000-0000-00006F010000}"/>
    <cellStyle name="20% - Accent3 2 3 2 3 2" xfId="14264" xr:uid="{286221D4-09DE-4346-BD80-0C839638D315}"/>
    <cellStyle name="20% - Accent3 2 3 2 4" xfId="9424" xr:uid="{C3588D98-6F24-4F2C-9F96-F34501405613}"/>
    <cellStyle name="20% - Accent3 2 3 2 5" xfId="10047" xr:uid="{163E6F26-F07C-4F15-9869-C6BC6A33696A}"/>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EE3883CE-28AF-440E-831A-B5875677CFF1}"/>
    <cellStyle name="20% - Accent3 2 3 3 2 3" xfId="12605" xr:uid="{48E71BB0-AC68-4A56-91C7-FB0E656B1780}"/>
    <cellStyle name="20% - Accent3 2 3 3 3" xfId="5351" xr:uid="{00000000-0005-0000-0000-000073010000}"/>
    <cellStyle name="20% - Accent3 2 3 3 3 2" xfId="14677" xr:uid="{CD63E396-2C3C-402C-88A7-185D1FADD816}"/>
    <cellStyle name="20% - Accent3 2 3 3 4" xfId="10460" xr:uid="{4376A255-C9DB-48E5-ABCC-8077B53DE6A4}"/>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DEF6C6E6-1964-411F-AF94-B6EEF1615391}"/>
    <cellStyle name="20% - Accent3 2 3 4 2 3" xfId="13018" xr:uid="{B07B1839-9D0C-4D25-8ED5-D46A59D72F25}"/>
    <cellStyle name="20% - Accent3 2 3 4 3" xfId="5764" xr:uid="{00000000-0005-0000-0000-000077010000}"/>
    <cellStyle name="20% - Accent3 2 3 4 3 2" xfId="15090" xr:uid="{10A0B0BD-9398-4A99-AE53-DC464615C321}"/>
    <cellStyle name="20% - Accent3 2 3 4 4" xfId="10873" xr:uid="{526533D7-F182-43B4-B39D-0C1F0196A578}"/>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E0090A54-075D-4CE8-9274-766C19073F61}"/>
    <cellStyle name="20% - Accent3 2 3 5 2 3" xfId="13431" xr:uid="{59F08441-45A4-4B55-8AD9-C38E49275032}"/>
    <cellStyle name="20% - Accent3 2 3 5 3" xfId="6177" xr:uid="{00000000-0005-0000-0000-00007B010000}"/>
    <cellStyle name="20% - Accent3 2 3 5 3 2" xfId="15503" xr:uid="{E67D222E-428E-4966-9E40-6A6C8C41A385}"/>
    <cellStyle name="20% - Accent3 2 3 5 4" xfId="11286" xr:uid="{0A18E19A-88BE-494E-9541-DDC5F5C3CBAB}"/>
    <cellStyle name="20% - Accent3 2 3 6" xfId="2284" xr:uid="{00000000-0005-0000-0000-00007C010000}"/>
    <cellStyle name="20% - Accent3 2 3 6 2" xfId="6590" xr:uid="{00000000-0005-0000-0000-00007D010000}"/>
    <cellStyle name="20% - Accent3 2 3 6 2 2" xfId="15916" xr:uid="{5331F679-C5D9-4B12-9C7D-2FEE6A82F7A0}"/>
    <cellStyle name="20% - Accent3 2 3 6 3" xfId="11699" xr:uid="{9797D97D-D554-4825-A37B-8620C0E5FB20}"/>
    <cellStyle name="20% - Accent3 2 3 7" xfId="4524" xr:uid="{00000000-0005-0000-0000-00007E010000}"/>
    <cellStyle name="20% - Accent3 2 3 7 2" xfId="13850" xr:uid="{A33DD194-7BB0-4992-B256-A07007992688}"/>
    <cellStyle name="20% - Accent3 2 3 8" xfId="8999" xr:uid="{2B5D0148-B6EA-4DEA-92B1-644886C27051}"/>
    <cellStyle name="20% - Accent3 2 3 9" xfId="9633" xr:uid="{D7F8EEA5-234C-43C2-B2A2-3A24FA149C4B}"/>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45B75012-24BB-4998-B071-ACDD4F6C529E}"/>
    <cellStyle name="20% - Accent3 2 4 2 3" xfId="12189" xr:uid="{433C9381-2729-4726-A9A2-E2CB691AA5DC}"/>
    <cellStyle name="20% - Accent3 2 4 3" xfId="4935" xr:uid="{00000000-0005-0000-0000-000082010000}"/>
    <cellStyle name="20% - Accent3 2 4 3 2" xfId="14261" xr:uid="{3E070016-1A1A-40CB-9CD5-DA2D10E893C9}"/>
    <cellStyle name="20% - Accent3 2 4 4" xfId="9216" xr:uid="{A12C3877-5492-4CD3-AD22-81B3F0AB1EDD}"/>
    <cellStyle name="20% - Accent3 2 4 5" xfId="10044" xr:uid="{49DFB72B-35B5-43CE-AD7F-BDD46968B920}"/>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47489C8D-24A5-4A98-B568-2DE66B4872F2}"/>
    <cellStyle name="20% - Accent3 2 5 2 3" xfId="12602" xr:uid="{C1E594D6-6018-42C7-A732-4DE922C721EA}"/>
    <cellStyle name="20% - Accent3 2 5 3" xfId="5348" xr:uid="{00000000-0005-0000-0000-000086010000}"/>
    <cellStyle name="20% - Accent3 2 5 3 2" xfId="14674" xr:uid="{D60F58B1-AADC-4B0E-937B-C064BCC4CA7C}"/>
    <cellStyle name="20% - Accent3 2 5 4" xfId="10457" xr:uid="{4010FBB2-8E4C-44A2-ADF2-D9A92458A916}"/>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2FFC8F49-CCEB-41BF-B2B0-815B05118790}"/>
    <cellStyle name="20% - Accent3 2 6 2 3" xfId="13015" xr:uid="{E95CDA40-84E5-4D61-A6CB-D84714B44D2B}"/>
    <cellStyle name="20% - Accent3 2 6 3" xfId="5761" xr:uid="{00000000-0005-0000-0000-00008A010000}"/>
    <cellStyle name="20% - Accent3 2 6 3 2" xfId="15087" xr:uid="{E4D80F01-2721-4C17-A949-1A9B09EFF7E3}"/>
    <cellStyle name="20% - Accent3 2 6 4" xfId="10870" xr:uid="{0DCFF9E4-3541-4EE7-AEF8-EF7C58ED57C9}"/>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04EEB113-2B68-4D12-BD30-4083F0B0BA59}"/>
    <cellStyle name="20% - Accent3 2 7 2 3" xfId="13428" xr:uid="{E6C04658-1B91-4354-AFA3-1A2E26DE7342}"/>
    <cellStyle name="20% - Accent3 2 7 3" xfId="6174" xr:uid="{00000000-0005-0000-0000-00008E010000}"/>
    <cellStyle name="20% - Accent3 2 7 3 2" xfId="15500" xr:uid="{530A19F2-84C8-4D35-A014-F19C0D6CF9FC}"/>
    <cellStyle name="20% - Accent3 2 7 4" xfId="11283" xr:uid="{DC1F7B33-74A6-4DA8-BCBC-4C3B0DE0F97F}"/>
    <cellStyle name="20% - Accent3 2 8" xfId="2281" xr:uid="{00000000-0005-0000-0000-00008F010000}"/>
    <cellStyle name="20% - Accent3 2 8 2" xfId="6587" xr:uid="{00000000-0005-0000-0000-000090010000}"/>
    <cellStyle name="20% - Accent3 2 8 2 2" xfId="15913" xr:uid="{506D66D1-A68F-49F5-BAB9-E44C090048A3}"/>
    <cellStyle name="20% - Accent3 2 8 3" xfId="11696" xr:uid="{F37B43AF-2CF2-4989-8693-B8D0B5D1844A}"/>
    <cellStyle name="20% - Accent3 2 9" xfId="4521" xr:uid="{00000000-0005-0000-0000-000091010000}"/>
    <cellStyle name="20% - Accent3 2 9 2" xfId="13847" xr:uid="{139C5E81-1DDF-4823-8FDA-900D60195903}"/>
    <cellStyle name="20% - Accent3 3" xfId="22" xr:uid="{00000000-0005-0000-0000-000092010000}"/>
    <cellStyle name="20% - Accent3 3 10" xfId="9634" xr:uid="{0C2DAF63-8BA8-4E77-8A9B-0A1BF2D6709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B9CD2C76-70A7-497F-B09E-221162057F65}"/>
    <cellStyle name="20% - Accent3 3 2 2 2 3" xfId="12194" xr:uid="{37F0A75E-74CE-4C7C-911C-CF36A8AD6E4E}"/>
    <cellStyle name="20% - Accent3 3 2 2 3" xfId="4940" xr:uid="{00000000-0005-0000-0000-000097010000}"/>
    <cellStyle name="20% - Accent3 3 2 2 3 2" xfId="14266" xr:uid="{59E76A94-2BEC-47CC-A7D0-A39E59ED2E9D}"/>
    <cellStyle name="20% - Accent3 3 2 2 4" xfId="9497" xr:uid="{43A0E151-F418-49A1-AF18-121DEB02B6D4}"/>
    <cellStyle name="20% - Accent3 3 2 2 5" xfId="10049" xr:uid="{ACFF9F1A-EE8D-4E66-93A4-EDF58430BE6B}"/>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49DBC56D-D09D-4D9C-8591-391453D62CBD}"/>
    <cellStyle name="20% - Accent3 3 2 3 2 3" xfId="12607" xr:uid="{45E096A6-7CCA-4235-9506-B45571F9FBA2}"/>
    <cellStyle name="20% - Accent3 3 2 3 3" xfId="5353" xr:uid="{00000000-0005-0000-0000-00009B010000}"/>
    <cellStyle name="20% - Accent3 3 2 3 3 2" xfId="14679" xr:uid="{30E0AA2C-AF23-46AD-B192-230C1F68745B}"/>
    <cellStyle name="20% - Accent3 3 2 3 4" xfId="10462" xr:uid="{FDFCDE52-6CD5-43D1-9A9B-9ACC2D394429}"/>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48450D8A-7894-475F-B84B-8E60974EE843}"/>
    <cellStyle name="20% - Accent3 3 2 4 2 3" xfId="13020" xr:uid="{808B1635-DEDF-4612-AA45-D3432CC4EC04}"/>
    <cellStyle name="20% - Accent3 3 2 4 3" xfId="5766" xr:uid="{00000000-0005-0000-0000-00009F010000}"/>
    <cellStyle name="20% - Accent3 3 2 4 3 2" xfId="15092" xr:uid="{E511A381-ABFC-4639-86D3-11C4B14635DD}"/>
    <cellStyle name="20% - Accent3 3 2 4 4" xfId="10875" xr:uid="{2F36E392-1911-4C63-9876-C62F53B9D2C2}"/>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0EB8B3A6-A9DE-4EEC-9795-FE35AE6DA549}"/>
    <cellStyle name="20% - Accent3 3 2 5 2 3" xfId="13433" xr:uid="{2E6FD009-81B5-4F6C-AC1A-8C689B92EFE9}"/>
    <cellStyle name="20% - Accent3 3 2 5 3" xfId="6179" xr:uid="{00000000-0005-0000-0000-0000A3010000}"/>
    <cellStyle name="20% - Accent3 3 2 5 3 2" xfId="15505" xr:uid="{50E8D6DC-9A44-4C9C-8C9C-4D47FE6E2775}"/>
    <cellStyle name="20% - Accent3 3 2 5 4" xfId="11288" xr:uid="{800DAA88-EB3D-4F6A-8749-8983C4B2FD70}"/>
    <cellStyle name="20% - Accent3 3 2 6" xfId="2286" xr:uid="{00000000-0005-0000-0000-0000A4010000}"/>
    <cellStyle name="20% - Accent3 3 2 6 2" xfId="6592" xr:uid="{00000000-0005-0000-0000-0000A5010000}"/>
    <cellStyle name="20% - Accent3 3 2 6 2 2" xfId="15918" xr:uid="{BE91105B-D614-4B32-BB62-DEA69129DC26}"/>
    <cellStyle name="20% - Accent3 3 2 6 3" xfId="11701" xr:uid="{5314F63F-63CB-4B5A-835D-4A47EC54AE4C}"/>
    <cellStyle name="20% - Accent3 3 2 7" xfId="4526" xr:uid="{00000000-0005-0000-0000-0000A6010000}"/>
    <cellStyle name="20% - Accent3 3 2 7 2" xfId="13852" xr:uid="{2F1C63E4-096F-4414-9D36-2EB619C0DB05}"/>
    <cellStyle name="20% - Accent3 3 2 8" xfId="9072" xr:uid="{422EC144-F6F8-460E-8B93-316BBF9707FB}"/>
    <cellStyle name="20% - Accent3 3 2 9" xfId="9635" xr:uid="{2F033CFA-C7FE-49BB-80AA-4045F65AFF6C}"/>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E871097D-1818-4AA9-A23C-86F9DDC4DFDD}"/>
    <cellStyle name="20% - Accent3 3 3 2 3" xfId="12193" xr:uid="{874E9BEA-1BD6-4FB9-955B-00147682CFCF}"/>
    <cellStyle name="20% - Accent3 3 3 3" xfId="4939" xr:uid="{00000000-0005-0000-0000-0000AA010000}"/>
    <cellStyle name="20% - Accent3 3 3 3 2" xfId="14265" xr:uid="{F176EA27-8FF3-483A-B0D4-BEFF106C4E73}"/>
    <cellStyle name="20% - Accent3 3 3 4" xfId="9290" xr:uid="{8511D0A3-BAF4-4D49-BFEA-2ED828678819}"/>
    <cellStyle name="20% - Accent3 3 3 5" xfId="10048" xr:uid="{EB6FCD63-F7CF-49D7-BABF-7CEE81C457AA}"/>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E3AFE333-9F19-4C45-A41D-84CF5BF05D45}"/>
    <cellStyle name="20% - Accent3 3 4 2 3" xfId="12606" xr:uid="{E7F184DD-386B-45E4-B5DC-D3DE49305B1D}"/>
    <cellStyle name="20% - Accent3 3 4 3" xfId="5352" xr:uid="{00000000-0005-0000-0000-0000AE010000}"/>
    <cellStyle name="20% - Accent3 3 4 3 2" xfId="14678" xr:uid="{F83478AE-31F5-4EAD-A35E-390DE62B3097}"/>
    <cellStyle name="20% - Accent3 3 4 4" xfId="10461" xr:uid="{7E8BB39B-F43B-4194-A850-6975C5C66DDC}"/>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BC8968D5-1A6D-43A7-8753-2ACAD6329ED9}"/>
    <cellStyle name="20% - Accent3 3 5 2 3" xfId="13019" xr:uid="{30F3851E-DCD4-4C6B-A941-8CA6D179F676}"/>
    <cellStyle name="20% - Accent3 3 5 3" xfId="5765" xr:uid="{00000000-0005-0000-0000-0000B2010000}"/>
    <cellStyle name="20% - Accent3 3 5 3 2" xfId="15091" xr:uid="{4091E903-84D4-4EEF-9BE7-F8DA4962004A}"/>
    <cellStyle name="20% - Accent3 3 5 4" xfId="10874" xr:uid="{C63E7FC2-A91C-44C8-8DAA-DE2A9525ABB3}"/>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621BA935-894A-4E64-8653-C495A1FD8345}"/>
    <cellStyle name="20% - Accent3 3 6 2 3" xfId="13432" xr:uid="{25903FF5-5068-492C-A65E-EEA69261CE53}"/>
    <cellStyle name="20% - Accent3 3 6 3" xfId="6178" xr:uid="{00000000-0005-0000-0000-0000B6010000}"/>
    <cellStyle name="20% - Accent3 3 6 3 2" xfId="15504" xr:uid="{8C013A7B-F39F-4D25-9103-EAEF5C0B5C2C}"/>
    <cellStyle name="20% - Accent3 3 6 4" xfId="11287" xr:uid="{E638AFD1-2F28-4836-B9DD-030BD080E686}"/>
    <cellStyle name="20% - Accent3 3 7" xfId="2285" xr:uid="{00000000-0005-0000-0000-0000B7010000}"/>
    <cellStyle name="20% - Accent3 3 7 2" xfId="6591" xr:uid="{00000000-0005-0000-0000-0000B8010000}"/>
    <cellStyle name="20% - Accent3 3 7 2 2" xfId="15917" xr:uid="{F7F97250-9D3B-4FD7-A044-E1CC5F032DC4}"/>
    <cellStyle name="20% - Accent3 3 7 3" xfId="11700" xr:uid="{B33C81FE-A011-47D3-843D-24E64D40BEDE}"/>
    <cellStyle name="20% - Accent3 3 8" xfId="4525" xr:uid="{00000000-0005-0000-0000-0000B9010000}"/>
    <cellStyle name="20% - Accent3 3 8 2" xfId="13851" xr:uid="{ED035B23-000C-488F-AD84-45EA8FB47CC4}"/>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3D01005D-EB16-474D-A473-68E3962AAB78}"/>
    <cellStyle name="20% - Accent3 4 2 2 3" xfId="12195" xr:uid="{003452A7-ADEE-47FB-B367-2523385CF34F}"/>
    <cellStyle name="20% - Accent3 4 2 3" xfId="4941" xr:uid="{00000000-0005-0000-0000-0000BE010000}"/>
    <cellStyle name="20% - Accent3 4 2 3 2" xfId="14267" xr:uid="{B639EF12-049F-4FB7-BD75-DABB76F23CF4}"/>
    <cellStyle name="20% - Accent3 4 2 4" xfId="9376" xr:uid="{92AC27CA-0B0B-4AFE-8457-D3F19BE2837F}"/>
    <cellStyle name="20% - Accent3 4 2 5" xfId="10050" xr:uid="{131B12AE-37D8-4A10-A6D3-825609C64D6C}"/>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67093B7C-78E4-48FA-84BB-273AC1AD3B51}"/>
    <cellStyle name="20% - Accent3 4 3 2 3" xfId="12608" xr:uid="{784E0DD0-C878-447A-9C8D-CC3D08026EB4}"/>
    <cellStyle name="20% - Accent3 4 3 3" xfId="5354" xr:uid="{00000000-0005-0000-0000-0000C2010000}"/>
    <cellStyle name="20% - Accent3 4 3 3 2" xfId="14680" xr:uid="{E1D7629C-2C5A-4F70-BB91-3BCB9CC3021A}"/>
    <cellStyle name="20% - Accent3 4 3 4" xfId="10463" xr:uid="{B7F50DD6-176F-426C-8249-266D4BCCED67}"/>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A54A1DBF-F909-45B3-A918-7255889F5F60}"/>
    <cellStyle name="20% - Accent3 4 4 2 3" xfId="13021" xr:uid="{2EDBB224-7DC0-42DA-9A77-532508EADCD0}"/>
    <cellStyle name="20% - Accent3 4 4 3" xfId="5767" xr:uid="{00000000-0005-0000-0000-0000C6010000}"/>
    <cellStyle name="20% - Accent3 4 4 3 2" xfId="15093" xr:uid="{F1F36AD7-7B7C-4F33-960C-8AC9AB7107DC}"/>
    <cellStyle name="20% - Accent3 4 4 4" xfId="10876" xr:uid="{EA1A9FDE-7871-4A20-9502-66FE64164EBC}"/>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FC43BD8C-7841-45E7-BF21-E1C652EAC978}"/>
    <cellStyle name="20% - Accent3 4 5 2 3" xfId="13434" xr:uid="{9BA6154F-5825-49AF-9D91-122B2400BE26}"/>
    <cellStyle name="20% - Accent3 4 5 3" xfId="6180" xr:uid="{00000000-0005-0000-0000-0000CA010000}"/>
    <cellStyle name="20% - Accent3 4 5 3 2" xfId="15506" xr:uid="{C7ACA655-4095-4D78-8F43-A9D83C9444A7}"/>
    <cellStyle name="20% - Accent3 4 5 4" xfId="11289" xr:uid="{C61512EC-6DE4-4F16-893D-C1EC2B8C35E7}"/>
    <cellStyle name="20% - Accent3 4 6" xfId="2287" xr:uid="{00000000-0005-0000-0000-0000CB010000}"/>
    <cellStyle name="20% - Accent3 4 6 2" xfId="6593" xr:uid="{00000000-0005-0000-0000-0000CC010000}"/>
    <cellStyle name="20% - Accent3 4 6 2 2" xfId="15919" xr:uid="{2F4F9917-9C93-4823-B10C-2E872895DAC1}"/>
    <cellStyle name="20% - Accent3 4 6 3" xfId="11702" xr:uid="{F623A0B3-B0E9-498D-9532-AADD594723F3}"/>
    <cellStyle name="20% - Accent3 4 7" xfId="4527" xr:uid="{00000000-0005-0000-0000-0000CD010000}"/>
    <cellStyle name="20% - Accent3 4 7 2" xfId="13853" xr:uid="{2959A499-E8CE-4E80-A276-DDC849191C63}"/>
    <cellStyle name="20% - Accent3 4 8" xfId="8951" xr:uid="{3CB7770B-4F12-4C44-B65D-06C641FEE851}"/>
    <cellStyle name="20% - Accent3 4 9" xfId="9636" xr:uid="{C79E96C6-41C1-4377-91B6-DA322607E46C}"/>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115275B2-CD0D-4BA2-B141-0B8D9467659F}"/>
    <cellStyle name="20% - Accent3 5 2 3" xfId="12188" xr:uid="{2E3C5870-7C9F-4AD1-89DF-C668EF94886D}"/>
    <cellStyle name="20% - Accent3 5 3" xfId="4934" xr:uid="{00000000-0005-0000-0000-0000D1010000}"/>
    <cellStyle name="20% - Accent3 5 3 2" xfId="14260" xr:uid="{D1970169-4C72-422A-A9F2-59B4ECF45034}"/>
    <cellStyle name="20% - Accent3 5 4" xfId="9184" xr:uid="{F51B2D95-9593-4370-A6D2-AFEF087D7920}"/>
    <cellStyle name="20% - Accent3 5 5" xfId="10043" xr:uid="{8502B6D3-9959-454A-95E7-417A53C86D92}"/>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917D078E-232F-41F4-9F2D-482AB2A5BCB9}"/>
    <cellStyle name="20% - Accent3 6 2 3" xfId="12601" xr:uid="{9AA71EE2-2D48-44B1-8904-CA5ADC3362B9}"/>
    <cellStyle name="20% - Accent3 6 3" xfId="5347" xr:uid="{00000000-0005-0000-0000-0000D5010000}"/>
    <cellStyle name="20% - Accent3 6 3 2" xfId="14673" xr:uid="{722CF7B9-42A0-4B14-927A-3D1C0E56D089}"/>
    <cellStyle name="20% - Accent3 6 4" xfId="10456" xr:uid="{5D619B73-1173-45B2-BBF8-B017E4BA8990}"/>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C64299AA-0C22-406F-B124-3D7E7910E512}"/>
    <cellStyle name="20% - Accent3 7 2 3" xfId="13014" xr:uid="{4EFA517C-18FD-4C68-BA38-0C7AE00D8D16}"/>
    <cellStyle name="20% - Accent3 7 3" xfId="5760" xr:uid="{00000000-0005-0000-0000-0000D9010000}"/>
    <cellStyle name="20% - Accent3 7 3 2" xfId="15086" xr:uid="{03596951-6421-4B81-AFBD-F4754DF35339}"/>
    <cellStyle name="20% - Accent3 7 4" xfId="10869" xr:uid="{654B3E04-73FB-4069-95BE-F8EE7CF89A49}"/>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03F89102-9A92-43DE-977A-31CB963C129A}"/>
    <cellStyle name="20% - Accent3 8 2 3" xfId="13427" xr:uid="{6A6FB04B-848C-400F-8B44-048947434981}"/>
    <cellStyle name="20% - Accent3 8 3" xfId="6173" xr:uid="{00000000-0005-0000-0000-0000DD010000}"/>
    <cellStyle name="20% - Accent3 8 3 2" xfId="15499" xr:uid="{A522B77B-52EA-40B6-9E1B-5EE74A393AD4}"/>
    <cellStyle name="20% - Accent3 8 4" xfId="11282" xr:uid="{C29E987C-E15F-4FE3-A092-7F47813905CA}"/>
    <cellStyle name="20% - Accent3 9" xfId="2280" xr:uid="{00000000-0005-0000-0000-0000DE010000}"/>
    <cellStyle name="20% - Accent3 9 2" xfId="6586" xr:uid="{00000000-0005-0000-0000-0000DF010000}"/>
    <cellStyle name="20% - Accent3 9 2 2" xfId="15912" xr:uid="{287327E0-89E4-4744-96F3-85BB3BDCFEC8}"/>
    <cellStyle name="20% - Accent3 9 3" xfId="11695" xr:uid="{9586C8ED-44B3-4221-8FFA-C8629F65A19D}"/>
    <cellStyle name="20% - Accent4" xfId="25" builtinId="42" customBuiltin="1"/>
    <cellStyle name="20% - Accent4 10" xfId="4528" xr:uid="{00000000-0005-0000-0000-0000E1010000}"/>
    <cellStyle name="20% - Accent4 10 2" xfId="13854" xr:uid="{25CFD750-BCA6-44F3-97F8-9D4C67FFB57E}"/>
    <cellStyle name="20% - Accent4 11" xfId="8764" xr:uid="{4A9BF508-806C-496D-AEC5-5842E4A62892}"/>
    <cellStyle name="20% - Accent4 12" xfId="9637" xr:uid="{3F4B470A-8C3F-4B0E-B8C7-2AE2E48037EE}"/>
    <cellStyle name="20% - Accent4 2" xfId="26" xr:uid="{00000000-0005-0000-0000-0000E2010000}"/>
    <cellStyle name="20% - Accent4 2 10" xfId="8794" xr:uid="{31A2F477-5237-45C2-B43F-25AC049A95FF}"/>
    <cellStyle name="20% - Accent4 2 11" xfId="9638" xr:uid="{C1F18538-4A1F-48EC-BBB8-2E4921B0C538}"/>
    <cellStyle name="20% - Accent4 2 2" xfId="27" xr:uid="{00000000-0005-0000-0000-0000E3010000}"/>
    <cellStyle name="20% - Accent4 2 2 10" xfId="9639" xr:uid="{B06F5E1B-E9A2-4FEA-84FA-0458F57922CD}"/>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722C5272-E77C-41D7-AF26-E1A45BF05321}"/>
    <cellStyle name="20% - Accent4 2 2 2 2 2 3" xfId="12199" xr:uid="{A3D6E56B-B87D-4C71-A31A-D585D581E617}"/>
    <cellStyle name="20% - Accent4 2 2 2 2 3" xfId="4945" xr:uid="{00000000-0005-0000-0000-0000E8010000}"/>
    <cellStyle name="20% - Accent4 2 2 2 2 3 2" xfId="14271" xr:uid="{11B969D1-5FE4-4546-92A5-841C07CE67A4}"/>
    <cellStyle name="20% - Accent4 2 2 2 2 4" xfId="9529" xr:uid="{0C40CE19-1873-4316-818D-CC943AAFBB7B}"/>
    <cellStyle name="20% - Accent4 2 2 2 2 5" xfId="10054" xr:uid="{0926335C-B11D-4E1C-BF33-5B271BF30117}"/>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E4B17A10-0115-40D0-A6B0-1F0599851B74}"/>
    <cellStyle name="20% - Accent4 2 2 2 3 2 3" xfId="12612" xr:uid="{E5963FE1-4154-486D-BDFA-0E8C3AEA8904}"/>
    <cellStyle name="20% - Accent4 2 2 2 3 3" xfId="5358" xr:uid="{00000000-0005-0000-0000-0000EC010000}"/>
    <cellStyle name="20% - Accent4 2 2 2 3 3 2" xfId="14684" xr:uid="{09CF68E6-2E63-480C-B943-8CA1FCD86D04}"/>
    <cellStyle name="20% - Accent4 2 2 2 3 4" xfId="10467" xr:uid="{51620743-8271-4BB8-8681-BA2843EEA2AB}"/>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76C294CF-0AFD-4197-902D-666643B4E69D}"/>
    <cellStyle name="20% - Accent4 2 2 2 4 2 3" xfId="13025" xr:uid="{02EF6BDC-FA82-40F1-ABF0-019CC8523DC0}"/>
    <cellStyle name="20% - Accent4 2 2 2 4 3" xfId="5771" xr:uid="{00000000-0005-0000-0000-0000F0010000}"/>
    <cellStyle name="20% - Accent4 2 2 2 4 3 2" xfId="15097" xr:uid="{FDAD0242-974C-4934-87BC-CA36BD2EB9D8}"/>
    <cellStyle name="20% - Accent4 2 2 2 4 4" xfId="10880" xr:uid="{FFAF0642-760E-4BE0-A892-A1846C4E53FE}"/>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5B4358FB-CEAF-4139-A73C-3090D4297FE8}"/>
    <cellStyle name="20% - Accent4 2 2 2 5 2 3" xfId="13438" xr:uid="{4180ABC4-3105-4B49-8151-68A51D071D6F}"/>
    <cellStyle name="20% - Accent4 2 2 2 5 3" xfId="6184" xr:uid="{00000000-0005-0000-0000-0000F4010000}"/>
    <cellStyle name="20% - Accent4 2 2 2 5 3 2" xfId="15510" xr:uid="{F09D9389-7659-4DC7-A428-3587CA40FD66}"/>
    <cellStyle name="20% - Accent4 2 2 2 5 4" xfId="11293" xr:uid="{538C6C37-6038-4C6F-9F02-DE5972DC92A7}"/>
    <cellStyle name="20% - Accent4 2 2 2 6" xfId="2291" xr:uid="{00000000-0005-0000-0000-0000F5010000}"/>
    <cellStyle name="20% - Accent4 2 2 2 6 2" xfId="6597" xr:uid="{00000000-0005-0000-0000-0000F6010000}"/>
    <cellStyle name="20% - Accent4 2 2 2 6 2 2" xfId="15923" xr:uid="{4228900B-BE74-4E1C-A8B3-D52E2F3E8BFF}"/>
    <cellStyle name="20% - Accent4 2 2 2 6 3" xfId="11706" xr:uid="{88939CF0-8D36-4D17-82B1-8CB2C1327BB0}"/>
    <cellStyle name="20% - Accent4 2 2 2 7" xfId="4531" xr:uid="{00000000-0005-0000-0000-0000F7010000}"/>
    <cellStyle name="20% - Accent4 2 2 2 7 2" xfId="13857" xr:uid="{22966486-7BB2-490C-9CE7-68CEEA098AE8}"/>
    <cellStyle name="20% - Accent4 2 2 2 8" xfId="9104" xr:uid="{526BE306-22BA-4A85-81B2-34AEB56F0D90}"/>
    <cellStyle name="20% - Accent4 2 2 2 9" xfId="9640" xr:uid="{7F30BCF3-CB46-4666-BD11-BDD74D4D3078}"/>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398499C4-89B6-43AA-B0B9-DCB988C509B9}"/>
    <cellStyle name="20% - Accent4 2 2 3 2 3" xfId="12198" xr:uid="{2F73658E-47D7-43B6-8EA7-1214400D3E59}"/>
    <cellStyle name="20% - Accent4 2 2 3 3" xfId="4944" xr:uid="{00000000-0005-0000-0000-0000FB010000}"/>
    <cellStyle name="20% - Accent4 2 2 3 3 2" xfId="14270" xr:uid="{6B92EB4E-1435-4842-B67B-96D6F220C249}"/>
    <cellStyle name="20% - Accent4 2 2 3 4" xfId="9322" xr:uid="{003BBE99-27AA-4036-A373-4475953A88F4}"/>
    <cellStyle name="20% - Accent4 2 2 3 5" xfId="10053" xr:uid="{8F7F4777-9B19-4A5E-B4F5-68E2C8807CBC}"/>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6B056C0F-10B4-4666-9238-026C4794014A}"/>
    <cellStyle name="20% - Accent4 2 2 4 2 3" xfId="12611" xr:uid="{B9B9B08D-CF18-4F64-B295-8BA1FFC10559}"/>
    <cellStyle name="20% - Accent4 2 2 4 3" xfId="5357" xr:uid="{00000000-0005-0000-0000-0000FF010000}"/>
    <cellStyle name="20% - Accent4 2 2 4 3 2" xfId="14683" xr:uid="{3D25688C-B1B7-467B-A499-AD220DCECA96}"/>
    <cellStyle name="20% - Accent4 2 2 4 4" xfId="10466" xr:uid="{50EED494-04A4-4F6D-AE7C-994B68194923}"/>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21188F3A-AB04-4498-A904-B8DE89DF9D0A}"/>
    <cellStyle name="20% - Accent4 2 2 5 2 3" xfId="13024" xr:uid="{29EA28AD-5977-41B6-86BE-2FA603DD3D34}"/>
    <cellStyle name="20% - Accent4 2 2 5 3" xfId="5770" xr:uid="{00000000-0005-0000-0000-000003020000}"/>
    <cellStyle name="20% - Accent4 2 2 5 3 2" xfId="15096" xr:uid="{410D9219-B43A-4148-97F6-40DFE25D74E8}"/>
    <cellStyle name="20% - Accent4 2 2 5 4" xfId="10879" xr:uid="{7C2C9BF1-CDCE-45A9-AC61-9E26B250FE99}"/>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BD2FB958-CDED-4DA1-AD9A-E9CDD32AB69A}"/>
    <cellStyle name="20% - Accent4 2 2 6 2 3" xfId="13437" xr:uid="{271C44F9-F612-4587-8570-53AFB303A217}"/>
    <cellStyle name="20% - Accent4 2 2 6 3" xfId="6183" xr:uid="{00000000-0005-0000-0000-000007020000}"/>
    <cellStyle name="20% - Accent4 2 2 6 3 2" xfId="15509" xr:uid="{AFB1095F-5E31-42AA-ADFD-C9C1E581F0B9}"/>
    <cellStyle name="20% - Accent4 2 2 6 4" xfId="11292" xr:uid="{4E7EE670-F3FD-4CD8-A15F-254F89FAFCC0}"/>
    <cellStyle name="20% - Accent4 2 2 7" xfId="2290" xr:uid="{00000000-0005-0000-0000-000008020000}"/>
    <cellStyle name="20% - Accent4 2 2 7 2" xfId="6596" xr:uid="{00000000-0005-0000-0000-000009020000}"/>
    <cellStyle name="20% - Accent4 2 2 7 2 2" xfId="15922" xr:uid="{3F31844A-14D1-4BBA-92A5-BFB3CCB7F037}"/>
    <cellStyle name="20% - Accent4 2 2 7 3" xfId="11705" xr:uid="{DBC6569B-1EF6-44A7-A250-1BBC63A1B8A0}"/>
    <cellStyle name="20% - Accent4 2 2 8" xfId="4530" xr:uid="{00000000-0005-0000-0000-00000A020000}"/>
    <cellStyle name="20% - Accent4 2 2 8 2" xfId="13856" xr:uid="{0D70A014-9272-4671-8C2E-192464DA20B5}"/>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9C0BD240-193A-476B-8D8F-1E1528BB9F5F}"/>
    <cellStyle name="20% - Accent4 2 3 2 2 3" xfId="12200" xr:uid="{7EBB056A-6EBD-43F9-B629-4030EBAB1438}"/>
    <cellStyle name="20% - Accent4 2 3 2 3" xfId="4946" xr:uid="{00000000-0005-0000-0000-00000F020000}"/>
    <cellStyle name="20% - Accent4 2 3 2 3 2" xfId="14272" xr:uid="{55AA018A-DE47-4C47-A5E1-2A93A0CD6FB3}"/>
    <cellStyle name="20% - Accent4 2 3 2 4" xfId="9426" xr:uid="{5B247D51-FBFD-4799-8395-E3F1C04297B8}"/>
    <cellStyle name="20% - Accent4 2 3 2 5" xfId="10055" xr:uid="{7AFC78D5-CFD7-4619-B498-C2FD4E372AC6}"/>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E364A330-B183-4C5C-94EE-16962250523B}"/>
    <cellStyle name="20% - Accent4 2 3 3 2 3" xfId="12613" xr:uid="{3A01A56F-A9DA-418E-A4AA-2035624DC878}"/>
    <cellStyle name="20% - Accent4 2 3 3 3" xfId="5359" xr:uid="{00000000-0005-0000-0000-000013020000}"/>
    <cellStyle name="20% - Accent4 2 3 3 3 2" xfId="14685" xr:uid="{D3D044D6-4B43-40C2-B91A-7A51DF9A54B2}"/>
    <cellStyle name="20% - Accent4 2 3 3 4" xfId="10468" xr:uid="{B3C874C8-6AA4-4A7A-96C2-771484687E0E}"/>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8E0050C2-DB99-4499-B10F-FCCDD391DE6F}"/>
    <cellStyle name="20% - Accent4 2 3 4 2 3" xfId="13026" xr:uid="{4769063F-E8B1-49AF-8F5F-9838B4F3E44A}"/>
    <cellStyle name="20% - Accent4 2 3 4 3" xfId="5772" xr:uid="{00000000-0005-0000-0000-000017020000}"/>
    <cellStyle name="20% - Accent4 2 3 4 3 2" xfId="15098" xr:uid="{73A2482B-98D4-4FAA-B745-D6ACE8CE164D}"/>
    <cellStyle name="20% - Accent4 2 3 4 4" xfId="10881" xr:uid="{91E2B5FB-2D1D-4601-B565-B28DE05246D4}"/>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B031885C-1278-43A2-8119-355D5F8AB7B4}"/>
    <cellStyle name="20% - Accent4 2 3 5 2 3" xfId="13439" xr:uid="{EB426674-94E1-428E-A1EA-2731B10D5EF7}"/>
    <cellStyle name="20% - Accent4 2 3 5 3" xfId="6185" xr:uid="{00000000-0005-0000-0000-00001B020000}"/>
    <cellStyle name="20% - Accent4 2 3 5 3 2" xfId="15511" xr:uid="{68267D38-5E2C-4094-9B13-148F938F541A}"/>
    <cellStyle name="20% - Accent4 2 3 5 4" xfId="11294" xr:uid="{0AAF9A70-8ECA-47C3-829A-890914DCBCF9}"/>
    <cellStyle name="20% - Accent4 2 3 6" xfId="2292" xr:uid="{00000000-0005-0000-0000-00001C020000}"/>
    <cellStyle name="20% - Accent4 2 3 6 2" xfId="6598" xr:uid="{00000000-0005-0000-0000-00001D020000}"/>
    <cellStyle name="20% - Accent4 2 3 6 2 2" xfId="15924" xr:uid="{94B7DC05-39D2-409D-94FC-D9964B5863A5}"/>
    <cellStyle name="20% - Accent4 2 3 6 3" xfId="11707" xr:uid="{A1A09A52-0456-42C4-9DA2-5721C7FE2A8E}"/>
    <cellStyle name="20% - Accent4 2 3 7" xfId="4532" xr:uid="{00000000-0005-0000-0000-00001E020000}"/>
    <cellStyle name="20% - Accent4 2 3 7 2" xfId="13858" xr:uid="{B8BE69F7-0F33-4462-9D8B-9ACCAC5282F2}"/>
    <cellStyle name="20% - Accent4 2 3 8" xfId="9001" xr:uid="{B9DE6BBA-06E2-4FC8-B645-F20E60244072}"/>
    <cellStyle name="20% - Accent4 2 3 9" xfId="9641" xr:uid="{53B3FC2F-AF2A-4F0D-BE9A-B3AE86B88EE4}"/>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26169AC6-AA39-49EC-BD04-1C23AF45EE8A}"/>
    <cellStyle name="20% - Accent4 2 4 2 3" xfId="12197" xr:uid="{726B1717-A961-4C93-9739-CABFF199A0C4}"/>
    <cellStyle name="20% - Accent4 2 4 3" xfId="4943" xr:uid="{00000000-0005-0000-0000-000022020000}"/>
    <cellStyle name="20% - Accent4 2 4 3 2" xfId="14269" xr:uid="{46AE1ABF-F992-4D6B-945B-BB0E8B35E204}"/>
    <cellStyle name="20% - Accent4 2 4 4" xfId="9218" xr:uid="{EEA9CEE5-7B27-41EB-B571-13D0ADC44445}"/>
    <cellStyle name="20% - Accent4 2 4 5" xfId="10052" xr:uid="{4929CB99-33D3-4130-A28B-259F17957CAC}"/>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A76E920E-90E8-4EEC-B97D-EE142EC17E2E}"/>
    <cellStyle name="20% - Accent4 2 5 2 3" xfId="12610" xr:uid="{BAA5A3BB-D7D3-41AD-A37A-0ABB9DBF6E30}"/>
    <cellStyle name="20% - Accent4 2 5 3" xfId="5356" xr:uid="{00000000-0005-0000-0000-000026020000}"/>
    <cellStyle name="20% - Accent4 2 5 3 2" xfId="14682" xr:uid="{5C4B9289-B192-4057-A873-2DC4D3F535B1}"/>
    <cellStyle name="20% - Accent4 2 5 4" xfId="10465" xr:uid="{FE8958E6-3CBF-42D5-AF10-5B8D9899B46D}"/>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0809FA8B-ED91-43D7-87E5-C8A864518739}"/>
    <cellStyle name="20% - Accent4 2 6 2 3" xfId="13023" xr:uid="{E73C4AF7-4251-4095-97FE-7E7F47DEDA3B}"/>
    <cellStyle name="20% - Accent4 2 6 3" xfId="5769" xr:uid="{00000000-0005-0000-0000-00002A020000}"/>
    <cellStyle name="20% - Accent4 2 6 3 2" xfId="15095" xr:uid="{09B57830-C11F-44BC-87FC-270EFF3400D7}"/>
    <cellStyle name="20% - Accent4 2 6 4" xfId="10878" xr:uid="{A8C165E9-A5B6-47D3-85EA-DE730D1FCEFF}"/>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9C262488-8BAD-430D-9411-88ABAD0FA11D}"/>
    <cellStyle name="20% - Accent4 2 7 2 3" xfId="13436" xr:uid="{5A577112-749F-4C9A-B372-87579AFBED3C}"/>
    <cellStyle name="20% - Accent4 2 7 3" xfId="6182" xr:uid="{00000000-0005-0000-0000-00002E020000}"/>
    <cellStyle name="20% - Accent4 2 7 3 2" xfId="15508" xr:uid="{C39D5020-FC5A-4C12-B034-B48ED779AD70}"/>
    <cellStyle name="20% - Accent4 2 7 4" xfId="11291" xr:uid="{7B460CFA-6031-4F4D-88B0-319A1D474EE3}"/>
    <cellStyle name="20% - Accent4 2 8" xfId="2289" xr:uid="{00000000-0005-0000-0000-00002F020000}"/>
    <cellStyle name="20% - Accent4 2 8 2" xfId="6595" xr:uid="{00000000-0005-0000-0000-000030020000}"/>
    <cellStyle name="20% - Accent4 2 8 2 2" xfId="15921" xr:uid="{FA90E176-B722-41B4-B159-3E34A69158A8}"/>
    <cellStyle name="20% - Accent4 2 8 3" xfId="11704" xr:uid="{CA69D3DA-59B9-48A5-AB3F-C879943724DD}"/>
    <cellStyle name="20% - Accent4 2 9" xfId="4529" xr:uid="{00000000-0005-0000-0000-000031020000}"/>
    <cellStyle name="20% - Accent4 2 9 2" xfId="13855" xr:uid="{14C61921-E9EE-434F-A9DD-27D5FDA6D031}"/>
    <cellStyle name="20% - Accent4 3" xfId="30" xr:uid="{00000000-0005-0000-0000-000032020000}"/>
    <cellStyle name="20% - Accent4 3 10" xfId="9642" xr:uid="{8F4EBDA2-9667-4A1D-A580-81A82823284B}"/>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80FDAB38-4A8C-4345-A3A9-09D5B9D70825}"/>
    <cellStyle name="20% - Accent4 3 2 2 2 3" xfId="12202" xr:uid="{3459824B-20A8-4833-A352-ADBF3308DFB6}"/>
    <cellStyle name="20% - Accent4 3 2 2 3" xfId="4948" xr:uid="{00000000-0005-0000-0000-000037020000}"/>
    <cellStyle name="20% - Accent4 3 2 2 3 2" xfId="14274" xr:uid="{2DD80639-5A78-45B0-91B0-D1B1703E8033}"/>
    <cellStyle name="20% - Accent4 3 2 2 4" xfId="9499" xr:uid="{019308F4-938B-408B-A627-483AF94276A0}"/>
    <cellStyle name="20% - Accent4 3 2 2 5" xfId="10057" xr:uid="{8A7DC559-6FCB-47D1-A5DA-1094C6A8878B}"/>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DDFA760C-7349-4994-8DAF-298063E5C8A9}"/>
    <cellStyle name="20% - Accent4 3 2 3 2 3" xfId="12615" xr:uid="{4295D0B0-2D7B-4316-9612-DA3D300D545C}"/>
    <cellStyle name="20% - Accent4 3 2 3 3" xfId="5361" xr:uid="{00000000-0005-0000-0000-00003B020000}"/>
    <cellStyle name="20% - Accent4 3 2 3 3 2" xfId="14687" xr:uid="{6BB1E293-6144-46C6-BAFD-422CFB55EC93}"/>
    <cellStyle name="20% - Accent4 3 2 3 4" xfId="10470" xr:uid="{0C898126-D098-46BB-AA5F-8D644D3C75F6}"/>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E954EF77-8B79-4D1D-BC6F-A46D33C34C7F}"/>
    <cellStyle name="20% - Accent4 3 2 4 2 3" xfId="13028" xr:uid="{7935FA47-3289-4224-96FD-E269EB07DAE0}"/>
    <cellStyle name="20% - Accent4 3 2 4 3" xfId="5774" xr:uid="{00000000-0005-0000-0000-00003F020000}"/>
    <cellStyle name="20% - Accent4 3 2 4 3 2" xfId="15100" xr:uid="{DC5E34C0-0002-484B-AAC1-214E20076EEB}"/>
    <cellStyle name="20% - Accent4 3 2 4 4" xfId="10883" xr:uid="{3360A196-CF9D-4CB5-A453-EA8D8C5E1EED}"/>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194ECB44-5FEE-4146-9635-878CE96C75DF}"/>
    <cellStyle name="20% - Accent4 3 2 5 2 3" xfId="13441" xr:uid="{1661F4B4-7F1C-4CCA-8C75-963C8178E847}"/>
    <cellStyle name="20% - Accent4 3 2 5 3" xfId="6187" xr:uid="{00000000-0005-0000-0000-000043020000}"/>
    <cellStyle name="20% - Accent4 3 2 5 3 2" xfId="15513" xr:uid="{6F24BB86-78F2-46A6-96EB-79EFBAAF98DC}"/>
    <cellStyle name="20% - Accent4 3 2 5 4" xfId="11296" xr:uid="{C0D6BF1A-7643-4AE1-AE1D-44B9E98E824D}"/>
    <cellStyle name="20% - Accent4 3 2 6" xfId="2294" xr:uid="{00000000-0005-0000-0000-000044020000}"/>
    <cellStyle name="20% - Accent4 3 2 6 2" xfId="6600" xr:uid="{00000000-0005-0000-0000-000045020000}"/>
    <cellStyle name="20% - Accent4 3 2 6 2 2" xfId="15926" xr:uid="{E51281AC-616C-4F74-9D05-C5AC7667AB01}"/>
    <cellStyle name="20% - Accent4 3 2 6 3" xfId="11709" xr:uid="{2A272AD2-B063-4429-8729-72C9DA86D824}"/>
    <cellStyle name="20% - Accent4 3 2 7" xfId="4534" xr:uid="{00000000-0005-0000-0000-000046020000}"/>
    <cellStyle name="20% - Accent4 3 2 7 2" xfId="13860" xr:uid="{D1E70F18-F232-436F-82F4-DB5F8D11F045}"/>
    <cellStyle name="20% - Accent4 3 2 8" xfId="9074" xr:uid="{BA25EAA8-2B5F-4309-91A3-FC61FCEF209C}"/>
    <cellStyle name="20% - Accent4 3 2 9" xfId="9643" xr:uid="{D51CA62D-9955-42DD-B857-CA6257B73CAE}"/>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91D4AEF8-C31C-44D8-AB37-25BBDF3A823E}"/>
    <cellStyle name="20% - Accent4 3 3 2 3" xfId="12201" xr:uid="{1DE70034-DA23-4A21-8AF1-2705EB5FCC96}"/>
    <cellStyle name="20% - Accent4 3 3 3" xfId="4947" xr:uid="{00000000-0005-0000-0000-00004A020000}"/>
    <cellStyle name="20% - Accent4 3 3 3 2" xfId="14273" xr:uid="{9F560B73-90C1-48C6-B29E-213DE3017AE4}"/>
    <cellStyle name="20% - Accent4 3 3 4" xfId="9292" xr:uid="{E33AB5E9-A8F9-45CB-AD95-0E461E901C30}"/>
    <cellStyle name="20% - Accent4 3 3 5" xfId="10056" xr:uid="{279FB7B2-CEF3-441D-8BD8-0BDC966099E9}"/>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22F52629-5314-47D0-99FD-400BEBC2F922}"/>
    <cellStyle name="20% - Accent4 3 4 2 3" xfId="12614" xr:uid="{0361DBFE-5C3F-48E2-925D-5BB52823C59A}"/>
    <cellStyle name="20% - Accent4 3 4 3" xfId="5360" xr:uid="{00000000-0005-0000-0000-00004E020000}"/>
    <cellStyle name="20% - Accent4 3 4 3 2" xfId="14686" xr:uid="{A37E9F7E-36DA-49B1-BE73-0E6FC2F25F62}"/>
    <cellStyle name="20% - Accent4 3 4 4" xfId="10469" xr:uid="{54684F99-9845-4463-BC8E-F0CC27FE3495}"/>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01379EE9-D362-4568-8826-9618BC3D9D16}"/>
    <cellStyle name="20% - Accent4 3 5 2 3" xfId="13027" xr:uid="{95D13808-A0E8-4F18-8731-3AB1B3F631F9}"/>
    <cellStyle name="20% - Accent4 3 5 3" xfId="5773" xr:uid="{00000000-0005-0000-0000-000052020000}"/>
    <cellStyle name="20% - Accent4 3 5 3 2" xfId="15099" xr:uid="{742E2207-D117-41A0-AB4A-3EA9730A2CBD}"/>
    <cellStyle name="20% - Accent4 3 5 4" xfId="10882" xr:uid="{8CAE014C-BD7E-4C89-BF03-B53AAA06DE24}"/>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7E4F6861-B49F-4694-A325-0E9ADBDCCEC9}"/>
    <cellStyle name="20% - Accent4 3 6 2 3" xfId="13440" xr:uid="{AB0B4A82-CF30-4CB7-B245-3144B5836E75}"/>
    <cellStyle name="20% - Accent4 3 6 3" xfId="6186" xr:uid="{00000000-0005-0000-0000-000056020000}"/>
    <cellStyle name="20% - Accent4 3 6 3 2" xfId="15512" xr:uid="{0245F353-8B0C-49A8-8A68-C383DEC4D284}"/>
    <cellStyle name="20% - Accent4 3 6 4" xfId="11295" xr:uid="{6FD029A9-367C-469C-9D27-2D51EAE11A86}"/>
    <cellStyle name="20% - Accent4 3 7" xfId="2293" xr:uid="{00000000-0005-0000-0000-000057020000}"/>
    <cellStyle name="20% - Accent4 3 7 2" xfId="6599" xr:uid="{00000000-0005-0000-0000-000058020000}"/>
    <cellStyle name="20% - Accent4 3 7 2 2" xfId="15925" xr:uid="{B106C475-6027-44F8-9363-22BD4C9441B9}"/>
    <cellStyle name="20% - Accent4 3 7 3" xfId="11708" xr:uid="{B10B6BC0-A468-4C37-8E28-CA53A033F723}"/>
    <cellStyle name="20% - Accent4 3 8" xfId="4533" xr:uid="{00000000-0005-0000-0000-000059020000}"/>
    <cellStyle name="20% - Accent4 3 8 2" xfId="13859" xr:uid="{3E25C7FA-F5DE-4C4A-8440-F180F80F59B9}"/>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A457A6DC-6B76-411D-BB34-08F25BE40FFF}"/>
    <cellStyle name="20% - Accent4 4 2 2 3" xfId="12203" xr:uid="{1164C2B2-1B0D-4717-AA24-4394C62A59A8}"/>
    <cellStyle name="20% - Accent4 4 2 3" xfId="4949" xr:uid="{00000000-0005-0000-0000-00005E020000}"/>
    <cellStyle name="20% - Accent4 4 2 3 2" xfId="14275" xr:uid="{30DD94B7-1559-48ED-BEDF-AE29C5A8013B}"/>
    <cellStyle name="20% - Accent4 4 2 4" xfId="9378" xr:uid="{761B3D4A-2751-4646-8A50-05A0DD408525}"/>
    <cellStyle name="20% - Accent4 4 2 5" xfId="10058" xr:uid="{0F03D05E-2809-4207-8C3E-E675FD517716}"/>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7F512BEE-600A-4675-B6E6-E95B10EA5914}"/>
    <cellStyle name="20% - Accent4 4 3 2 3" xfId="12616" xr:uid="{9EE9FEF4-4BB5-4254-A117-4A27916AC9A7}"/>
    <cellStyle name="20% - Accent4 4 3 3" xfId="5362" xr:uid="{00000000-0005-0000-0000-000062020000}"/>
    <cellStyle name="20% - Accent4 4 3 3 2" xfId="14688" xr:uid="{79466DE3-59AD-4A01-B016-F75D54759AC7}"/>
    <cellStyle name="20% - Accent4 4 3 4" xfId="10471" xr:uid="{D27B1C07-9063-4CDF-B176-B7595F8120ED}"/>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EE255049-D42F-4F35-AC93-14EBCCBF3EE0}"/>
    <cellStyle name="20% - Accent4 4 4 2 3" xfId="13029" xr:uid="{CDA231AC-ED34-4706-8C5F-2796AF3F7419}"/>
    <cellStyle name="20% - Accent4 4 4 3" xfId="5775" xr:uid="{00000000-0005-0000-0000-000066020000}"/>
    <cellStyle name="20% - Accent4 4 4 3 2" xfId="15101" xr:uid="{4FE3311E-047A-4CF0-8A18-9952A808C8FB}"/>
    <cellStyle name="20% - Accent4 4 4 4" xfId="10884" xr:uid="{9198C780-CCCF-4DDA-B62F-031D99EEB949}"/>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1428E7CB-962A-41D3-A595-49A8B1110D40}"/>
    <cellStyle name="20% - Accent4 4 5 2 3" xfId="13442" xr:uid="{F37095AC-33AA-41B8-974A-299BAA1DFC27}"/>
    <cellStyle name="20% - Accent4 4 5 3" xfId="6188" xr:uid="{00000000-0005-0000-0000-00006A020000}"/>
    <cellStyle name="20% - Accent4 4 5 3 2" xfId="15514" xr:uid="{74F839A7-F15B-4035-8590-A66C51D8B4F5}"/>
    <cellStyle name="20% - Accent4 4 5 4" xfId="11297" xr:uid="{6D0591B5-1905-4076-BE64-BF2368AA0546}"/>
    <cellStyle name="20% - Accent4 4 6" xfId="2295" xr:uid="{00000000-0005-0000-0000-00006B020000}"/>
    <cellStyle name="20% - Accent4 4 6 2" xfId="6601" xr:uid="{00000000-0005-0000-0000-00006C020000}"/>
    <cellStyle name="20% - Accent4 4 6 2 2" xfId="15927" xr:uid="{EFA6C9AA-E964-481F-BCAA-25D39D33DF4A}"/>
    <cellStyle name="20% - Accent4 4 6 3" xfId="11710" xr:uid="{53EF7C51-79CA-4B1C-B055-0CC940AF9FFC}"/>
    <cellStyle name="20% - Accent4 4 7" xfId="4535" xr:uid="{00000000-0005-0000-0000-00006D020000}"/>
    <cellStyle name="20% - Accent4 4 7 2" xfId="13861" xr:uid="{F2F26263-853C-4010-AA1D-FF0F8FB31438}"/>
    <cellStyle name="20% - Accent4 4 8" xfId="8953" xr:uid="{66D1590A-BB3A-4B79-BA94-169F97E79370}"/>
    <cellStyle name="20% - Accent4 4 9" xfId="9644" xr:uid="{11CF56CA-401A-4119-BE33-D2344450D23F}"/>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CC39AA2E-F524-4FEB-B552-591B8C36F0EA}"/>
    <cellStyle name="20% - Accent4 5 2 3" xfId="12196" xr:uid="{91D06D53-6AE6-44FF-8D2C-DA7546E16BD6}"/>
    <cellStyle name="20% - Accent4 5 3" xfId="4942" xr:uid="{00000000-0005-0000-0000-000071020000}"/>
    <cellStyle name="20% - Accent4 5 3 2" xfId="14268" xr:uid="{1402FBFC-9DBA-4D15-A7D1-30345772FA20}"/>
    <cellStyle name="20% - Accent4 5 4" xfId="9186" xr:uid="{E62ED282-F767-404B-ADA1-4F8E5B4D01EB}"/>
    <cellStyle name="20% - Accent4 5 5" xfId="10051" xr:uid="{97D68991-69D2-452A-BBFF-55B8373C2EC4}"/>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AC336E81-4116-4B7D-A1C2-346B677BF972}"/>
    <cellStyle name="20% - Accent4 6 2 3" xfId="12609" xr:uid="{C7B6B119-7CF9-4B34-ADD4-7348450B3219}"/>
    <cellStyle name="20% - Accent4 6 3" xfId="5355" xr:uid="{00000000-0005-0000-0000-000075020000}"/>
    <cellStyle name="20% - Accent4 6 3 2" xfId="14681" xr:uid="{B06D6B82-96A5-40BD-AC87-15F7208D7C9D}"/>
    <cellStyle name="20% - Accent4 6 4" xfId="10464" xr:uid="{30BC954E-B8CA-4D53-AFEC-14177EC16EAD}"/>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F41A7F6C-0743-489D-B892-1F2F32D9E994}"/>
    <cellStyle name="20% - Accent4 7 2 3" xfId="13022" xr:uid="{893EA5E0-F915-430D-8A2F-934DCA3FD411}"/>
    <cellStyle name="20% - Accent4 7 3" xfId="5768" xr:uid="{00000000-0005-0000-0000-000079020000}"/>
    <cellStyle name="20% - Accent4 7 3 2" xfId="15094" xr:uid="{559381F0-8FDC-4768-9C78-F3A2EAD6FB2B}"/>
    <cellStyle name="20% - Accent4 7 4" xfId="10877" xr:uid="{AB47178E-C9F3-4A24-AFEE-8501EA2687FD}"/>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D86BDD2F-3237-4B3F-94C9-27280F466B95}"/>
    <cellStyle name="20% - Accent4 8 2 3" xfId="13435" xr:uid="{16CF596B-3FA3-4F87-A4D4-6122C212C9A4}"/>
    <cellStyle name="20% - Accent4 8 3" xfId="6181" xr:uid="{00000000-0005-0000-0000-00007D020000}"/>
    <cellStyle name="20% - Accent4 8 3 2" xfId="15507" xr:uid="{97ACD256-1458-4CF9-9DCC-54C5F979D955}"/>
    <cellStyle name="20% - Accent4 8 4" xfId="11290" xr:uid="{5B8A1B69-DBEF-4B56-93F2-0879E85E43A3}"/>
    <cellStyle name="20% - Accent4 9" xfId="2288" xr:uid="{00000000-0005-0000-0000-00007E020000}"/>
    <cellStyle name="20% - Accent4 9 2" xfId="6594" xr:uid="{00000000-0005-0000-0000-00007F020000}"/>
    <cellStyle name="20% - Accent4 9 2 2" xfId="15920" xr:uid="{7FB404F2-69DE-42E8-A518-DD493797B15F}"/>
    <cellStyle name="20% - Accent4 9 3" xfId="11703" xr:uid="{AD74B94F-5B00-4203-A267-90FBAC1C3EF6}"/>
    <cellStyle name="20% - Accent5" xfId="33" builtinId="46" customBuiltin="1"/>
    <cellStyle name="20% - Accent5 10" xfId="4536" xr:uid="{00000000-0005-0000-0000-000081020000}"/>
    <cellStyle name="20% - Accent5 10 2" xfId="13862" xr:uid="{9F7CCE78-752E-4FE0-BBFE-D33DC647D0E6}"/>
    <cellStyle name="20% - Accent5 11" xfId="8766" xr:uid="{A87C980D-48BC-4AA3-98F7-53B2F02F228C}"/>
    <cellStyle name="20% - Accent5 12" xfId="9645" xr:uid="{7664A0DB-5FE4-42EC-957E-D7E60253610E}"/>
    <cellStyle name="20% - Accent5 2" xfId="34" xr:uid="{00000000-0005-0000-0000-000082020000}"/>
    <cellStyle name="20% - Accent5 2 10" xfId="8796" xr:uid="{5BBF4372-A7B1-47A0-AC3D-4A60EDC1A5F8}"/>
    <cellStyle name="20% - Accent5 2 11" xfId="9646" xr:uid="{687B4021-8BAE-4E50-B6C9-2BFC082401D9}"/>
    <cellStyle name="20% - Accent5 2 2" xfId="35" xr:uid="{00000000-0005-0000-0000-000083020000}"/>
    <cellStyle name="20% - Accent5 2 2 10" xfId="9647" xr:uid="{9564AC45-AE78-48A6-8EBD-A2E3A0061053}"/>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36EF2093-D794-4D22-B898-4D52BDC21DE0}"/>
    <cellStyle name="20% - Accent5 2 2 2 2 2 3" xfId="12207" xr:uid="{3CF4FD50-E187-4E29-B260-50E736771A79}"/>
    <cellStyle name="20% - Accent5 2 2 2 2 3" xfId="4953" xr:uid="{00000000-0005-0000-0000-000088020000}"/>
    <cellStyle name="20% - Accent5 2 2 2 2 3 2" xfId="14279" xr:uid="{9A4BD87E-9489-49AB-9D29-E97943C34ECC}"/>
    <cellStyle name="20% - Accent5 2 2 2 2 4" xfId="9531" xr:uid="{5DC5F027-F767-49FB-B9DE-2ACABCF8AC5A}"/>
    <cellStyle name="20% - Accent5 2 2 2 2 5" xfId="10062" xr:uid="{C2E084B2-9745-4C20-9794-A949294F283D}"/>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7A3A349D-1227-4261-B808-0F118148C57F}"/>
    <cellStyle name="20% - Accent5 2 2 2 3 2 3" xfId="12620" xr:uid="{C8C9D775-DDDA-4504-A7B9-907E81D02AA6}"/>
    <cellStyle name="20% - Accent5 2 2 2 3 3" xfId="5366" xr:uid="{00000000-0005-0000-0000-00008C020000}"/>
    <cellStyle name="20% - Accent5 2 2 2 3 3 2" xfId="14692" xr:uid="{575C3EA2-692A-4DF8-B0BB-497A82C1BDFA}"/>
    <cellStyle name="20% - Accent5 2 2 2 3 4" xfId="10475" xr:uid="{B66FECBC-6D52-4228-8F91-4BB7EAABDDEB}"/>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EE92B705-1DBF-4C06-876D-E21BC04B70EE}"/>
    <cellStyle name="20% - Accent5 2 2 2 4 2 3" xfId="13033" xr:uid="{1EA90657-9DDF-4E2B-9366-8BD333503397}"/>
    <cellStyle name="20% - Accent5 2 2 2 4 3" xfId="5779" xr:uid="{00000000-0005-0000-0000-000090020000}"/>
    <cellStyle name="20% - Accent5 2 2 2 4 3 2" xfId="15105" xr:uid="{1A60D095-C2C7-4887-9FAA-14FD2E6F3262}"/>
    <cellStyle name="20% - Accent5 2 2 2 4 4" xfId="10888" xr:uid="{F2FBF891-A338-443C-B14A-2EF88C09889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268F9A03-114D-4A26-B88C-72211E23FA90}"/>
    <cellStyle name="20% - Accent5 2 2 2 5 2 3" xfId="13446" xr:uid="{B20D151D-2ECA-4820-8E4A-853AEF41644D}"/>
    <cellStyle name="20% - Accent5 2 2 2 5 3" xfId="6192" xr:uid="{00000000-0005-0000-0000-000094020000}"/>
    <cellStyle name="20% - Accent5 2 2 2 5 3 2" xfId="15518" xr:uid="{60A513DE-CDA2-4993-B4B6-5D9323FC9057}"/>
    <cellStyle name="20% - Accent5 2 2 2 5 4" xfId="11301" xr:uid="{79341F54-51DB-4D90-9F3C-F04C601D1EA7}"/>
    <cellStyle name="20% - Accent5 2 2 2 6" xfId="2299" xr:uid="{00000000-0005-0000-0000-000095020000}"/>
    <cellStyle name="20% - Accent5 2 2 2 6 2" xfId="6605" xr:uid="{00000000-0005-0000-0000-000096020000}"/>
    <cellStyle name="20% - Accent5 2 2 2 6 2 2" xfId="15931" xr:uid="{F7DD8BD8-9222-4C7B-A377-80E559BD8BAA}"/>
    <cellStyle name="20% - Accent5 2 2 2 6 3" xfId="11714" xr:uid="{C1706C3A-A473-45E1-BC55-DE23C5DE3348}"/>
    <cellStyle name="20% - Accent5 2 2 2 7" xfId="4539" xr:uid="{00000000-0005-0000-0000-000097020000}"/>
    <cellStyle name="20% - Accent5 2 2 2 7 2" xfId="13865" xr:uid="{A76E3FCD-84C6-4A17-8CDC-0C74737EAC69}"/>
    <cellStyle name="20% - Accent5 2 2 2 8" xfId="9106" xr:uid="{E7B219CB-83A9-494A-83ED-783719A0F1D9}"/>
    <cellStyle name="20% - Accent5 2 2 2 9" xfId="9648" xr:uid="{1C762B8F-F71E-49C4-B0CE-77255B0F2253}"/>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C03C1548-C1AA-45B6-941F-09C9AA7BE86B}"/>
    <cellStyle name="20% - Accent5 2 2 3 2 3" xfId="12206" xr:uid="{5DC56A0E-8993-4639-8080-02A350B140A8}"/>
    <cellStyle name="20% - Accent5 2 2 3 3" xfId="4952" xr:uid="{00000000-0005-0000-0000-00009B020000}"/>
    <cellStyle name="20% - Accent5 2 2 3 3 2" xfId="14278" xr:uid="{C27F24D1-0854-4FB1-8A9A-ABAD899FC5D1}"/>
    <cellStyle name="20% - Accent5 2 2 3 4" xfId="9324" xr:uid="{6094FEE1-8E2A-466F-9CDF-43EB9EE581FF}"/>
    <cellStyle name="20% - Accent5 2 2 3 5" xfId="10061" xr:uid="{0FC62888-EA10-4560-889B-86DF2D1A0273}"/>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CBF6373B-DF4A-4C65-A9B2-F031E7CA46CF}"/>
    <cellStyle name="20% - Accent5 2 2 4 2 3" xfId="12619" xr:uid="{ED5D4B3D-DA59-467D-AF0B-72DBC0F53734}"/>
    <cellStyle name="20% - Accent5 2 2 4 3" xfId="5365" xr:uid="{00000000-0005-0000-0000-00009F020000}"/>
    <cellStyle name="20% - Accent5 2 2 4 3 2" xfId="14691" xr:uid="{4725ACB2-1251-4229-842A-411208BBAA8B}"/>
    <cellStyle name="20% - Accent5 2 2 4 4" xfId="10474" xr:uid="{0D6B0C52-1DAB-42EF-A620-C00D22715614}"/>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010D3802-6B02-4A63-8FB8-3C34E9624B10}"/>
    <cellStyle name="20% - Accent5 2 2 5 2 3" xfId="13032" xr:uid="{37B1A4EF-945A-4DA8-86D3-BC8E761891B1}"/>
    <cellStyle name="20% - Accent5 2 2 5 3" xfId="5778" xr:uid="{00000000-0005-0000-0000-0000A3020000}"/>
    <cellStyle name="20% - Accent5 2 2 5 3 2" xfId="15104" xr:uid="{4088550A-F57C-4933-93D8-EEE9511EFD1E}"/>
    <cellStyle name="20% - Accent5 2 2 5 4" xfId="10887" xr:uid="{8DC79864-F881-4255-B74B-F8A902C56B3B}"/>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4D767C8D-AAFA-44ED-801E-A7E76B6683D7}"/>
    <cellStyle name="20% - Accent5 2 2 6 2 3" xfId="13445" xr:uid="{4EA49851-A660-42AB-932B-DD61F6A8C926}"/>
    <cellStyle name="20% - Accent5 2 2 6 3" xfId="6191" xr:uid="{00000000-0005-0000-0000-0000A7020000}"/>
    <cellStyle name="20% - Accent5 2 2 6 3 2" xfId="15517" xr:uid="{5DDE9FA0-34FB-410B-B860-94AAE0F27573}"/>
    <cellStyle name="20% - Accent5 2 2 6 4" xfId="11300" xr:uid="{53BC09EF-5F09-4447-85D3-5DCC259BDDFB}"/>
    <cellStyle name="20% - Accent5 2 2 7" xfId="2298" xr:uid="{00000000-0005-0000-0000-0000A8020000}"/>
    <cellStyle name="20% - Accent5 2 2 7 2" xfId="6604" xr:uid="{00000000-0005-0000-0000-0000A9020000}"/>
    <cellStyle name="20% - Accent5 2 2 7 2 2" xfId="15930" xr:uid="{BEE48247-1484-4603-A1C2-68FB05C0ACB4}"/>
    <cellStyle name="20% - Accent5 2 2 7 3" xfId="11713" xr:uid="{4FADCFC6-1A6C-41DC-A118-26ACD4B9C506}"/>
    <cellStyle name="20% - Accent5 2 2 8" xfId="4538" xr:uid="{00000000-0005-0000-0000-0000AA020000}"/>
    <cellStyle name="20% - Accent5 2 2 8 2" xfId="13864" xr:uid="{FB03E5D5-EF57-4896-8FD8-1336B37C5931}"/>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192A2552-0FA5-433C-A758-E80012314207}"/>
    <cellStyle name="20% - Accent5 2 3 2 2 3" xfId="12208" xr:uid="{86E89AB0-7A3F-467D-BDCD-F1DA51FDCBFA}"/>
    <cellStyle name="20% - Accent5 2 3 2 3" xfId="4954" xr:uid="{00000000-0005-0000-0000-0000AF020000}"/>
    <cellStyle name="20% - Accent5 2 3 2 3 2" xfId="14280" xr:uid="{6CCA393C-3A07-49DE-9CF6-995F7DF88E16}"/>
    <cellStyle name="20% - Accent5 2 3 2 4" xfId="9428" xr:uid="{B7820ACF-E1F3-4653-B5DD-FD829B169E84}"/>
    <cellStyle name="20% - Accent5 2 3 2 5" xfId="10063" xr:uid="{D28D6ED5-ADA7-4CA4-8F71-18C7351C5FEC}"/>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2BFE9EB7-BD71-42E2-9159-8987F55F704D}"/>
    <cellStyle name="20% - Accent5 2 3 3 2 3" xfId="12621" xr:uid="{4F729A87-DF89-42CC-B9DA-442816468822}"/>
    <cellStyle name="20% - Accent5 2 3 3 3" xfId="5367" xr:uid="{00000000-0005-0000-0000-0000B3020000}"/>
    <cellStyle name="20% - Accent5 2 3 3 3 2" xfId="14693" xr:uid="{452702E9-9B5E-4F76-A823-DE7A80F4BACA}"/>
    <cellStyle name="20% - Accent5 2 3 3 4" xfId="10476" xr:uid="{3C6CB09D-2418-44A8-9918-7A14A7D9DF65}"/>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7C32BC8B-A6C6-4D84-B8BF-ED781241E766}"/>
    <cellStyle name="20% - Accent5 2 3 4 2 3" xfId="13034" xr:uid="{7EB532EA-3493-4CB4-A4D6-747AD6E698B4}"/>
    <cellStyle name="20% - Accent5 2 3 4 3" xfId="5780" xr:uid="{00000000-0005-0000-0000-0000B7020000}"/>
    <cellStyle name="20% - Accent5 2 3 4 3 2" xfId="15106" xr:uid="{0B73FC29-C9CE-4A9B-8853-2AF463EC0C9E}"/>
    <cellStyle name="20% - Accent5 2 3 4 4" xfId="10889" xr:uid="{BF447936-C115-4153-BE4C-AE72F308DF90}"/>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523398DC-FBE2-4187-A58D-E632132A1BD4}"/>
    <cellStyle name="20% - Accent5 2 3 5 2 3" xfId="13447" xr:uid="{AF6D64B0-D0AF-4542-AED2-188984E2E8D1}"/>
    <cellStyle name="20% - Accent5 2 3 5 3" xfId="6193" xr:uid="{00000000-0005-0000-0000-0000BB020000}"/>
    <cellStyle name="20% - Accent5 2 3 5 3 2" xfId="15519" xr:uid="{54F75AE1-DCDF-42E5-807E-762EE867A96E}"/>
    <cellStyle name="20% - Accent5 2 3 5 4" xfId="11302" xr:uid="{F55C0B23-F8F5-4614-AD1C-8FC4BDBEFFC4}"/>
    <cellStyle name="20% - Accent5 2 3 6" xfId="2300" xr:uid="{00000000-0005-0000-0000-0000BC020000}"/>
    <cellStyle name="20% - Accent5 2 3 6 2" xfId="6606" xr:uid="{00000000-0005-0000-0000-0000BD020000}"/>
    <cellStyle name="20% - Accent5 2 3 6 2 2" xfId="15932" xr:uid="{242496FC-B994-481F-A2B9-B0213870069B}"/>
    <cellStyle name="20% - Accent5 2 3 6 3" xfId="11715" xr:uid="{188BB019-DF86-4F80-9963-879AD85B6D06}"/>
    <cellStyle name="20% - Accent5 2 3 7" xfId="4540" xr:uid="{00000000-0005-0000-0000-0000BE020000}"/>
    <cellStyle name="20% - Accent5 2 3 7 2" xfId="13866" xr:uid="{D18417C3-95A9-400D-B9D9-A1ECFC2FF783}"/>
    <cellStyle name="20% - Accent5 2 3 8" xfId="9003" xr:uid="{9830E7D1-E361-4BA3-A986-3DCE647EEF8E}"/>
    <cellStyle name="20% - Accent5 2 3 9" xfId="9649" xr:uid="{C8A735AB-833B-4C72-9A0C-4C5AC7919F20}"/>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D7D190B7-90C1-4843-AA07-58D8F9FA3D51}"/>
    <cellStyle name="20% - Accent5 2 4 2 3" xfId="12205" xr:uid="{C8FAD884-B0B5-4A0C-B643-BD3EDD947792}"/>
    <cellStyle name="20% - Accent5 2 4 3" xfId="4951" xr:uid="{00000000-0005-0000-0000-0000C2020000}"/>
    <cellStyle name="20% - Accent5 2 4 3 2" xfId="14277" xr:uid="{5FBBE705-51AF-4530-B852-CA1B6403951F}"/>
    <cellStyle name="20% - Accent5 2 4 4" xfId="9220" xr:uid="{A7B88928-FE72-4C1B-B74E-3CA76DBA84CC}"/>
    <cellStyle name="20% - Accent5 2 4 5" xfId="10060" xr:uid="{36BD1594-E8F8-4E26-ADF7-F24116F7B3C7}"/>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2EEAC581-6F72-416E-BB74-29ECE02A6209}"/>
    <cellStyle name="20% - Accent5 2 5 2 3" xfId="12618" xr:uid="{9B287931-13D1-4FDF-8BDC-D7D03718EF7C}"/>
    <cellStyle name="20% - Accent5 2 5 3" xfId="5364" xr:uid="{00000000-0005-0000-0000-0000C6020000}"/>
    <cellStyle name="20% - Accent5 2 5 3 2" xfId="14690" xr:uid="{7BD0FD83-5E50-476D-B904-2CAEFB2E908C}"/>
    <cellStyle name="20% - Accent5 2 5 4" xfId="10473" xr:uid="{50BFA006-1D9C-4788-8DC3-67EFD1D655CE}"/>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D3593887-E7B1-4A25-80EB-474BB170419F}"/>
    <cellStyle name="20% - Accent5 2 6 2 3" xfId="13031" xr:uid="{41685AB8-3DDE-435B-9103-CEB4DBFA32EA}"/>
    <cellStyle name="20% - Accent5 2 6 3" xfId="5777" xr:uid="{00000000-0005-0000-0000-0000CA020000}"/>
    <cellStyle name="20% - Accent5 2 6 3 2" xfId="15103" xr:uid="{EE908077-B314-42EF-8B3B-7FBECB90A804}"/>
    <cellStyle name="20% - Accent5 2 6 4" xfId="10886" xr:uid="{4FD7D968-E9C2-433F-B507-141017DE15DE}"/>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97EEFFB6-BF2A-4F5E-A97F-2016C1525785}"/>
    <cellStyle name="20% - Accent5 2 7 2 3" xfId="13444" xr:uid="{F41DE810-6F12-4E8B-A5F8-B15791D66909}"/>
    <cellStyle name="20% - Accent5 2 7 3" xfId="6190" xr:uid="{00000000-0005-0000-0000-0000CE020000}"/>
    <cellStyle name="20% - Accent5 2 7 3 2" xfId="15516" xr:uid="{E20CCE15-F977-45BC-8127-64F73E7DDD5D}"/>
    <cellStyle name="20% - Accent5 2 7 4" xfId="11299" xr:uid="{DACBCA2A-FF25-447F-A859-CDA0EF36F678}"/>
    <cellStyle name="20% - Accent5 2 8" xfId="2297" xr:uid="{00000000-0005-0000-0000-0000CF020000}"/>
    <cellStyle name="20% - Accent5 2 8 2" xfId="6603" xr:uid="{00000000-0005-0000-0000-0000D0020000}"/>
    <cellStyle name="20% - Accent5 2 8 2 2" xfId="15929" xr:uid="{8DA6B543-ABE6-4745-98B3-57DEF0BD62DA}"/>
    <cellStyle name="20% - Accent5 2 8 3" xfId="11712" xr:uid="{2A90E29C-FDE0-43DE-A505-D97E281BDE01}"/>
    <cellStyle name="20% - Accent5 2 9" xfId="4537" xr:uid="{00000000-0005-0000-0000-0000D1020000}"/>
    <cellStyle name="20% - Accent5 2 9 2" xfId="13863" xr:uid="{16620C47-BB9B-4C03-ADC5-B6C9B729DEF7}"/>
    <cellStyle name="20% - Accent5 3" xfId="38" xr:uid="{00000000-0005-0000-0000-0000D2020000}"/>
    <cellStyle name="20% - Accent5 3 10" xfId="9650" xr:uid="{B796EB48-A0CF-49A1-9444-17C1D4A3BFB3}"/>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FCC87E10-7FE2-4542-9A0D-219DDF2D140F}"/>
    <cellStyle name="20% - Accent5 3 2 2 2 3" xfId="12210" xr:uid="{CBE90E6E-46FE-4B6D-972B-3542DE1B53E6}"/>
    <cellStyle name="20% - Accent5 3 2 2 3" xfId="4956" xr:uid="{00000000-0005-0000-0000-0000D7020000}"/>
    <cellStyle name="20% - Accent5 3 2 2 3 2" xfId="14282" xr:uid="{9EF9803C-3510-4A39-B40D-AEC8C09724FD}"/>
    <cellStyle name="20% - Accent5 3 2 2 4" xfId="9501" xr:uid="{82A590A5-96D4-476E-8E6F-D81EEE08C409}"/>
    <cellStyle name="20% - Accent5 3 2 2 5" xfId="10065" xr:uid="{7B3C25FD-0372-4C40-9C11-A7BE854C45D7}"/>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D7C06F47-6B38-4163-9A06-36BF85BB3B08}"/>
    <cellStyle name="20% - Accent5 3 2 3 2 3" xfId="12623" xr:uid="{490FCA3F-9960-49AD-B763-5F05B30B8718}"/>
    <cellStyle name="20% - Accent5 3 2 3 3" xfId="5369" xr:uid="{00000000-0005-0000-0000-0000DB020000}"/>
    <cellStyle name="20% - Accent5 3 2 3 3 2" xfId="14695" xr:uid="{F66E78A4-CA4D-489B-A74B-D9C3A9994DFA}"/>
    <cellStyle name="20% - Accent5 3 2 3 4" xfId="10478" xr:uid="{253E2248-39FE-464C-91B6-D7F4915FD555}"/>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797BB96B-8534-4BDA-B5B7-4CE8C41A486F}"/>
    <cellStyle name="20% - Accent5 3 2 4 2 3" xfId="13036" xr:uid="{71425363-8844-43EE-9766-A353E5888E51}"/>
    <cellStyle name="20% - Accent5 3 2 4 3" xfId="5782" xr:uid="{00000000-0005-0000-0000-0000DF020000}"/>
    <cellStyle name="20% - Accent5 3 2 4 3 2" xfId="15108" xr:uid="{C5C22F17-AAFA-4CD7-8959-A8B3136DA235}"/>
    <cellStyle name="20% - Accent5 3 2 4 4" xfId="10891" xr:uid="{413BE5C4-3132-43B7-824A-9EFE2F195EA1}"/>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A5137D87-3F72-45F1-964C-CC7754B8F7C2}"/>
    <cellStyle name="20% - Accent5 3 2 5 2 3" xfId="13449" xr:uid="{8947D724-9BA7-4C9D-BE3D-E7B0886DAEB4}"/>
    <cellStyle name="20% - Accent5 3 2 5 3" xfId="6195" xr:uid="{00000000-0005-0000-0000-0000E3020000}"/>
    <cellStyle name="20% - Accent5 3 2 5 3 2" xfId="15521" xr:uid="{F8CA11F7-A9E7-443F-BA75-D239943CBAD4}"/>
    <cellStyle name="20% - Accent5 3 2 5 4" xfId="11304" xr:uid="{6A42D309-947A-4193-B01F-63B75C27081B}"/>
    <cellStyle name="20% - Accent5 3 2 6" xfId="2302" xr:uid="{00000000-0005-0000-0000-0000E4020000}"/>
    <cellStyle name="20% - Accent5 3 2 6 2" xfId="6608" xr:uid="{00000000-0005-0000-0000-0000E5020000}"/>
    <cellStyle name="20% - Accent5 3 2 6 2 2" xfId="15934" xr:uid="{EFE3337C-8ED1-48C7-B724-8663612BD6EB}"/>
    <cellStyle name="20% - Accent5 3 2 6 3" xfId="11717" xr:uid="{094630AA-25A1-4AE9-9B56-FE2541DD4F58}"/>
    <cellStyle name="20% - Accent5 3 2 7" xfId="4542" xr:uid="{00000000-0005-0000-0000-0000E6020000}"/>
    <cellStyle name="20% - Accent5 3 2 7 2" xfId="13868" xr:uid="{E8F7C6A3-2BC6-4B5B-9772-2AF063F31FFE}"/>
    <cellStyle name="20% - Accent5 3 2 8" xfId="9076" xr:uid="{BEDF1D01-35A3-4513-9363-9C1AFC748168}"/>
    <cellStyle name="20% - Accent5 3 2 9" xfId="9651" xr:uid="{B0E88C6A-665E-47DD-BA31-4CA72DE5C2BD}"/>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60C40675-242E-47AB-AB87-9F05B41076B0}"/>
    <cellStyle name="20% - Accent5 3 3 2 3" xfId="12209" xr:uid="{8E98F6FF-CD4E-4C85-B768-CAC50F3197E6}"/>
    <cellStyle name="20% - Accent5 3 3 3" xfId="4955" xr:uid="{00000000-0005-0000-0000-0000EA020000}"/>
    <cellStyle name="20% - Accent5 3 3 3 2" xfId="14281" xr:uid="{44BE4010-3FE1-48E9-B740-2379743AA78A}"/>
    <cellStyle name="20% - Accent5 3 3 4" xfId="9294" xr:uid="{124960EA-C7A4-4686-BF67-47D6C57F7EEB}"/>
    <cellStyle name="20% - Accent5 3 3 5" xfId="10064" xr:uid="{471C49AD-169D-4AB8-9C8F-670947107E9A}"/>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CBF96F89-E9E3-486A-A0AF-0E55B9595AC6}"/>
    <cellStyle name="20% - Accent5 3 4 2 3" xfId="12622" xr:uid="{DD7F997E-ADAD-4DE0-9FA4-92CDD091D0B0}"/>
    <cellStyle name="20% - Accent5 3 4 3" xfId="5368" xr:uid="{00000000-0005-0000-0000-0000EE020000}"/>
    <cellStyle name="20% - Accent5 3 4 3 2" xfId="14694" xr:uid="{CD9612CD-A6ED-4376-92CF-10326D568A59}"/>
    <cellStyle name="20% - Accent5 3 4 4" xfId="10477" xr:uid="{CEDF71AD-135D-4F54-8449-E11CB2C0603C}"/>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DC7A7A8A-7E1F-4C5C-B58D-14BC94A43383}"/>
    <cellStyle name="20% - Accent5 3 5 2 3" xfId="13035" xr:uid="{0892C8D8-FB27-4471-809F-DC8E81D3D13E}"/>
    <cellStyle name="20% - Accent5 3 5 3" xfId="5781" xr:uid="{00000000-0005-0000-0000-0000F2020000}"/>
    <cellStyle name="20% - Accent5 3 5 3 2" xfId="15107" xr:uid="{56C6DAB9-D478-4006-82B0-4361DA470C17}"/>
    <cellStyle name="20% - Accent5 3 5 4" xfId="10890" xr:uid="{06CDDC33-9C62-4E6B-99BD-1703C01513BC}"/>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2DCDFC99-C9BA-4376-8778-5FE6B2EFB3A1}"/>
    <cellStyle name="20% - Accent5 3 6 2 3" xfId="13448" xr:uid="{FCD11943-F91B-458F-88EA-76415F65AD2F}"/>
    <cellStyle name="20% - Accent5 3 6 3" xfId="6194" xr:uid="{00000000-0005-0000-0000-0000F6020000}"/>
    <cellStyle name="20% - Accent5 3 6 3 2" xfId="15520" xr:uid="{36D2780F-C241-4C07-A864-5DB22A010535}"/>
    <cellStyle name="20% - Accent5 3 6 4" xfId="11303" xr:uid="{60A2BE31-7E1C-4A05-9336-A416E4FB872B}"/>
    <cellStyle name="20% - Accent5 3 7" xfId="2301" xr:uid="{00000000-0005-0000-0000-0000F7020000}"/>
    <cellStyle name="20% - Accent5 3 7 2" xfId="6607" xr:uid="{00000000-0005-0000-0000-0000F8020000}"/>
    <cellStyle name="20% - Accent5 3 7 2 2" xfId="15933" xr:uid="{A217277F-14F4-49FC-AEB5-4B9C4CEF47FC}"/>
    <cellStyle name="20% - Accent5 3 7 3" xfId="11716" xr:uid="{20899885-FCB1-4745-8BAB-74E6D95A050B}"/>
    <cellStyle name="20% - Accent5 3 8" xfId="4541" xr:uid="{00000000-0005-0000-0000-0000F9020000}"/>
    <cellStyle name="20% - Accent5 3 8 2" xfId="13867" xr:uid="{3846B4DF-B77C-41F5-817C-B48CAF6A2E28}"/>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FDFF6EFD-468A-4EF6-A646-9501A693715F}"/>
    <cellStyle name="20% - Accent5 4 2 2 3" xfId="12211" xr:uid="{5CEEFD47-CF5E-429C-AC25-74FFED276B46}"/>
    <cellStyle name="20% - Accent5 4 2 3" xfId="4957" xr:uid="{00000000-0005-0000-0000-0000FE020000}"/>
    <cellStyle name="20% - Accent5 4 2 3 2" xfId="14283" xr:uid="{AEE00799-1AFB-426E-B831-4C762FC922E0}"/>
    <cellStyle name="20% - Accent5 4 2 4" xfId="9380" xr:uid="{1C764D65-D71C-4646-AD86-15F83BDBF498}"/>
    <cellStyle name="20% - Accent5 4 2 5" xfId="10066" xr:uid="{5B50C8A3-2C42-42F9-96B1-4AB001664A99}"/>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2D2DAD93-2CA6-4841-8D1B-D49AE78E8B97}"/>
    <cellStyle name="20% - Accent5 4 3 2 3" xfId="12624" xr:uid="{2763D4E9-1C46-4831-9A14-EAF4D54251C5}"/>
    <cellStyle name="20% - Accent5 4 3 3" xfId="5370" xr:uid="{00000000-0005-0000-0000-000002030000}"/>
    <cellStyle name="20% - Accent5 4 3 3 2" xfId="14696" xr:uid="{8DE789DB-2F86-4E26-97B6-93CE6087E5E3}"/>
    <cellStyle name="20% - Accent5 4 3 4" xfId="10479" xr:uid="{56B655B2-619E-451D-9DDE-5E580399C41C}"/>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47521EB7-5FD6-49C1-816F-6A2E27E16BF5}"/>
    <cellStyle name="20% - Accent5 4 4 2 3" xfId="13037" xr:uid="{9BD3A65F-2691-4F3F-85E1-C455D7F4CAD4}"/>
    <cellStyle name="20% - Accent5 4 4 3" xfId="5783" xr:uid="{00000000-0005-0000-0000-000006030000}"/>
    <cellStyle name="20% - Accent5 4 4 3 2" xfId="15109" xr:uid="{EFE6F212-C15B-4244-A15F-17CC1D9EF9AB}"/>
    <cellStyle name="20% - Accent5 4 4 4" xfId="10892" xr:uid="{5B9DE9F6-8968-423E-B7E4-454AC1CD07D9}"/>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F95F878F-0973-451F-B850-A86A0F9583A6}"/>
    <cellStyle name="20% - Accent5 4 5 2 3" xfId="13450" xr:uid="{2825D40E-437C-4283-9BEE-01AEFFD3CD8E}"/>
    <cellStyle name="20% - Accent5 4 5 3" xfId="6196" xr:uid="{00000000-0005-0000-0000-00000A030000}"/>
    <cellStyle name="20% - Accent5 4 5 3 2" xfId="15522" xr:uid="{6C98AC87-DB3B-47FC-9908-63717902E57A}"/>
    <cellStyle name="20% - Accent5 4 5 4" xfId="11305" xr:uid="{ABC9C0DD-292C-4D08-8470-83D345D8D997}"/>
    <cellStyle name="20% - Accent5 4 6" xfId="2303" xr:uid="{00000000-0005-0000-0000-00000B030000}"/>
    <cellStyle name="20% - Accent5 4 6 2" xfId="6609" xr:uid="{00000000-0005-0000-0000-00000C030000}"/>
    <cellStyle name="20% - Accent5 4 6 2 2" xfId="15935" xr:uid="{17DBC01A-A168-49C8-905F-0D5E1E875DD6}"/>
    <cellStyle name="20% - Accent5 4 6 3" xfId="11718" xr:uid="{EF3C80C1-05A4-49F4-814F-9F0E775D173E}"/>
    <cellStyle name="20% - Accent5 4 7" xfId="4543" xr:uid="{00000000-0005-0000-0000-00000D030000}"/>
    <cellStyle name="20% - Accent5 4 7 2" xfId="13869" xr:uid="{FCB474BB-4B4A-412E-8E52-7D6BBFB4C8A6}"/>
    <cellStyle name="20% - Accent5 4 8" xfId="8955" xr:uid="{8AD43D76-8747-44EC-8D3B-2720ADF9D1B1}"/>
    <cellStyle name="20% - Accent5 4 9" xfId="9652" xr:uid="{5AD312BB-79BB-426B-AC69-79B7C3126787}"/>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4E3889C4-7474-41EE-8B4A-3F45FBEF210E}"/>
    <cellStyle name="20% - Accent5 5 2 3" xfId="12204" xr:uid="{7FB7E55A-697D-4DA4-8CB3-A8117BCCA27F}"/>
    <cellStyle name="20% - Accent5 5 3" xfId="4950" xr:uid="{00000000-0005-0000-0000-000011030000}"/>
    <cellStyle name="20% - Accent5 5 3 2" xfId="14276" xr:uid="{E9A782F1-2888-4C4A-8A0E-5090A9BFAE37}"/>
    <cellStyle name="20% - Accent5 5 4" xfId="9188" xr:uid="{164CF7CE-7706-426C-90AA-4867A06E28BD}"/>
    <cellStyle name="20% - Accent5 5 5" xfId="10059" xr:uid="{A63512C2-5F28-4FC5-9B44-90F449BD3423}"/>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C4D9C8D5-D145-49B2-A065-47770470DB52}"/>
    <cellStyle name="20% - Accent5 6 2 3" xfId="12617" xr:uid="{D024D3B9-1112-4602-813B-7DA366663645}"/>
    <cellStyle name="20% - Accent5 6 3" xfId="5363" xr:uid="{00000000-0005-0000-0000-000015030000}"/>
    <cellStyle name="20% - Accent5 6 3 2" xfId="14689" xr:uid="{E2560CBF-68E0-44A8-944B-2C485BAE916B}"/>
    <cellStyle name="20% - Accent5 6 4" xfId="10472" xr:uid="{36D87155-BF61-4C82-9281-F3C526147E73}"/>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2FA0C44A-285B-4980-86A4-C6007C390D1E}"/>
    <cellStyle name="20% - Accent5 7 2 3" xfId="13030" xr:uid="{BB837069-BA35-40A3-8413-661B07A04C00}"/>
    <cellStyle name="20% - Accent5 7 3" xfId="5776" xr:uid="{00000000-0005-0000-0000-000019030000}"/>
    <cellStyle name="20% - Accent5 7 3 2" xfId="15102" xr:uid="{A13043EB-424C-4CE7-AA91-FA38B5AF580A}"/>
    <cellStyle name="20% - Accent5 7 4" xfId="10885" xr:uid="{44D1326C-FB9A-47D1-928E-857CF088F41D}"/>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90817EBB-1E4F-4E5E-A00F-0A6FB0AEE003}"/>
    <cellStyle name="20% - Accent5 8 2 3" xfId="13443" xr:uid="{C387C235-4C80-4C68-9D11-7FD40A66EE8B}"/>
    <cellStyle name="20% - Accent5 8 3" xfId="6189" xr:uid="{00000000-0005-0000-0000-00001D030000}"/>
    <cellStyle name="20% - Accent5 8 3 2" xfId="15515" xr:uid="{86D04B82-88E5-4703-ABEB-CEE62FEC63E3}"/>
    <cellStyle name="20% - Accent5 8 4" xfId="11298" xr:uid="{71747CD9-167D-4E9B-B884-22FF362757F9}"/>
    <cellStyle name="20% - Accent5 9" xfId="2296" xr:uid="{00000000-0005-0000-0000-00001E030000}"/>
    <cellStyle name="20% - Accent5 9 2" xfId="6602" xr:uid="{00000000-0005-0000-0000-00001F030000}"/>
    <cellStyle name="20% - Accent5 9 2 2" xfId="15928" xr:uid="{C4853A89-CEA6-4509-9362-A1467ACF1BB5}"/>
    <cellStyle name="20% - Accent5 9 3" xfId="11711" xr:uid="{274AB327-4057-45DD-922F-922EE2449600}"/>
    <cellStyle name="20% - Accent6" xfId="41" builtinId="50" customBuiltin="1"/>
    <cellStyle name="20% - Accent6 10" xfId="4544" xr:uid="{00000000-0005-0000-0000-000021030000}"/>
    <cellStyle name="20% - Accent6 10 2" xfId="13870" xr:uid="{C2DDD302-2148-425D-81A3-8E5CB511A33F}"/>
    <cellStyle name="20% - Accent6 11" xfId="8768" xr:uid="{5A1F1293-A19F-445F-908A-D9DBB6265CA0}"/>
    <cellStyle name="20% - Accent6 12" xfId="9653" xr:uid="{FE57F934-FDDF-4972-9396-F6830C0A0E6D}"/>
    <cellStyle name="20% - Accent6 2" xfId="42" xr:uid="{00000000-0005-0000-0000-000022030000}"/>
    <cellStyle name="20% - Accent6 2 10" xfId="8795" xr:uid="{9A35B19E-8802-437A-ABDC-7B06A4E07F58}"/>
    <cellStyle name="20% - Accent6 2 11" xfId="9654" xr:uid="{FEBEFBF1-5F04-4B2A-9AEB-EDC1D29FD9F6}"/>
    <cellStyle name="20% - Accent6 2 2" xfId="43" xr:uid="{00000000-0005-0000-0000-000023030000}"/>
    <cellStyle name="20% - Accent6 2 2 10" xfId="9655" xr:uid="{03DD9532-FCE6-45BD-89A7-A1028CA65F96}"/>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F5C630BA-F8CC-4577-B598-729C7BDE7AA1}"/>
    <cellStyle name="20% - Accent6 2 2 2 2 2 3" xfId="12215" xr:uid="{851E1A83-9658-42FB-A09F-E0C9C89AB11E}"/>
    <cellStyle name="20% - Accent6 2 2 2 2 3" xfId="4961" xr:uid="{00000000-0005-0000-0000-000028030000}"/>
    <cellStyle name="20% - Accent6 2 2 2 2 3 2" xfId="14287" xr:uid="{8EE58587-E4CA-49B3-BD9F-C84734466078}"/>
    <cellStyle name="20% - Accent6 2 2 2 2 4" xfId="9530" xr:uid="{AFD3EE0E-70EF-4C1B-B994-7B8E7E8187BC}"/>
    <cellStyle name="20% - Accent6 2 2 2 2 5" xfId="10070" xr:uid="{A90FFAB0-7E7F-4F82-8F7E-D5F043C86678}"/>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7ABC8F69-F9B2-4A4B-A296-203DEEFE32C6}"/>
    <cellStyle name="20% - Accent6 2 2 2 3 2 3" xfId="12628" xr:uid="{C1962248-1F57-49B4-A430-B2C9AB3B9699}"/>
    <cellStyle name="20% - Accent6 2 2 2 3 3" xfId="5374" xr:uid="{00000000-0005-0000-0000-00002C030000}"/>
    <cellStyle name="20% - Accent6 2 2 2 3 3 2" xfId="14700" xr:uid="{7B730932-BC6B-4F0D-BDF0-D45230CF5629}"/>
    <cellStyle name="20% - Accent6 2 2 2 3 4" xfId="10483" xr:uid="{E314687B-9302-49E8-A8E2-A5102C1B6D9C}"/>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6F5CE962-F85A-48C1-B1EC-6D577C7CAA57}"/>
    <cellStyle name="20% - Accent6 2 2 2 4 2 3" xfId="13041" xr:uid="{ECE8CC30-5F96-4F4B-82A5-DE761AC6BCA4}"/>
    <cellStyle name="20% - Accent6 2 2 2 4 3" xfId="5787" xr:uid="{00000000-0005-0000-0000-000030030000}"/>
    <cellStyle name="20% - Accent6 2 2 2 4 3 2" xfId="15113" xr:uid="{FFC9E7CE-22A6-44CD-BFB0-29A23DD58C65}"/>
    <cellStyle name="20% - Accent6 2 2 2 4 4" xfId="10896" xr:uid="{97222F00-517A-4C00-BDBD-5BAB58B1295E}"/>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B331A8DD-07E9-44D8-BF1C-0916AF0B234B}"/>
    <cellStyle name="20% - Accent6 2 2 2 5 2 3" xfId="13454" xr:uid="{60D22326-53E9-42D8-9657-F594EDAB7240}"/>
    <cellStyle name="20% - Accent6 2 2 2 5 3" xfId="6200" xr:uid="{00000000-0005-0000-0000-000034030000}"/>
    <cellStyle name="20% - Accent6 2 2 2 5 3 2" xfId="15526" xr:uid="{7D7A11B7-4DBE-41CF-9E7E-3E2278CCFCC4}"/>
    <cellStyle name="20% - Accent6 2 2 2 5 4" xfId="11309" xr:uid="{A4889A9B-450A-493E-BAE8-74AC32313E12}"/>
    <cellStyle name="20% - Accent6 2 2 2 6" xfId="2307" xr:uid="{00000000-0005-0000-0000-000035030000}"/>
    <cellStyle name="20% - Accent6 2 2 2 6 2" xfId="6613" xr:uid="{00000000-0005-0000-0000-000036030000}"/>
    <cellStyle name="20% - Accent6 2 2 2 6 2 2" xfId="15939" xr:uid="{8826149A-15A0-4747-BEB7-AE743280D45C}"/>
    <cellStyle name="20% - Accent6 2 2 2 6 3" xfId="11722" xr:uid="{D4393B46-788F-4B25-8EA2-9AD136ADD8AD}"/>
    <cellStyle name="20% - Accent6 2 2 2 7" xfId="4547" xr:uid="{00000000-0005-0000-0000-000037030000}"/>
    <cellStyle name="20% - Accent6 2 2 2 7 2" xfId="13873" xr:uid="{9F1D6378-893F-4AEA-B396-D7ECDBFE6421}"/>
    <cellStyle name="20% - Accent6 2 2 2 8" xfId="9105" xr:uid="{2D3B6B01-F2FB-4D08-A7F9-9902961EFB46}"/>
    <cellStyle name="20% - Accent6 2 2 2 9" xfId="9656" xr:uid="{309A7DD4-24D3-452A-855A-95C94263203E}"/>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A0479A1D-C1E1-4331-9E2E-FFA8557402B1}"/>
    <cellStyle name="20% - Accent6 2 2 3 2 3" xfId="12214" xr:uid="{0F708AED-CC02-4888-984F-47D4BF9A0803}"/>
    <cellStyle name="20% - Accent6 2 2 3 3" xfId="4960" xr:uid="{00000000-0005-0000-0000-00003B030000}"/>
    <cellStyle name="20% - Accent6 2 2 3 3 2" xfId="14286" xr:uid="{8905B3EF-AC78-4FDD-8876-AD9EBFFF49B9}"/>
    <cellStyle name="20% - Accent6 2 2 3 4" xfId="9323" xr:uid="{93CC3C58-EC1C-4AC6-8D02-E00EFD80A494}"/>
    <cellStyle name="20% - Accent6 2 2 3 5" xfId="10069" xr:uid="{44247A04-6131-4582-9C22-F7ED9DC4B05F}"/>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CFA6CACB-750D-43F1-A87F-3473B0F61031}"/>
    <cellStyle name="20% - Accent6 2 2 4 2 3" xfId="12627" xr:uid="{425BD77C-DBB7-4E8A-AA54-D5049F89BD19}"/>
    <cellStyle name="20% - Accent6 2 2 4 3" xfId="5373" xr:uid="{00000000-0005-0000-0000-00003F030000}"/>
    <cellStyle name="20% - Accent6 2 2 4 3 2" xfId="14699" xr:uid="{921AB281-A6EC-43E4-8036-5F7598ECAC74}"/>
    <cellStyle name="20% - Accent6 2 2 4 4" xfId="10482" xr:uid="{AEC2027B-D5E2-41AC-9027-AFE4F8CA5509}"/>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497CCC24-D6FC-4CC8-A4FB-51753CDA29BB}"/>
    <cellStyle name="20% - Accent6 2 2 5 2 3" xfId="13040" xr:uid="{38CEB5B5-D921-404B-9FE6-C39CD3F8A1A1}"/>
    <cellStyle name="20% - Accent6 2 2 5 3" xfId="5786" xr:uid="{00000000-0005-0000-0000-000043030000}"/>
    <cellStyle name="20% - Accent6 2 2 5 3 2" xfId="15112" xr:uid="{74CB01D1-7E2C-4BF1-AE03-1E5F6BE7F5AA}"/>
    <cellStyle name="20% - Accent6 2 2 5 4" xfId="10895" xr:uid="{344858DD-382B-449C-B18A-930D14C69A19}"/>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E0665FA1-26FC-4619-AABA-ED8FE572C65D}"/>
    <cellStyle name="20% - Accent6 2 2 6 2 3" xfId="13453" xr:uid="{BB7FDA74-A5CC-4506-8A19-156BC14BAF07}"/>
    <cellStyle name="20% - Accent6 2 2 6 3" xfId="6199" xr:uid="{00000000-0005-0000-0000-000047030000}"/>
    <cellStyle name="20% - Accent6 2 2 6 3 2" xfId="15525" xr:uid="{E9AD751D-23A9-49E0-826D-78864B778E1E}"/>
    <cellStyle name="20% - Accent6 2 2 6 4" xfId="11308" xr:uid="{1B35AEEA-EF18-4CC1-9D5B-5209B27E820F}"/>
    <cellStyle name="20% - Accent6 2 2 7" xfId="2306" xr:uid="{00000000-0005-0000-0000-000048030000}"/>
    <cellStyle name="20% - Accent6 2 2 7 2" xfId="6612" xr:uid="{00000000-0005-0000-0000-000049030000}"/>
    <cellStyle name="20% - Accent6 2 2 7 2 2" xfId="15938" xr:uid="{F52C6C38-E361-4A19-A5ED-C7C7782FBAB3}"/>
    <cellStyle name="20% - Accent6 2 2 7 3" xfId="11721" xr:uid="{B152980F-8BE2-4307-9227-AF118F611918}"/>
    <cellStyle name="20% - Accent6 2 2 8" xfId="4546" xr:uid="{00000000-0005-0000-0000-00004A030000}"/>
    <cellStyle name="20% - Accent6 2 2 8 2" xfId="13872" xr:uid="{C7319EE3-048F-4BB6-8476-7DAED7C783BC}"/>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D3FC06DF-49BB-47C8-A020-00ED8D652AD8}"/>
    <cellStyle name="20% - Accent6 2 3 2 2 3" xfId="12216" xr:uid="{49AEB081-CF48-49C2-A5C4-27C478218887}"/>
    <cellStyle name="20% - Accent6 2 3 2 3" xfId="4962" xr:uid="{00000000-0005-0000-0000-00004F030000}"/>
    <cellStyle name="20% - Accent6 2 3 2 3 2" xfId="14288" xr:uid="{AD4F9F08-577F-492C-8C36-CCB67B50ECF4}"/>
    <cellStyle name="20% - Accent6 2 3 2 4" xfId="9427" xr:uid="{009378B6-C0A8-4C7C-A9A2-F91104842D93}"/>
    <cellStyle name="20% - Accent6 2 3 2 5" xfId="10071" xr:uid="{E0129CED-4A12-44A8-92CE-ECA94D2F3899}"/>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365846DA-B3C5-4178-A909-AA57D693257C}"/>
    <cellStyle name="20% - Accent6 2 3 3 2 3" xfId="12629" xr:uid="{EC384932-479B-4FBB-BD92-FE3411949BA3}"/>
    <cellStyle name="20% - Accent6 2 3 3 3" xfId="5375" xr:uid="{00000000-0005-0000-0000-000053030000}"/>
    <cellStyle name="20% - Accent6 2 3 3 3 2" xfId="14701" xr:uid="{2692D2D3-D5B7-4624-BB77-243D6CD5030E}"/>
    <cellStyle name="20% - Accent6 2 3 3 4" xfId="10484" xr:uid="{DC4496EC-8BFA-4182-AA48-EBA09D529F12}"/>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46105FE1-35FC-4999-889C-5BAA3BCC93F5}"/>
    <cellStyle name="20% - Accent6 2 3 4 2 3" xfId="13042" xr:uid="{B3FFE286-AC24-4E52-B79C-390E85F602FF}"/>
    <cellStyle name="20% - Accent6 2 3 4 3" xfId="5788" xr:uid="{00000000-0005-0000-0000-000057030000}"/>
    <cellStyle name="20% - Accent6 2 3 4 3 2" xfId="15114" xr:uid="{7B084E2C-C6F5-4DAB-A6B4-286E2F2AA245}"/>
    <cellStyle name="20% - Accent6 2 3 4 4" xfId="10897" xr:uid="{3C19671E-7415-4566-82BE-E79B4FAC760F}"/>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A383FDFD-8E2C-4EB6-B791-8C976FB5ACF5}"/>
    <cellStyle name="20% - Accent6 2 3 5 2 3" xfId="13455" xr:uid="{AA2B8F8D-494A-4FB9-A741-52654F04F3F9}"/>
    <cellStyle name="20% - Accent6 2 3 5 3" xfId="6201" xr:uid="{00000000-0005-0000-0000-00005B030000}"/>
    <cellStyle name="20% - Accent6 2 3 5 3 2" xfId="15527" xr:uid="{B7DF6264-295A-4076-B351-C7425F167670}"/>
    <cellStyle name="20% - Accent6 2 3 5 4" xfId="11310" xr:uid="{8B07DCD0-0079-4051-B918-A43DA4DF6143}"/>
    <cellStyle name="20% - Accent6 2 3 6" xfId="2308" xr:uid="{00000000-0005-0000-0000-00005C030000}"/>
    <cellStyle name="20% - Accent6 2 3 6 2" xfId="6614" xr:uid="{00000000-0005-0000-0000-00005D030000}"/>
    <cellStyle name="20% - Accent6 2 3 6 2 2" xfId="15940" xr:uid="{FAB0A5FD-8660-4EFF-81CA-2BE9917659A7}"/>
    <cellStyle name="20% - Accent6 2 3 6 3" xfId="11723" xr:uid="{BD54202D-F32F-443C-A842-3E85D9ECD649}"/>
    <cellStyle name="20% - Accent6 2 3 7" xfId="4548" xr:uid="{00000000-0005-0000-0000-00005E030000}"/>
    <cellStyle name="20% - Accent6 2 3 7 2" xfId="13874" xr:uid="{284E6BAE-FEA4-4757-9523-19019CB84AD9}"/>
    <cellStyle name="20% - Accent6 2 3 8" xfId="9002" xr:uid="{F69877AB-868C-474F-8F88-C5F2F1F2C041}"/>
    <cellStyle name="20% - Accent6 2 3 9" xfId="9657" xr:uid="{0DFE5E74-CCB2-4B5E-8070-F069C4FA0661}"/>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F6497D81-B856-4993-B486-B76C0D498685}"/>
    <cellStyle name="20% - Accent6 2 4 2 3" xfId="12213" xr:uid="{F14E01B3-F0B6-477E-925B-AA1090DE25C0}"/>
    <cellStyle name="20% - Accent6 2 4 3" xfId="4959" xr:uid="{00000000-0005-0000-0000-000062030000}"/>
    <cellStyle name="20% - Accent6 2 4 3 2" xfId="14285" xr:uid="{E57AAE5E-7FC9-4A91-BB71-4A81E2444841}"/>
    <cellStyle name="20% - Accent6 2 4 4" xfId="9219" xr:uid="{C8AD75F8-261B-45C4-93F0-0E0A49EEEF79}"/>
    <cellStyle name="20% - Accent6 2 4 5" xfId="10068" xr:uid="{C63F8BE8-E4D5-401F-B8F0-4E01F959288E}"/>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E9742004-DCBB-4706-93E5-61CC2E84FA7B}"/>
    <cellStyle name="20% - Accent6 2 5 2 3" xfId="12626" xr:uid="{067F852C-CDD3-4D2F-A46A-B6689D46206F}"/>
    <cellStyle name="20% - Accent6 2 5 3" xfId="5372" xr:uid="{00000000-0005-0000-0000-000066030000}"/>
    <cellStyle name="20% - Accent6 2 5 3 2" xfId="14698" xr:uid="{39729840-EC22-4524-96D6-2AE6007CE2B6}"/>
    <cellStyle name="20% - Accent6 2 5 4" xfId="10481" xr:uid="{43B067A9-2E7E-47D8-B578-975937365ABD}"/>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91B01FA9-0F73-4127-8E44-4083B599CC31}"/>
    <cellStyle name="20% - Accent6 2 6 2 3" xfId="13039" xr:uid="{23928F54-6A22-43D3-85FF-A5FA47A7A778}"/>
    <cellStyle name="20% - Accent6 2 6 3" xfId="5785" xr:uid="{00000000-0005-0000-0000-00006A030000}"/>
    <cellStyle name="20% - Accent6 2 6 3 2" xfId="15111" xr:uid="{B1B08C89-F1C6-406B-851C-43CF2621AC53}"/>
    <cellStyle name="20% - Accent6 2 6 4" xfId="10894" xr:uid="{628F5E1E-9F07-48E4-ABF0-DF0A992B94B8}"/>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94669280-DCEC-4723-96C1-E375107AD2B0}"/>
    <cellStyle name="20% - Accent6 2 7 2 3" xfId="13452" xr:uid="{8D3FFE3C-A2B5-459E-88F9-FBD4539ED6F2}"/>
    <cellStyle name="20% - Accent6 2 7 3" xfId="6198" xr:uid="{00000000-0005-0000-0000-00006E030000}"/>
    <cellStyle name="20% - Accent6 2 7 3 2" xfId="15524" xr:uid="{28ADEBC6-2BB7-4373-9D56-C5AC6C273E17}"/>
    <cellStyle name="20% - Accent6 2 7 4" xfId="11307" xr:uid="{D73D2459-75FF-40B2-9F70-21574EE78426}"/>
    <cellStyle name="20% - Accent6 2 8" xfId="2305" xr:uid="{00000000-0005-0000-0000-00006F030000}"/>
    <cellStyle name="20% - Accent6 2 8 2" xfId="6611" xr:uid="{00000000-0005-0000-0000-000070030000}"/>
    <cellStyle name="20% - Accent6 2 8 2 2" xfId="15937" xr:uid="{E4B0A11F-7E46-42ED-AA0C-F60F11CF7820}"/>
    <cellStyle name="20% - Accent6 2 8 3" xfId="11720" xr:uid="{6340A42F-5B34-4B92-9DA6-78AF1899174F}"/>
    <cellStyle name="20% - Accent6 2 9" xfId="4545" xr:uid="{00000000-0005-0000-0000-000071030000}"/>
    <cellStyle name="20% - Accent6 2 9 2" xfId="13871" xr:uid="{BDDE432E-B6C0-4FDE-B938-DF9281405E5E}"/>
    <cellStyle name="20% - Accent6 3" xfId="46" xr:uid="{00000000-0005-0000-0000-000072030000}"/>
    <cellStyle name="20% - Accent6 3 10" xfId="9658" xr:uid="{DEF61095-3978-47DA-A05C-A3F94BAD6AF2}"/>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1BDE9B34-17D6-41CF-9D90-D24524B87482}"/>
    <cellStyle name="20% - Accent6 3 2 2 2 3" xfId="12218" xr:uid="{CF23A8AD-001C-4951-BC29-A6A0E3035073}"/>
    <cellStyle name="20% - Accent6 3 2 2 3" xfId="4964" xr:uid="{00000000-0005-0000-0000-000077030000}"/>
    <cellStyle name="20% - Accent6 3 2 2 3 2" xfId="14290" xr:uid="{E51F4230-C76A-4186-A080-D0143FF8630D}"/>
    <cellStyle name="20% - Accent6 3 2 2 4" xfId="9503" xr:uid="{A5A3EDF8-16EA-4A86-8795-C3BA46FE244A}"/>
    <cellStyle name="20% - Accent6 3 2 2 5" xfId="10073" xr:uid="{612C27EC-2125-4669-857A-C7B0E1B4DCAB}"/>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56C91539-2BF1-4F1D-AB89-D8D2A12CC56B}"/>
    <cellStyle name="20% - Accent6 3 2 3 2 3" xfId="12631" xr:uid="{A30540E3-7512-4A48-891F-8C71FB461AD3}"/>
    <cellStyle name="20% - Accent6 3 2 3 3" xfId="5377" xr:uid="{00000000-0005-0000-0000-00007B030000}"/>
    <cellStyle name="20% - Accent6 3 2 3 3 2" xfId="14703" xr:uid="{6E4720D3-03BD-4EB3-80DA-BAA1816E61A2}"/>
    <cellStyle name="20% - Accent6 3 2 3 4" xfId="10486" xr:uid="{0F5C939A-DDEE-4150-BF42-803DEF32DD66}"/>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F98923D7-5759-4279-A325-CC399E2947FF}"/>
    <cellStyle name="20% - Accent6 3 2 4 2 3" xfId="13044" xr:uid="{660D1BA6-F6CF-4414-AF70-F1B634DA56D6}"/>
    <cellStyle name="20% - Accent6 3 2 4 3" xfId="5790" xr:uid="{00000000-0005-0000-0000-00007F030000}"/>
    <cellStyle name="20% - Accent6 3 2 4 3 2" xfId="15116" xr:uid="{5E41DEC1-8D85-458F-BA4A-E3E0F980F0C0}"/>
    <cellStyle name="20% - Accent6 3 2 4 4" xfId="10899" xr:uid="{C68F97B4-2EBB-470F-97B0-8E3BBB59D3FF}"/>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8D5E7A3C-FE5D-42B0-B864-83121B5441C6}"/>
    <cellStyle name="20% - Accent6 3 2 5 2 3" xfId="13457" xr:uid="{F2156F2F-38F0-4D8A-8DE6-2EB2E67D4519}"/>
    <cellStyle name="20% - Accent6 3 2 5 3" xfId="6203" xr:uid="{00000000-0005-0000-0000-000083030000}"/>
    <cellStyle name="20% - Accent6 3 2 5 3 2" xfId="15529" xr:uid="{0E16E6C9-E2F6-4FD7-9BDA-A753E77BDCC3}"/>
    <cellStyle name="20% - Accent6 3 2 5 4" xfId="11312" xr:uid="{43C8ADD9-444A-4A75-B66F-9C79F25C7C15}"/>
    <cellStyle name="20% - Accent6 3 2 6" xfId="2310" xr:uid="{00000000-0005-0000-0000-000084030000}"/>
    <cellStyle name="20% - Accent6 3 2 6 2" xfId="6616" xr:uid="{00000000-0005-0000-0000-000085030000}"/>
    <cellStyle name="20% - Accent6 3 2 6 2 2" xfId="15942" xr:uid="{4FE94018-DAED-4419-B892-207642DB546E}"/>
    <cellStyle name="20% - Accent6 3 2 6 3" xfId="11725" xr:uid="{168494B1-8E59-400B-ACCD-705A711C2A6D}"/>
    <cellStyle name="20% - Accent6 3 2 7" xfId="4550" xr:uid="{00000000-0005-0000-0000-000086030000}"/>
    <cellStyle name="20% - Accent6 3 2 7 2" xfId="13876" xr:uid="{6C5D1EBA-785C-4EFA-9976-C725B9490A67}"/>
    <cellStyle name="20% - Accent6 3 2 8" xfId="9078" xr:uid="{55C63253-C10A-44F0-A9A1-D3E9AD1B1E77}"/>
    <cellStyle name="20% - Accent6 3 2 9" xfId="9659" xr:uid="{3227FDA9-87DD-475B-B304-F9A819E752FE}"/>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E4EA4E19-1730-4588-BC72-8F02E847B20A}"/>
    <cellStyle name="20% - Accent6 3 3 2 3" xfId="12217" xr:uid="{2CDD8E5A-58D9-474A-A89D-849ECB437EAB}"/>
    <cellStyle name="20% - Accent6 3 3 3" xfId="4963" xr:uid="{00000000-0005-0000-0000-00008A030000}"/>
    <cellStyle name="20% - Accent6 3 3 3 2" xfId="14289" xr:uid="{E1F41DBA-B4F3-49FB-A4B5-D28450ED3C89}"/>
    <cellStyle name="20% - Accent6 3 3 4" xfId="9296" xr:uid="{68DBDAD1-945F-459A-93CE-56D312D1EDE4}"/>
    <cellStyle name="20% - Accent6 3 3 5" xfId="10072" xr:uid="{FA335185-06F3-4508-85E0-EB5CFD3AC77F}"/>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92EA05D4-7EC2-4947-A027-9A52EFFD903C}"/>
    <cellStyle name="20% - Accent6 3 4 2 3" xfId="12630" xr:uid="{B16DE64E-1CA8-47E0-8601-7C9333EF4E45}"/>
    <cellStyle name="20% - Accent6 3 4 3" xfId="5376" xr:uid="{00000000-0005-0000-0000-00008E030000}"/>
    <cellStyle name="20% - Accent6 3 4 3 2" xfId="14702" xr:uid="{007AB3E6-3645-4ECC-9130-7BAE0DA87B77}"/>
    <cellStyle name="20% - Accent6 3 4 4" xfId="10485" xr:uid="{08BF980A-8F91-414B-BE8C-4359FA47434F}"/>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54C77BE4-96D0-46A5-82D1-00D9BFEEDD94}"/>
    <cellStyle name="20% - Accent6 3 5 2 3" xfId="13043" xr:uid="{E76D16B3-02E6-446D-9C3A-9C2E89603D73}"/>
    <cellStyle name="20% - Accent6 3 5 3" xfId="5789" xr:uid="{00000000-0005-0000-0000-000092030000}"/>
    <cellStyle name="20% - Accent6 3 5 3 2" xfId="15115" xr:uid="{861EA09D-D7D0-45D5-A77A-22457284E5BE}"/>
    <cellStyle name="20% - Accent6 3 5 4" xfId="10898" xr:uid="{4E2A3E55-F32C-405C-89DB-C42C68C3219C}"/>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145CDB23-2F47-47C8-A6F0-681396021A57}"/>
    <cellStyle name="20% - Accent6 3 6 2 3" xfId="13456" xr:uid="{F83A35A3-59FB-43B7-89C2-C5F1535940A5}"/>
    <cellStyle name="20% - Accent6 3 6 3" xfId="6202" xr:uid="{00000000-0005-0000-0000-000096030000}"/>
    <cellStyle name="20% - Accent6 3 6 3 2" xfId="15528" xr:uid="{B6264764-5346-4180-9D79-F97CF52F6252}"/>
    <cellStyle name="20% - Accent6 3 6 4" xfId="11311" xr:uid="{07D64EEE-8DBF-4AFE-B025-A251B38A315A}"/>
    <cellStyle name="20% - Accent6 3 7" xfId="2309" xr:uid="{00000000-0005-0000-0000-000097030000}"/>
    <cellStyle name="20% - Accent6 3 7 2" xfId="6615" xr:uid="{00000000-0005-0000-0000-000098030000}"/>
    <cellStyle name="20% - Accent6 3 7 2 2" xfId="15941" xr:uid="{82A9D9A4-B0BC-4862-8BDF-F64A8EC9E68F}"/>
    <cellStyle name="20% - Accent6 3 7 3" xfId="11724" xr:uid="{D45A650C-15AA-4D77-80A8-2EA9480BA7A1}"/>
    <cellStyle name="20% - Accent6 3 8" xfId="4549" xr:uid="{00000000-0005-0000-0000-000099030000}"/>
    <cellStyle name="20% - Accent6 3 8 2" xfId="13875" xr:uid="{E40381C8-44B2-4216-9927-E17C4E973F9D}"/>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6C4FFA18-984D-41C1-89FB-1C3404430739}"/>
    <cellStyle name="20% - Accent6 4 2 2 3" xfId="12219" xr:uid="{81173B97-59BE-48FF-B21B-BC078BB84B55}"/>
    <cellStyle name="20% - Accent6 4 2 3" xfId="4965" xr:uid="{00000000-0005-0000-0000-00009E030000}"/>
    <cellStyle name="20% - Accent6 4 2 3 2" xfId="14291" xr:uid="{ED305101-7B48-4E0C-BF09-6DD21B72D7B6}"/>
    <cellStyle name="20% - Accent6 4 2 4" xfId="9382" xr:uid="{704ED43C-A59A-4E80-A03F-B933767E3A55}"/>
    <cellStyle name="20% - Accent6 4 2 5" xfId="10074" xr:uid="{6C319AAC-8759-471E-A21C-66D5969DA4AC}"/>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04FBC572-E120-4527-82AF-BF0F0AE112CA}"/>
    <cellStyle name="20% - Accent6 4 3 2 3" xfId="12632" xr:uid="{B3201621-9FF6-462D-81A2-BABA2015EC66}"/>
    <cellStyle name="20% - Accent6 4 3 3" xfId="5378" xr:uid="{00000000-0005-0000-0000-0000A2030000}"/>
    <cellStyle name="20% - Accent6 4 3 3 2" xfId="14704" xr:uid="{114B139F-834C-4296-A538-82997632AE0A}"/>
    <cellStyle name="20% - Accent6 4 3 4" xfId="10487" xr:uid="{86245B94-8D3E-4410-8FBC-CBB563ADF961}"/>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93D53A31-3F0C-43E6-8095-E3DC3141AABC}"/>
    <cellStyle name="20% - Accent6 4 4 2 3" xfId="13045" xr:uid="{15DD518A-E0D5-46EA-A790-EE3B9FE0866C}"/>
    <cellStyle name="20% - Accent6 4 4 3" xfId="5791" xr:uid="{00000000-0005-0000-0000-0000A6030000}"/>
    <cellStyle name="20% - Accent6 4 4 3 2" xfId="15117" xr:uid="{E3224873-3DA3-4493-86B8-CB4BB9FDB0FE}"/>
    <cellStyle name="20% - Accent6 4 4 4" xfId="10900" xr:uid="{C7C59147-C8C4-45FC-BCB7-24AC16155FD4}"/>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1E4D9170-F913-4229-9ACF-13B6C006E56E}"/>
    <cellStyle name="20% - Accent6 4 5 2 3" xfId="13458" xr:uid="{73DCD877-2F97-4C71-8719-75E5ED52D024}"/>
    <cellStyle name="20% - Accent6 4 5 3" xfId="6204" xr:uid="{00000000-0005-0000-0000-0000AA030000}"/>
    <cellStyle name="20% - Accent6 4 5 3 2" xfId="15530" xr:uid="{4680738F-7E7E-4F58-AD3F-76EE547A830E}"/>
    <cellStyle name="20% - Accent6 4 5 4" xfId="11313" xr:uid="{5B3AC1C9-A5DF-4E8E-907C-96FA56CDA444}"/>
    <cellStyle name="20% - Accent6 4 6" xfId="2311" xr:uid="{00000000-0005-0000-0000-0000AB030000}"/>
    <cellStyle name="20% - Accent6 4 6 2" xfId="6617" xr:uid="{00000000-0005-0000-0000-0000AC030000}"/>
    <cellStyle name="20% - Accent6 4 6 2 2" xfId="15943" xr:uid="{A8A530AF-6A32-4E7E-ADBC-B6A49778B6B7}"/>
    <cellStyle name="20% - Accent6 4 6 3" xfId="11726" xr:uid="{12404886-AAC6-4A7D-BF72-A4BE217070B4}"/>
    <cellStyle name="20% - Accent6 4 7" xfId="4551" xr:uid="{00000000-0005-0000-0000-0000AD030000}"/>
    <cellStyle name="20% - Accent6 4 7 2" xfId="13877" xr:uid="{C396BEAE-A541-4F56-A5DD-1399BE327ADD}"/>
    <cellStyle name="20% - Accent6 4 8" xfId="8957" xr:uid="{03E1DA3A-6A3F-4C0D-9844-2D38E7BA13BC}"/>
    <cellStyle name="20% - Accent6 4 9" xfId="9660" xr:uid="{3036297B-CD73-458E-BA53-82ECD2101C5E}"/>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3D9880D5-15A4-4916-8316-CFA9929860E0}"/>
    <cellStyle name="20% - Accent6 5 2 3" xfId="12212" xr:uid="{AE39112E-722F-4DAC-AD71-04B11400EECC}"/>
    <cellStyle name="20% - Accent6 5 3" xfId="4958" xr:uid="{00000000-0005-0000-0000-0000B1030000}"/>
    <cellStyle name="20% - Accent6 5 3 2" xfId="14284" xr:uid="{354B686D-4A79-4DE8-883E-4D49D0220921}"/>
    <cellStyle name="20% - Accent6 5 4" xfId="9191" xr:uid="{C812E2E5-5572-4E86-9CB6-C7C53792C044}"/>
    <cellStyle name="20% - Accent6 5 5" xfId="10067" xr:uid="{DB193E0C-94DD-4CFF-9CBE-651025243864}"/>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1233B9A8-1543-4546-AD95-7876BCCFB6FE}"/>
    <cellStyle name="20% - Accent6 6 2 3" xfId="12625" xr:uid="{64D215EA-82A5-4E84-9B5B-57862D09FF43}"/>
    <cellStyle name="20% - Accent6 6 3" xfId="5371" xr:uid="{00000000-0005-0000-0000-0000B5030000}"/>
    <cellStyle name="20% - Accent6 6 3 2" xfId="14697" xr:uid="{F7B2473D-5FDF-4BED-9C5C-FEA33214C927}"/>
    <cellStyle name="20% - Accent6 6 4" xfId="10480" xr:uid="{73A2FA2B-82DA-4CE5-90F2-62BBD2D4AA08}"/>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2530915C-76F3-4A8F-A7CC-A9E4FFB49E79}"/>
    <cellStyle name="20% - Accent6 7 2 3" xfId="13038" xr:uid="{0C223115-7918-42FD-9803-76F146C0BFEF}"/>
    <cellStyle name="20% - Accent6 7 3" xfId="5784" xr:uid="{00000000-0005-0000-0000-0000B9030000}"/>
    <cellStyle name="20% - Accent6 7 3 2" xfId="15110" xr:uid="{EE0603CB-738D-4FC7-91BF-804D3F213730}"/>
    <cellStyle name="20% - Accent6 7 4" xfId="10893" xr:uid="{8C409A15-D82D-41C2-93B4-84D7EA3ED9C6}"/>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06A3DD56-5DDB-464A-9AA1-10959875B089}"/>
    <cellStyle name="20% - Accent6 8 2 3" xfId="13451" xr:uid="{0909EE94-E25B-4FB6-ACEC-677C645FC9B5}"/>
    <cellStyle name="20% - Accent6 8 3" xfId="6197" xr:uid="{00000000-0005-0000-0000-0000BD030000}"/>
    <cellStyle name="20% - Accent6 8 3 2" xfId="15523" xr:uid="{470B20F0-8775-458A-BE14-6804B8DF7545}"/>
    <cellStyle name="20% - Accent6 8 4" xfId="11306" xr:uid="{2C57F445-D043-448A-8C3F-1314BF572FAB}"/>
    <cellStyle name="20% - Accent6 9" xfId="2304" xr:uid="{00000000-0005-0000-0000-0000BE030000}"/>
    <cellStyle name="20% - Accent6 9 2" xfId="6610" xr:uid="{00000000-0005-0000-0000-0000BF030000}"/>
    <cellStyle name="20% - Accent6 9 2 2" xfId="15936" xr:uid="{EB8B8D9B-4F8B-4EF4-8A5B-7296D9602B3B}"/>
    <cellStyle name="20% - Accent6 9 3" xfId="11719" xr:uid="{CEA8C16C-1F35-4595-8C3A-E27793359261}"/>
    <cellStyle name="40% - Accent1" xfId="49" builtinId="31" customBuiltin="1"/>
    <cellStyle name="40% - Accent1 10" xfId="4552" xr:uid="{00000000-0005-0000-0000-0000C1030000}"/>
    <cellStyle name="40% - Accent1 10 2" xfId="13878" xr:uid="{17971279-F9DD-478F-9ADF-9F32319BD044}"/>
    <cellStyle name="40% - Accent1 11" xfId="8759" xr:uid="{E0AA4078-00FF-4C00-81ED-1F048AC6C533}"/>
    <cellStyle name="40% - Accent1 12" xfId="9661" xr:uid="{37DA654F-7099-4317-B595-9DC8B27000F4}"/>
    <cellStyle name="40% - Accent1 2" xfId="50" xr:uid="{00000000-0005-0000-0000-0000C2030000}"/>
    <cellStyle name="40% - Accent1 2 10" xfId="8798" xr:uid="{82026451-631C-40CA-BC49-BE5DA2EA921A}"/>
    <cellStyle name="40% - Accent1 2 11" xfId="9662" xr:uid="{30EF7105-C283-4669-91C5-E49481A5B74B}"/>
    <cellStyle name="40% - Accent1 2 2" xfId="51" xr:uid="{00000000-0005-0000-0000-0000C3030000}"/>
    <cellStyle name="40% - Accent1 2 2 10" xfId="9663" xr:uid="{E7DFEE22-047D-44AB-BCA5-B5BE15C9FBF3}"/>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A1516D66-45AA-45DF-B394-77AD7AA41ABC}"/>
    <cellStyle name="40% - Accent1 2 2 2 2 2 3" xfId="12223" xr:uid="{47B6F706-C358-404B-9277-5F8ECF4E5CC3}"/>
    <cellStyle name="40% - Accent1 2 2 2 2 3" xfId="4969" xr:uid="{00000000-0005-0000-0000-0000C8030000}"/>
    <cellStyle name="40% - Accent1 2 2 2 2 3 2" xfId="14295" xr:uid="{D8161378-72AF-476F-ADAF-1E850EB304F3}"/>
    <cellStyle name="40% - Accent1 2 2 2 2 4" xfId="9533" xr:uid="{757B5AC4-115E-4B90-B4EA-505C31F9B178}"/>
    <cellStyle name="40% - Accent1 2 2 2 2 5" xfId="10078" xr:uid="{9129CF53-EF42-4C92-819C-9ED5C2147EBD}"/>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07ADECA7-77B6-4A91-B509-B3392A7234C9}"/>
    <cellStyle name="40% - Accent1 2 2 2 3 2 3" xfId="12636" xr:uid="{E4B69C0B-480F-4363-96E8-523531D2B1FB}"/>
    <cellStyle name="40% - Accent1 2 2 2 3 3" xfId="5382" xr:uid="{00000000-0005-0000-0000-0000CC030000}"/>
    <cellStyle name="40% - Accent1 2 2 2 3 3 2" xfId="14708" xr:uid="{E4F3756B-DD10-499A-8834-5C039B32A97D}"/>
    <cellStyle name="40% - Accent1 2 2 2 3 4" xfId="10491" xr:uid="{C392F558-B505-41A4-8743-ED67A6B1E0B1}"/>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7D154ABF-8F48-4528-B8CA-26E913F4BA6B}"/>
    <cellStyle name="40% - Accent1 2 2 2 4 2 3" xfId="13049" xr:uid="{DFFDD94C-6FC2-4203-A373-37ED9AF126CE}"/>
    <cellStyle name="40% - Accent1 2 2 2 4 3" xfId="5795" xr:uid="{00000000-0005-0000-0000-0000D0030000}"/>
    <cellStyle name="40% - Accent1 2 2 2 4 3 2" xfId="15121" xr:uid="{73F57ACB-0209-4099-AECE-AC683B494C1F}"/>
    <cellStyle name="40% - Accent1 2 2 2 4 4" xfId="10904" xr:uid="{68BF98FE-BB5D-4D1D-8826-85DFB804759E}"/>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608BD0BB-701E-4B16-AA3E-424E4AD710AE}"/>
    <cellStyle name="40% - Accent1 2 2 2 5 2 3" xfId="13462" xr:uid="{9A7C29FF-7098-4C52-8172-2BA680B69F82}"/>
    <cellStyle name="40% - Accent1 2 2 2 5 3" xfId="6208" xr:uid="{00000000-0005-0000-0000-0000D4030000}"/>
    <cellStyle name="40% - Accent1 2 2 2 5 3 2" xfId="15534" xr:uid="{944C713B-5AD9-4498-A376-CD6CD362EE71}"/>
    <cellStyle name="40% - Accent1 2 2 2 5 4" xfId="11317" xr:uid="{988F7877-5BD8-4FFB-952F-BF392BE50192}"/>
    <cellStyle name="40% - Accent1 2 2 2 6" xfId="2315" xr:uid="{00000000-0005-0000-0000-0000D5030000}"/>
    <cellStyle name="40% - Accent1 2 2 2 6 2" xfId="6621" xr:uid="{00000000-0005-0000-0000-0000D6030000}"/>
    <cellStyle name="40% - Accent1 2 2 2 6 2 2" xfId="15947" xr:uid="{815452D4-5EA8-4310-9F22-AE29BA53912E}"/>
    <cellStyle name="40% - Accent1 2 2 2 6 3" xfId="11730" xr:uid="{7B7FAA40-3B3E-4E9B-A422-C80F5FD00E14}"/>
    <cellStyle name="40% - Accent1 2 2 2 7" xfId="4555" xr:uid="{00000000-0005-0000-0000-0000D7030000}"/>
    <cellStyle name="40% - Accent1 2 2 2 7 2" xfId="13881" xr:uid="{07FB9F85-3E18-4897-92BE-91F7F3BB9460}"/>
    <cellStyle name="40% - Accent1 2 2 2 8" xfId="9108" xr:uid="{1189B5E8-DD3C-4F9A-ACD3-DB853C0AC60B}"/>
    <cellStyle name="40% - Accent1 2 2 2 9" xfId="9664" xr:uid="{6BE362E5-C8B5-4311-825A-BE5D2CBC4947}"/>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2E0E39EA-AD70-45B2-9BD5-20DC5349D25E}"/>
    <cellStyle name="40% - Accent1 2 2 3 2 3" xfId="12222" xr:uid="{5864C80A-230F-44DC-AB34-066F5D16C46A}"/>
    <cellStyle name="40% - Accent1 2 2 3 3" xfId="4968" xr:uid="{00000000-0005-0000-0000-0000DB030000}"/>
    <cellStyle name="40% - Accent1 2 2 3 3 2" xfId="14294" xr:uid="{0F076F91-BF3B-4C7E-8D89-E0F8AEA5CC75}"/>
    <cellStyle name="40% - Accent1 2 2 3 4" xfId="9326" xr:uid="{6D693950-F4D3-4A82-8C01-49E2379281D4}"/>
    <cellStyle name="40% - Accent1 2 2 3 5" xfId="10077" xr:uid="{805F793E-9DB1-4018-9F42-BF3C56027D10}"/>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5B3F7FDA-E496-4B3A-B4DC-9D4040745CA5}"/>
    <cellStyle name="40% - Accent1 2 2 4 2 3" xfId="12635" xr:uid="{E1021550-8D1B-4AF4-95E3-E729510E4CEE}"/>
    <cellStyle name="40% - Accent1 2 2 4 3" xfId="5381" xr:uid="{00000000-0005-0000-0000-0000DF030000}"/>
    <cellStyle name="40% - Accent1 2 2 4 3 2" xfId="14707" xr:uid="{E4606D81-6E70-43A0-BFC8-E7739343B2A7}"/>
    <cellStyle name="40% - Accent1 2 2 4 4" xfId="10490" xr:uid="{09CDEFF4-BB7A-4890-A69D-3A5BE13B28B7}"/>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CD3B086A-44B3-4D61-8E23-2D9BF81034C6}"/>
    <cellStyle name="40% - Accent1 2 2 5 2 3" xfId="13048" xr:uid="{AA34CD95-6FC0-44A7-8120-DFE35AD677DD}"/>
    <cellStyle name="40% - Accent1 2 2 5 3" xfId="5794" xr:uid="{00000000-0005-0000-0000-0000E3030000}"/>
    <cellStyle name="40% - Accent1 2 2 5 3 2" xfId="15120" xr:uid="{B8BC3265-7B26-455D-947D-F241332187B6}"/>
    <cellStyle name="40% - Accent1 2 2 5 4" xfId="10903" xr:uid="{0D9F022B-4929-46E0-AD31-7FEEA4AE2742}"/>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2D91560F-BBF7-4A7D-8171-2283A73C0A0F}"/>
    <cellStyle name="40% - Accent1 2 2 6 2 3" xfId="13461" xr:uid="{3FD1A0DB-B13E-4711-84FF-290C11A7C9F5}"/>
    <cellStyle name="40% - Accent1 2 2 6 3" xfId="6207" xr:uid="{00000000-0005-0000-0000-0000E7030000}"/>
    <cellStyle name="40% - Accent1 2 2 6 3 2" xfId="15533" xr:uid="{0BC7BC80-02D7-4C14-9F9E-C79DD9BD6B72}"/>
    <cellStyle name="40% - Accent1 2 2 6 4" xfId="11316" xr:uid="{FA9982AA-CA77-4821-8976-D9C509D4C6A3}"/>
    <cellStyle name="40% - Accent1 2 2 7" xfId="2314" xr:uid="{00000000-0005-0000-0000-0000E8030000}"/>
    <cellStyle name="40% - Accent1 2 2 7 2" xfId="6620" xr:uid="{00000000-0005-0000-0000-0000E9030000}"/>
    <cellStyle name="40% - Accent1 2 2 7 2 2" xfId="15946" xr:uid="{BBF73BEB-92C7-419D-B166-D6D5282A5BC8}"/>
    <cellStyle name="40% - Accent1 2 2 7 3" xfId="11729" xr:uid="{949B82D6-3FAA-43CD-9404-6EF8A1C8EA0D}"/>
    <cellStyle name="40% - Accent1 2 2 8" xfId="4554" xr:uid="{00000000-0005-0000-0000-0000EA030000}"/>
    <cellStyle name="40% - Accent1 2 2 8 2" xfId="13880" xr:uid="{78C6D3EA-160B-4036-9907-099B0F5E2718}"/>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D458FF79-73D1-4F60-9924-2619A2205F6F}"/>
    <cellStyle name="40% - Accent1 2 3 2 2 3" xfId="12224" xr:uid="{C39E63A8-A56D-463A-A0F8-F88499B397CE}"/>
    <cellStyle name="40% - Accent1 2 3 2 3" xfId="4970" xr:uid="{00000000-0005-0000-0000-0000EF030000}"/>
    <cellStyle name="40% - Accent1 2 3 2 3 2" xfId="14296" xr:uid="{2A040F7D-A6B6-4811-8172-B48BDC3E4B8F}"/>
    <cellStyle name="40% - Accent1 2 3 2 4" xfId="9430" xr:uid="{C79D1FB2-141C-4301-8F37-B3B9643C0550}"/>
    <cellStyle name="40% - Accent1 2 3 2 5" xfId="10079" xr:uid="{FD7C248C-40DB-46D1-9630-80693DD1212D}"/>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679084A0-0D5A-4190-8781-A55A5FB8F556}"/>
    <cellStyle name="40% - Accent1 2 3 3 2 3" xfId="12637" xr:uid="{59D08B17-A1D0-4DBE-9516-98BDE8DF0533}"/>
    <cellStyle name="40% - Accent1 2 3 3 3" xfId="5383" xr:uid="{00000000-0005-0000-0000-0000F3030000}"/>
    <cellStyle name="40% - Accent1 2 3 3 3 2" xfId="14709" xr:uid="{465B1A21-2582-4107-BE9A-F25675BF2558}"/>
    <cellStyle name="40% - Accent1 2 3 3 4" xfId="10492" xr:uid="{5CCB6EE4-7AD5-4B4D-88DA-92A921CA5059}"/>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C40F2C3E-4ED2-46D7-AF1A-4952DA411308}"/>
    <cellStyle name="40% - Accent1 2 3 4 2 3" xfId="13050" xr:uid="{B0E56AF9-CABA-4667-AD84-F27BE5F82717}"/>
    <cellStyle name="40% - Accent1 2 3 4 3" xfId="5796" xr:uid="{00000000-0005-0000-0000-0000F7030000}"/>
    <cellStyle name="40% - Accent1 2 3 4 3 2" xfId="15122" xr:uid="{DAF5C9EB-73C4-4824-BD67-6022BF7B7D2F}"/>
    <cellStyle name="40% - Accent1 2 3 4 4" xfId="10905" xr:uid="{A91EDBE4-3711-4D59-8043-C7059283F5BD}"/>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655F5B18-17F6-45FB-AD78-84E16971CBA5}"/>
    <cellStyle name="40% - Accent1 2 3 5 2 3" xfId="13463" xr:uid="{6EF1C1D8-97C5-487A-B29E-0F29937E7FCD}"/>
    <cellStyle name="40% - Accent1 2 3 5 3" xfId="6209" xr:uid="{00000000-0005-0000-0000-0000FB030000}"/>
    <cellStyle name="40% - Accent1 2 3 5 3 2" xfId="15535" xr:uid="{0A4F49C4-EBFC-4871-8DC0-3D68B1594AAE}"/>
    <cellStyle name="40% - Accent1 2 3 5 4" xfId="11318" xr:uid="{334BBF82-58AF-4BFC-B493-DBA8DC1C6A68}"/>
    <cellStyle name="40% - Accent1 2 3 6" xfId="2316" xr:uid="{00000000-0005-0000-0000-0000FC030000}"/>
    <cellStyle name="40% - Accent1 2 3 6 2" xfId="6622" xr:uid="{00000000-0005-0000-0000-0000FD030000}"/>
    <cellStyle name="40% - Accent1 2 3 6 2 2" xfId="15948" xr:uid="{1457D5D0-E4F4-44B2-A380-AD28F34CE6B0}"/>
    <cellStyle name="40% - Accent1 2 3 6 3" xfId="11731" xr:uid="{FB49CB5F-043B-41EC-BFA2-2ACD3F6908DA}"/>
    <cellStyle name="40% - Accent1 2 3 7" xfId="4556" xr:uid="{00000000-0005-0000-0000-0000FE030000}"/>
    <cellStyle name="40% - Accent1 2 3 7 2" xfId="13882" xr:uid="{D77B36F9-B8A0-4583-8309-CF5065CCD0B1}"/>
    <cellStyle name="40% - Accent1 2 3 8" xfId="9005" xr:uid="{83AF69B9-664F-4E19-B721-7989C2FEBC0C}"/>
    <cellStyle name="40% - Accent1 2 3 9" xfId="9665" xr:uid="{DC68AE58-C3CD-48C5-9B6E-5E3446AE3970}"/>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3E8A864B-459C-4350-8912-D66460BD6497}"/>
    <cellStyle name="40% - Accent1 2 4 2 3" xfId="12221" xr:uid="{9F5C92E1-31F2-41B5-B7A4-7997B03B5BF0}"/>
    <cellStyle name="40% - Accent1 2 4 3" xfId="4967" xr:uid="{00000000-0005-0000-0000-000002040000}"/>
    <cellStyle name="40% - Accent1 2 4 3 2" xfId="14293" xr:uid="{06A095C3-D6C3-4529-AC2D-C959D66F142C}"/>
    <cellStyle name="40% - Accent1 2 4 4" xfId="9222" xr:uid="{A6B83122-AC98-4E58-AA4D-EC5ECC38FC6B}"/>
    <cellStyle name="40% - Accent1 2 4 5" xfId="10076" xr:uid="{F1669EB7-45DA-4EFC-ABCB-F8FF7DFEDA6B}"/>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83B5D0D0-0963-41B5-94C4-33E9DE5D30B4}"/>
    <cellStyle name="40% - Accent1 2 5 2 3" xfId="12634" xr:uid="{FFEE7F74-8279-4488-8F70-1905AAF285D8}"/>
    <cellStyle name="40% - Accent1 2 5 3" xfId="5380" xr:uid="{00000000-0005-0000-0000-000006040000}"/>
    <cellStyle name="40% - Accent1 2 5 3 2" xfId="14706" xr:uid="{3BC5B166-43A3-4221-948A-CC4B27147F5D}"/>
    <cellStyle name="40% - Accent1 2 5 4" xfId="10489" xr:uid="{7A967FEC-72FD-4843-B45C-2C347E0EA43B}"/>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5C4E6F85-0CF3-4CD1-A57E-0EBAACD0BE11}"/>
    <cellStyle name="40% - Accent1 2 6 2 3" xfId="13047" xr:uid="{72176C34-FF2C-4C51-A0D3-A4D27F6F8D22}"/>
    <cellStyle name="40% - Accent1 2 6 3" xfId="5793" xr:uid="{00000000-0005-0000-0000-00000A040000}"/>
    <cellStyle name="40% - Accent1 2 6 3 2" xfId="15119" xr:uid="{047E057D-7A0D-4666-A11F-BE14BEB35C44}"/>
    <cellStyle name="40% - Accent1 2 6 4" xfId="10902" xr:uid="{45096BA1-9F7E-47DA-93B4-FAD3086DD998}"/>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DEC26266-577D-4DD5-9508-006BB3C45E25}"/>
    <cellStyle name="40% - Accent1 2 7 2 3" xfId="13460" xr:uid="{E45534EB-BAA5-4BBD-95F1-703468B82C50}"/>
    <cellStyle name="40% - Accent1 2 7 3" xfId="6206" xr:uid="{00000000-0005-0000-0000-00000E040000}"/>
    <cellStyle name="40% - Accent1 2 7 3 2" xfId="15532" xr:uid="{11329340-33D0-4119-A83E-BDA6B1446449}"/>
    <cellStyle name="40% - Accent1 2 7 4" xfId="11315" xr:uid="{F9307AA0-C3EF-434E-A3BD-F0DFD9723650}"/>
    <cellStyle name="40% - Accent1 2 8" xfId="2313" xr:uid="{00000000-0005-0000-0000-00000F040000}"/>
    <cellStyle name="40% - Accent1 2 8 2" xfId="6619" xr:uid="{00000000-0005-0000-0000-000010040000}"/>
    <cellStyle name="40% - Accent1 2 8 2 2" xfId="15945" xr:uid="{A8CC0F7D-CC06-40DD-B151-48485B1A64C0}"/>
    <cellStyle name="40% - Accent1 2 8 3" xfId="11728" xr:uid="{8DB7EA6C-B202-45B1-8BB8-04E37841A1DD}"/>
    <cellStyle name="40% - Accent1 2 9" xfId="4553" xr:uid="{00000000-0005-0000-0000-000011040000}"/>
    <cellStyle name="40% - Accent1 2 9 2" xfId="13879" xr:uid="{AD70531C-CE93-4E63-9E90-AA8502ACF676}"/>
    <cellStyle name="40% - Accent1 3" xfId="54" xr:uid="{00000000-0005-0000-0000-000012040000}"/>
    <cellStyle name="40% - Accent1 3 10" xfId="9666" xr:uid="{BB5E8F75-5037-4C69-B93C-FDF4FF8E68DD}"/>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78B082E3-EB25-4B04-8815-451D53717314}"/>
    <cellStyle name="40% - Accent1 3 2 2 2 3" xfId="12226" xr:uid="{0F598AD4-0315-4E0A-A66B-D45DF305A16C}"/>
    <cellStyle name="40% - Accent1 3 2 2 3" xfId="4972" xr:uid="{00000000-0005-0000-0000-000017040000}"/>
    <cellStyle name="40% - Accent1 3 2 2 3 2" xfId="14298" xr:uid="{08F4BC95-A8A0-460F-B91F-E4CDCE52F8CB}"/>
    <cellStyle name="40% - Accent1 3 2 2 4" xfId="9494" xr:uid="{49092FA9-F337-44E8-98C8-15711B1C1558}"/>
    <cellStyle name="40% - Accent1 3 2 2 5" xfId="10081" xr:uid="{CB069FEF-44B1-40D6-B007-5B328D3EE4E5}"/>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D93866C7-CF33-4440-B74A-E48BF2675434}"/>
    <cellStyle name="40% - Accent1 3 2 3 2 3" xfId="12639" xr:uid="{16BFFFBE-361C-4E2D-93A9-5998760BB70F}"/>
    <cellStyle name="40% - Accent1 3 2 3 3" xfId="5385" xr:uid="{00000000-0005-0000-0000-00001B040000}"/>
    <cellStyle name="40% - Accent1 3 2 3 3 2" xfId="14711" xr:uid="{3451C41B-EB0B-4124-9397-7B8105950814}"/>
    <cellStyle name="40% - Accent1 3 2 3 4" xfId="10494" xr:uid="{1FCFC556-C1C3-41A8-B1DD-683EC5E0A9BE}"/>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2D992F56-DA98-4622-805A-A385F91FA0BC}"/>
    <cellStyle name="40% - Accent1 3 2 4 2 3" xfId="13052" xr:uid="{1653A9FC-0AB6-49CD-BADB-541AA9547116}"/>
    <cellStyle name="40% - Accent1 3 2 4 3" xfId="5798" xr:uid="{00000000-0005-0000-0000-00001F040000}"/>
    <cellStyle name="40% - Accent1 3 2 4 3 2" xfId="15124" xr:uid="{C179ACC5-3776-471A-83C2-3661873E0409}"/>
    <cellStyle name="40% - Accent1 3 2 4 4" xfId="10907" xr:uid="{D2B7225B-3F46-4D81-9752-E5CF0D292DD9}"/>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C144E599-5FF9-40E4-8852-A0412AA51BF2}"/>
    <cellStyle name="40% - Accent1 3 2 5 2 3" xfId="13465" xr:uid="{603253AB-05B3-4D46-A9F2-18459F1DAA6E}"/>
    <cellStyle name="40% - Accent1 3 2 5 3" xfId="6211" xr:uid="{00000000-0005-0000-0000-000023040000}"/>
    <cellStyle name="40% - Accent1 3 2 5 3 2" xfId="15537" xr:uid="{30BB70AB-5DBB-4D43-9723-FCF4923E921F}"/>
    <cellStyle name="40% - Accent1 3 2 5 4" xfId="11320" xr:uid="{4629FABA-727B-4BBA-9690-4872F33FA4DE}"/>
    <cellStyle name="40% - Accent1 3 2 6" xfId="2318" xr:uid="{00000000-0005-0000-0000-000024040000}"/>
    <cellStyle name="40% - Accent1 3 2 6 2" xfId="6624" xr:uid="{00000000-0005-0000-0000-000025040000}"/>
    <cellStyle name="40% - Accent1 3 2 6 2 2" xfId="15950" xr:uid="{88549955-E830-4561-BDCC-97AAAB294474}"/>
    <cellStyle name="40% - Accent1 3 2 6 3" xfId="11733" xr:uid="{85F0716C-8B41-4C6B-B2CD-F2D1CFB23E57}"/>
    <cellStyle name="40% - Accent1 3 2 7" xfId="4558" xr:uid="{00000000-0005-0000-0000-000026040000}"/>
    <cellStyle name="40% - Accent1 3 2 7 2" xfId="13884" xr:uid="{2C66B981-54F8-4F5C-A141-E477736AF821}"/>
    <cellStyle name="40% - Accent1 3 2 8" xfId="9069" xr:uid="{F3D9FD63-8946-4492-B81A-42936E8B246D}"/>
    <cellStyle name="40% - Accent1 3 2 9" xfId="9667" xr:uid="{7021D2DD-FA01-411C-B7C2-008E9529D095}"/>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66AB2F87-B88D-4BAC-8C7E-3BE8063E256E}"/>
    <cellStyle name="40% - Accent1 3 3 2 3" xfId="12225" xr:uid="{B3D75260-D076-4AF9-8E9F-76ACC6846A15}"/>
    <cellStyle name="40% - Accent1 3 3 3" xfId="4971" xr:uid="{00000000-0005-0000-0000-00002A040000}"/>
    <cellStyle name="40% - Accent1 3 3 3 2" xfId="14297" xr:uid="{8BF7C9C7-420A-4713-A3FF-B7D70BAF0C55}"/>
    <cellStyle name="40% - Accent1 3 3 4" xfId="9287" xr:uid="{8C21B573-3D31-49DA-ACD8-D3EC7CC3A858}"/>
    <cellStyle name="40% - Accent1 3 3 5" xfId="10080" xr:uid="{564C4D28-62F0-4133-81AC-E361EAF64ACA}"/>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8F7F15FA-B96B-4F08-8C50-874160EBFFD8}"/>
    <cellStyle name="40% - Accent1 3 4 2 3" xfId="12638" xr:uid="{7EAC0047-724B-4D22-B54E-A5900A517E1D}"/>
    <cellStyle name="40% - Accent1 3 4 3" xfId="5384" xr:uid="{00000000-0005-0000-0000-00002E040000}"/>
    <cellStyle name="40% - Accent1 3 4 3 2" xfId="14710" xr:uid="{CBF3DC8F-361F-46EC-A178-1732FEE4B90E}"/>
    <cellStyle name="40% - Accent1 3 4 4" xfId="10493" xr:uid="{3AA0A468-D9DD-4BA1-B996-41073452206E}"/>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981C4AE0-0E8E-4C3B-857C-6B0477307F66}"/>
    <cellStyle name="40% - Accent1 3 5 2 3" xfId="13051" xr:uid="{953EC95D-4077-49F4-A260-F37DCD5AF277}"/>
    <cellStyle name="40% - Accent1 3 5 3" xfId="5797" xr:uid="{00000000-0005-0000-0000-000032040000}"/>
    <cellStyle name="40% - Accent1 3 5 3 2" xfId="15123" xr:uid="{5E7DBE91-7B6B-40FF-B9CF-F1A401A6CD82}"/>
    <cellStyle name="40% - Accent1 3 5 4" xfId="10906" xr:uid="{D2EAAE72-7D35-4430-B256-A65B7EEB3045}"/>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A13A94E6-948D-463D-BA01-7C2AF7B05258}"/>
    <cellStyle name="40% - Accent1 3 6 2 3" xfId="13464" xr:uid="{2D64F54D-6839-4CB4-9D6A-7F81BDCDE25F}"/>
    <cellStyle name="40% - Accent1 3 6 3" xfId="6210" xr:uid="{00000000-0005-0000-0000-000036040000}"/>
    <cellStyle name="40% - Accent1 3 6 3 2" xfId="15536" xr:uid="{F17E25A4-397B-41D8-B7B8-D338743E529F}"/>
    <cellStyle name="40% - Accent1 3 6 4" xfId="11319" xr:uid="{636580FE-BA0F-448E-80E8-282A884E17FB}"/>
    <cellStyle name="40% - Accent1 3 7" xfId="2317" xr:uid="{00000000-0005-0000-0000-000037040000}"/>
    <cellStyle name="40% - Accent1 3 7 2" xfId="6623" xr:uid="{00000000-0005-0000-0000-000038040000}"/>
    <cellStyle name="40% - Accent1 3 7 2 2" xfId="15949" xr:uid="{E02545F5-DD9E-43EE-B1F9-223E1A87BF6D}"/>
    <cellStyle name="40% - Accent1 3 7 3" xfId="11732" xr:uid="{7C0C7289-43D2-4FF0-9D63-A01A902FE464}"/>
    <cellStyle name="40% - Accent1 3 8" xfId="4557" xr:uid="{00000000-0005-0000-0000-000039040000}"/>
    <cellStyle name="40% - Accent1 3 8 2" xfId="13883" xr:uid="{00D0C4E8-7AF4-4C18-95C1-80ED7FCF5A2B}"/>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BE06E0AC-E326-449E-A8EC-266E1282B9C7}"/>
    <cellStyle name="40% - Accent1 4 2 2 3" xfId="12227" xr:uid="{375228EC-D156-4DB9-929F-5C12A45049D1}"/>
    <cellStyle name="40% - Accent1 4 2 3" xfId="4973" xr:uid="{00000000-0005-0000-0000-00003E040000}"/>
    <cellStyle name="40% - Accent1 4 2 3 2" xfId="14299" xr:uid="{8308914F-2B45-4706-8695-F4DA56B52965}"/>
    <cellStyle name="40% - Accent1 4 2 4" xfId="9373" xr:uid="{3BC949C7-8F86-44EA-9F10-CF277586B131}"/>
    <cellStyle name="40% - Accent1 4 2 5" xfId="10082" xr:uid="{F887B625-248A-44BE-9C39-9ED6A1F1FC34}"/>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CB440CD5-94E9-4539-9D57-46A76645BD02}"/>
    <cellStyle name="40% - Accent1 4 3 2 3" xfId="12640" xr:uid="{A23B575D-56E8-4260-ACE4-FCD27C6F963F}"/>
    <cellStyle name="40% - Accent1 4 3 3" xfId="5386" xr:uid="{00000000-0005-0000-0000-000042040000}"/>
    <cellStyle name="40% - Accent1 4 3 3 2" xfId="14712" xr:uid="{F2CBE96F-96D1-4D69-B142-DD40454B4362}"/>
    <cellStyle name="40% - Accent1 4 3 4" xfId="10495" xr:uid="{BFC0532A-258E-4B23-8E43-357781FE56F1}"/>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86CEF56B-4626-467E-8C1F-36BB64F4F3FD}"/>
    <cellStyle name="40% - Accent1 4 4 2 3" xfId="13053" xr:uid="{09A21C1C-CD8E-4BA8-BD93-B0B9D36FFB0D}"/>
    <cellStyle name="40% - Accent1 4 4 3" xfId="5799" xr:uid="{00000000-0005-0000-0000-000046040000}"/>
    <cellStyle name="40% - Accent1 4 4 3 2" xfId="15125" xr:uid="{A7ADABE9-4AE1-414B-B575-728F0B2428D6}"/>
    <cellStyle name="40% - Accent1 4 4 4" xfId="10908" xr:uid="{4784B177-8CA0-428E-90C7-B31F828B3028}"/>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52E2750C-4EC3-4527-A0B9-10C95501C4C7}"/>
    <cellStyle name="40% - Accent1 4 5 2 3" xfId="13466" xr:uid="{E7546454-A472-4A44-BDCC-D7B0C7C48186}"/>
    <cellStyle name="40% - Accent1 4 5 3" xfId="6212" xr:uid="{00000000-0005-0000-0000-00004A040000}"/>
    <cellStyle name="40% - Accent1 4 5 3 2" xfId="15538" xr:uid="{D4E7CF10-5E50-4D1A-8F30-0292486E1B5C}"/>
    <cellStyle name="40% - Accent1 4 5 4" xfId="11321" xr:uid="{37BB8E6F-4267-44FE-82D9-EA78716BADEB}"/>
    <cellStyle name="40% - Accent1 4 6" xfId="2319" xr:uid="{00000000-0005-0000-0000-00004B040000}"/>
    <cellStyle name="40% - Accent1 4 6 2" xfId="6625" xr:uid="{00000000-0005-0000-0000-00004C040000}"/>
    <cellStyle name="40% - Accent1 4 6 2 2" xfId="15951" xr:uid="{8FA01524-9765-4FDF-B14E-6415300EE788}"/>
    <cellStyle name="40% - Accent1 4 6 3" xfId="11734" xr:uid="{4FFDAABB-42F2-4D9F-9E8F-3534070CBACA}"/>
    <cellStyle name="40% - Accent1 4 7" xfId="4559" xr:uid="{00000000-0005-0000-0000-00004D040000}"/>
    <cellStyle name="40% - Accent1 4 7 2" xfId="13885" xr:uid="{1EF82AF5-2533-4BBB-9DF1-E73404A9EAA1}"/>
    <cellStyle name="40% - Accent1 4 8" xfId="8948" xr:uid="{7BCBB449-71B8-4468-A700-0125C7659C3D}"/>
    <cellStyle name="40% - Accent1 4 9" xfId="9668" xr:uid="{5B2435E2-10C7-4F66-98E6-F7F256B0A885}"/>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B20E2A37-D7D8-4A3A-8D13-BA03F4CE54DB}"/>
    <cellStyle name="40% - Accent1 5 2 3" xfId="12220" xr:uid="{FBFCA186-3A49-480D-B34C-D9BC0732B140}"/>
    <cellStyle name="40% - Accent1 5 3" xfId="4966" xr:uid="{00000000-0005-0000-0000-000051040000}"/>
    <cellStyle name="40% - Accent1 5 3 2" xfId="14292" xr:uid="{E09E2CA2-4CF6-45A0-9859-F874AB48E174}"/>
    <cellStyle name="40% - Accent1 5 4" xfId="9181" xr:uid="{332DA761-F1AA-4FF3-9BBB-9ECEE19D2DFF}"/>
    <cellStyle name="40% - Accent1 5 5" xfId="10075" xr:uid="{98903EFE-356E-4F8A-AFE1-DB4DF3053AF5}"/>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791E464A-52F0-4814-9640-DC64C39C2FEE}"/>
    <cellStyle name="40% - Accent1 6 2 3" xfId="12633" xr:uid="{AFC6B8F3-808B-47F9-A5DF-6484FF877EAF}"/>
    <cellStyle name="40% - Accent1 6 3" xfId="5379" xr:uid="{00000000-0005-0000-0000-000055040000}"/>
    <cellStyle name="40% - Accent1 6 3 2" xfId="14705" xr:uid="{66215FAA-C1A7-4FE1-850C-B0A46FFBABA9}"/>
    <cellStyle name="40% - Accent1 6 4" xfId="10488" xr:uid="{0293A348-E346-47B9-87D9-AA90FFF7FDDD}"/>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D1877C41-0699-4A8D-84E6-7CB7F310DB70}"/>
    <cellStyle name="40% - Accent1 7 2 3" xfId="13046" xr:uid="{16E0D3CF-7336-49AD-91AF-615E7C14D37C}"/>
    <cellStyle name="40% - Accent1 7 3" xfId="5792" xr:uid="{00000000-0005-0000-0000-000059040000}"/>
    <cellStyle name="40% - Accent1 7 3 2" xfId="15118" xr:uid="{4CCE7066-0B3B-4DF8-A038-0D9B17FEA7C8}"/>
    <cellStyle name="40% - Accent1 7 4" xfId="10901" xr:uid="{D1D04C56-2B22-4A99-AC70-9C0F6FFF155D}"/>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B66F0717-079D-4658-833B-C607870740C0}"/>
    <cellStyle name="40% - Accent1 8 2 3" xfId="13459" xr:uid="{A7B3D12E-4E04-4661-BE68-8F16C626A8D0}"/>
    <cellStyle name="40% - Accent1 8 3" xfId="6205" xr:uid="{00000000-0005-0000-0000-00005D040000}"/>
    <cellStyle name="40% - Accent1 8 3 2" xfId="15531" xr:uid="{C4AAD1DA-30D6-4C7E-BEEF-1D3E9E4A84DD}"/>
    <cellStyle name="40% - Accent1 8 4" xfId="11314" xr:uid="{BEFB795E-3793-43FC-939A-42C45508FC26}"/>
    <cellStyle name="40% - Accent1 9" xfId="2312" xr:uid="{00000000-0005-0000-0000-00005E040000}"/>
    <cellStyle name="40% - Accent1 9 2" xfId="6618" xr:uid="{00000000-0005-0000-0000-00005F040000}"/>
    <cellStyle name="40% - Accent1 9 2 2" xfId="15944" xr:uid="{A696B3C7-6E9E-447E-B51A-8331BE4A3C59}"/>
    <cellStyle name="40% - Accent1 9 3" xfId="11727" xr:uid="{3B417DDD-C39C-49D7-9003-5FB125414D1C}"/>
    <cellStyle name="40% - Accent2" xfId="57" builtinId="35" customBuiltin="1"/>
    <cellStyle name="40% - Accent2 10" xfId="4560" xr:uid="{00000000-0005-0000-0000-000061040000}"/>
    <cellStyle name="40% - Accent2 10 2" xfId="13886" xr:uid="{0E55EF8B-394D-4117-B34C-F3B70CD95795}"/>
    <cellStyle name="40% - Accent2 11" xfId="8761" xr:uid="{8631D9D1-53DA-4958-8F7C-AD68B7B91D61}"/>
    <cellStyle name="40% - Accent2 12" xfId="9669" xr:uid="{1F52191F-84F6-4F4F-B900-864579B87923}"/>
    <cellStyle name="40% - Accent2 2" xfId="58" xr:uid="{00000000-0005-0000-0000-000062040000}"/>
    <cellStyle name="40% - Accent2 2 10" xfId="8799" xr:uid="{E3EEC046-6E76-44A5-8D1B-64621A8F0AC5}"/>
    <cellStyle name="40% - Accent2 2 11" xfId="9670" xr:uid="{D76566A8-7308-4D48-8362-56EC7892DA5B}"/>
    <cellStyle name="40% - Accent2 2 2" xfId="59" xr:uid="{00000000-0005-0000-0000-000063040000}"/>
    <cellStyle name="40% - Accent2 2 2 10" xfId="9671" xr:uid="{0150FA77-09BC-4FFC-A6AC-41D0F86B7AB4}"/>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60851FB9-2883-4A45-B184-BEB6D8CE9B74}"/>
    <cellStyle name="40% - Accent2 2 2 2 2 2 3" xfId="12231" xr:uid="{27B5960E-8CF2-4390-8390-73EA2B66E821}"/>
    <cellStyle name="40% - Accent2 2 2 2 2 3" xfId="4977" xr:uid="{00000000-0005-0000-0000-000068040000}"/>
    <cellStyle name="40% - Accent2 2 2 2 2 3 2" xfId="14303" xr:uid="{10DB674B-6620-4D19-912D-CAAD44959D0D}"/>
    <cellStyle name="40% - Accent2 2 2 2 2 4" xfId="9534" xr:uid="{9F53A086-33FC-422E-9DFF-72D04AC43949}"/>
    <cellStyle name="40% - Accent2 2 2 2 2 5" xfId="10086" xr:uid="{09D1D6B9-2E1A-4083-8192-E95C385AA0A2}"/>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5D3B59EA-239E-4317-8899-B0AABB224362}"/>
    <cellStyle name="40% - Accent2 2 2 2 3 2 3" xfId="12644" xr:uid="{F34F2DD4-DB96-452F-ADCD-E11AF8820A00}"/>
    <cellStyle name="40% - Accent2 2 2 2 3 3" xfId="5390" xr:uid="{00000000-0005-0000-0000-00006C040000}"/>
    <cellStyle name="40% - Accent2 2 2 2 3 3 2" xfId="14716" xr:uid="{08FF1533-1C44-4728-BFAE-420AF130CBA1}"/>
    <cellStyle name="40% - Accent2 2 2 2 3 4" xfId="10499" xr:uid="{F5D3E125-6E34-4AB4-9FB4-D6B45A21AB8C}"/>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451E501B-5456-43A3-861E-1325C00803A9}"/>
    <cellStyle name="40% - Accent2 2 2 2 4 2 3" xfId="13057" xr:uid="{6E5A5F4F-F550-4AB6-AE61-7B5BE052F405}"/>
    <cellStyle name="40% - Accent2 2 2 2 4 3" xfId="5803" xr:uid="{00000000-0005-0000-0000-000070040000}"/>
    <cellStyle name="40% - Accent2 2 2 2 4 3 2" xfId="15129" xr:uid="{EF271C76-9431-4500-93D0-95E31129F559}"/>
    <cellStyle name="40% - Accent2 2 2 2 4 4" xfId="10912" xr:uid="{5A4B8710-0490-48E4-B96B-F4AEEB506777}"/>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4A35A31A-904E-49D9-B78C-B9875264906F}"/>
    <cellStyle name="40% - Accent2 2 2 2 5 2 3" xfId="13470" xr:uid="{5B4347FC-A82B-43C9-A62F-BFE0824D7DCF}"/>
    <cellStyle name="40% - Accent2 2 2 2 5 3" xfId="6216" xr:uid="{00000000-0005-0000-0000-000074040000}"/>
    <cellStyle name="40% - Accent2 2 2 2 5 3 2" xfId="15542" xr:uid="{0CB8F1E1-F0F2-4522-A868-AA1C08B8780E}"/>
    <cellStyle name="40% - Accent2 2 2 2 5 4" xfId="11325" xr:uid="{42DE3874-2312-4D0D-B744-978CE7AAA574}"/>
    <cellStyle name="40% - Accent2 2 2 2 6" xfId="2323" xr:uid="{00000000-0005-0000-0000-000075040000}"/>
    <cellStyle name="40% - Accent2 2 2 2 6 2" xfId="6629" xr:uid="{00000000-0005-0000-0000-000076040000}"/>
    <cellStyle name="40% - Accent2 2 2 2 6 2 2" xfId="15955" xr:uid="{01B20817-9761-4C17-ACB1-31A9A6090E66}"/>
    <cellStyle name="40% - Accent2 2 2 2 6 3" xfId="11738" xr:uid="{B3C8C39E-D1DC-45D7-9A91-3F03E336A7F3}"/>
    <cellStyle name="40% - Accent2 2 2 2 7" xfId="4563" xr:uid="{00000000-0005-0000-0000-000077040000}"/>
    <cellStyle name="40% - Accent2 2 2 2 7 2" xfId="13889" xr:uid="{06B7211C-B920-4E2A-AEDB-7A875A214126}"/>
    <cellStyle name="40% - Accent2 2 2 2 8" xfId="9109" xr:uid="{73F0012D-4386-4224-BFB0-7DB1C0E98822}"/>
    <cellStyle name="40% - Accent2 2 2 2 9" xfId="9672" xr:uid="{A6504B6B-3641-4B3D-9E67-4AEB4204A17A}"/>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A5A8A079-868E-44B6-A2BF-E1E894928629}"/>
    <cellStyle name="40% - Accent2 2 2 3 2 3" xfId="12230" xr:uid="{35FDFD15-D12A-45C1-A194-7ECDACF12012}"/>
    <cellStyle name="40% - Accent2 2 2 3 3" xfId="4976" xr:uid="{00000000-0005-0000-0000-00007B040000}"/>
    <cellStyle name="40% - Accent2 2 2 3 3 2" xfId="14302" xr:uid="{F8A8279E-8D3F-457F-BDC8-22B43A411413}"/>
    <cellStyle name="40% - Accent2 2 2 3 4" xfId="9327" xr:uid="{F2BC9A12-B689-4B73-B71E-77A9F0BC7FE4}"/>
    <cellStyle name="40% - Accent2 2 2 3 5" xfId="10085" xr:uid="{F7B1BD18-CC85-4934-80DA-095D35F93A8C}"/>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56031BBD-1390-45D5-BDDE-6A0C61F0F745}"/>
    <cellStyle name="40% - Accent2 2 2 4 2 3" xfId="12643" xr:uid="{4A308314-A844-4F18-A0AB-EEA545CA67D2}"/>
    <cellStyle name="40% - Accent2 2 2 4 3" xfId="5389" xr:uid="{00000000-0005-0000-0000-00007F040000}"/>
    <cellStyle name="40% - Accent2 2 2 4 3 2" xfId="14715" xr:uid="{2FF955E9-FFF3-41E6-882D-1E0581663DC5}"/>
    <cellStyle name="40% - Accent2 2 2 4 4" xfId="10498" xr:uid="{CF2B63B4-5928-4A14-8DB3-AC45DC3A3212}"/>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A34853A6-2F00-440C-9786-81B2E7C02129}"/>
    <cellStyle name="40% - Accent2 2 2 5 2 3" xfId="13056" xr:uid="{5ECFFC3C-BEA2-483D-BADA-A55D53176730}"/>
    <cellStyle name="40% - Accent2 2 2 5 3" xfId="5802" xr:uid="{00000000-0005-0000-0000-000083040000}"/>
    <cellStyle name="40% - Accent2 2 2 5 3 2" xfId="15128" xr:uid="{9AE4153C-4BC5-41B2-BD54-119295E444C4}"/>
    <cellStyle name="40% - Accent2 2 2 5 4" xfId="10911" xr:uid="{B27A3721-75FA-44C1-BA46-E69B2DDFE95B}"/>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30449D45-FBBB-4CAB-B84F-C5114F7CD2ED}"/>
    <cellStyle name="40% - Accent2 2 2 6 2 3" xfId="13469" xr:uid="{A5D6D182-4A52-4417-97C2-625CE1634135}"/>
    <cellStyle name="40% - Accent2 2 2 6 3" xfId="6215" xr:uid="{00000000-0005-0000-0000-000087040000}"/>
    <cellStyle name="40% - Accent2 2 2 6 3 2" xfId="15541" xr:uid="{86CC8D57-9187-47C6-AEE1-722FB1599B2E}"/>
    <cellStyle name="40% - Accent2 2 2 6 4" xfId="11324" xr:uid="{3190BB67-B408-4CC4-ADDD-FE98B49B6648}"/>
    <cellStyle name="40% - Accent2 2 2 7" xfId="2322" xr:uid="{00000000-0005-0000-0000-000088040000}"/>
    <cellStyle name="40% - Accent2 2 2 7 2" xfId="6628" xr:uid="{00000000-0005-0000-0000-000089040000}"/>
    <cellStyle name="40% - Accent2 2 2 7 2 2" xfId="15954" xr:uid="{A21501CA-0646-42F1-8DF1-C209FDFFA875}"/>
    <cellStyle name="40% - Accent2 2 2 7 3" xfId="11737" xr:uid="{6A1214EF-6343-483D-B9E2-7CD7CB2DE130}"/>
    <cellStyle name="40% - Accent2 2 2 8" xfId="4562" xr:uid="{00000000-0005-0000-0000-00008A040000}"/>
    <cellStyle name="40% - Accent2 2 2 8 2" xfId="13888" xr:uid="{58B5A2C1-4D67-4505-A586-F60B52A5FB0F}"/>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7B0251D7-A50B-41A5-ABBF-587E332DAAED}"/>
    <cellStyle name="40% - Accent2 2 3 2 2 3" xfId="12232" xr:uid="{FB86D297-77F6-4D85-83CB-63ED43E0AE9F}"/>
    <cellStyle name="40% - Accent2 2 3 2 3" xfId="4978" xr:uid="{00000000-0005-0000-0000-00008F040000}"/>
    <cellStyle name="40% - Accent2 2 3 2 3 2" xfId="14304" xr:uid="{6C282C67-19FC-4FB7-8A80-E9976A791D9A}"/>
    <cellStyle name="40% - Accent2 2 3 2 4" xfId="9431" xr:uid="{BD4E3561-302E-4359-AAF3-4F2E007BC697}"/>
    <cellStyle name="40% - Accent2 2 3 2 5" xfId="10087" xr:uid="{0496B55E-182F-4AE9-A0E8-F75CEDB5C14A}"/>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A39C5218-D4DA-4CA2-A2AE-CD742F26ED00}"/>
    <cellStyle name="40% - Accent2 2 3 3 2 3" xfId="12645" xr:uid="{48686EEC-5018-410A-882A-6F2CDD301113}"/>
    <cellStyle name="40% - Accent2 2 3 3 3" xfId="5391" xr:uid="{00000000-0005-0000-0000-000093040000}"/>
    <cellStyle name="40% - Accent2 2 3 3 3 2" xfId="14717" xr:uid="{89349247-E9D5-4230-B934-E9AAB40D36E4}"/>
    <cellStyle name="40% - Accent2 2 3 3 4" xfId="10500" xr:uid="{BEFCD5DC-B6CD-4A47-A0E7-7B25088EF3F1}"/>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96188E7A-1009-40CB-8E89-A76E0A1C8802}"/>
    <cellStyle name="40% - Accent2 2 3 4 2 3" xfId="13058" xr:uid="{C8F155C9-7EA4-4314-93FC-7747C53D26C0}"/>
    <cellStyle name="40% - Accent2 2 3 4 3" xfId="5804" xr:uid="{00000000-0005-0000-0000-000097040000}"/>
    <cellStyle name="40% - Accent2 2 3 4 3 2" xfId="15130" xr:uid="{741F063E-573C-4A89-990A-0DA15B4150D0}"/>
    <cellStyle name="40% - Accent2 2 3 4 4" xfId="10913" xr:uid="{6ECFBD52-1401-4B00-941F-CAE31DA66DD2}"/>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958064D1-5AB7-459F-ACD9-E0B6C17339DE}"/>
    <cellStyle name="40% - Accent2 2 3 5 2 3" xfId="13471" xr:uid="{666144DB-AC91-453E-BBF5-2C4CBF7AE050}"/>
    <cellStyle name="40% - Accent2 2 3 5 3" xfId="6217" xr:uid="{00000000-0005-0000-0000-00009B040000}"/>
    <cellStyle name="40% - Accent2 2 3 5 3 2" xfId="15543" xr:uid="{BADD7433-F62A-416E-A2F5-534BB4B0E89A}"/>
    <cellStyle name="40% - Accent2 2 3 5 4" xfId="11326" xr:uid="{02638CA0-099E-4414-96BE-D5CBC001A589}"/>
    <cellStyle name="40% - Accent2 2 3 6" xfId="2324" xr:uid="{00000000-0005-0000-0000-00009C040000}"/>
    <cellStyle name="40% - Accent2 2 3 6 2" xfId="6630" xr:uid="{00000000-0005-0000-0000-00009D040000}"/>
    <cellStyle name="40% - Accent2 2 3 6 2 2" xfId="15956" xr:uid="{F542F351-B581-41C1-8A6A-7798FF5A5CD2}"/>
    <cellStyle name="40% - Accent2 2 3 6 3" xfId="11739" xr:uid="{D7F7A80F-D15A-4A5C-90DD-1F93E034F6C7}"/>
    <cellStyle name="40% - Accent2 2 3 7" xfId="4564" xr:uid="{00000000-0005-0000-0000-00009E040000}"/>
    <cellStyle name="40% - Accent2 2 3 7 2" xfId="13890" xr:uid="{4C440F0B-51CB-4C6E-AED5-AE10B4BDA18F}"/>
    <cellStyle name="40% - Accent2 2 3 8" xfId="9006" xr:uid="{E6E89EA5-B76F-4FCC-89B9-DD4135B6364B}"/>
    <cellStyle name="40% - Accent2 2 3 9" xfId="9673" xr:uid="{521E80E9-42DA-4628-AF19-11A87466C76D}"/>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D436BF44-B53E-46B6-BD04-5AD137F0192E}"/>
    <cellStyle name="40% - Accent2 2 4 2 3" xfId="12229" xr:uid="{E9308B7D-F1F2-4E06-BAE8-6F8CA55F1226}"/>
    <cellStyle name="40% - Accent2 2 4 3" xfId="4975" xr:uid="{00000000-0005-0000-0000-0000A2040000}"/>
    <cellStyle name="40% - Accent2 2 4 3 2" xfId="14301" xr:uid="{C3107BCA-75DF-4896-BDAE-4F381E1FB0A3}"/>
    <cellStyle name="40% - Accent2 2 4 4" xfId="9223" xr:uid="{FA9890B4-781A-4E4C-81EE-BC7448559828}"/>
    <cellStyle name="40% - Accent2 2 4 5" xfId="10084" xr:uid="{0273FB11-F08D-40E4-918F-28DE3FCE4092}"/>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458DEBB9-C7E7-4EA5-BBB3-069450FD60CB}"/>
    <cellStyle name="40% - Accent2 2 5 2 3" xfId="12642" xr:uid="{F4F5EDE8-DBA0-4C8E-8AB8-F7A109CEE45E}"/>
    <cellStyle name="40% - Accent2 2 5 3" xfId="5388" xr:uid="{00000000-0005-0000-0000-0000A6040000}"/>
    <cellStyle name="40% - Accent2 2 5 3 2" xfId="14714" xr:uid="{AD601A8B-21E7-491E-B92F-AFA1372553F9}"/>
    <cellStyle name="40% - Accent2 2 5 4" xfId="10497" xr:uid="{5FBD2E79-E521-47E7-A192-8E105BC8DCDC}"/>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8CFF8B8B-7BA8-43DC-A82D-15FF408D96B7}"/>
    <cellStyle name="40% - Accent2 2 6 2 3" xfId="13055" xr:uid="{195104D4-92E5-405D-8A69-814AFD45F11C}"/>
    <cellStyle name="40% - Accent2 2 6 3" xfId="5801" xr:uid="{00000000-0005-0000-0000-0000AA040000}"/>
    <cellStyle name="40% - Accent2 2 6 3 2" xfId="15127" xr:uid="{421DBEAD-01C0-4338-A88B-72F1445B0016}"/>
    <cellStyle name="40% - Accent2 2 6 4" xfId="10910" xr:uid="{978D6448-1FCE-44B3-8EBF-4DD049BE2BDA}"/>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90964432-187D-4307-A619-950B83E1E639}"/>
    <cellStyle name="40% - Accent2 2 7 2 3" xfId="13468" xr:uid="{F7C85B63-F14E-45D1-BAF3-6A1B93A2AAE9}"/>
    <cellStyle name="40% - Accent2 2 7 3" xfId="6214" xr:uid="{00000000-0005-0000-0000-0000AE040000}"/>
    <cellStyle name="40% - Accent2 2 7 3 2" xfId="15540" xr:uid="{2DC3D605-F5BA-4AAF-83F2-27436A3BF500}"/>
    <cellStyle name="40% - Accent2 2 7 4" xfId="11323" xr:uid="{18CB2E07-D3AF-45E6-9FAD-0AF9EE5AF622}"/>
    <cellStyle name="40% - Accent2 2 8" xfId="2321" xr:uid="{00000000-0005-0000-0000-0000AF040000}"/>
    <cellStyle name="40% - Accent2 2 8 2" xfId="6627" xr:uid="{00000000-0005-0000-0000-0000B0040000}"/>
    <cellStyle name="40% - Accent2 2 8 2 2" xfId="15953" xr:uid="{9AF87547-355B-405D-B8B8-00EE20B38914}"/>
    <cellStyle name="40% - Accent2 2 8 3" xfId="11736" xr:uid="{04C4738D-DD92-4AB1-910A-D2DF597D9705}"/>
    <cellStyle name="40% - Accent2 2 9" xfId="4561" xr:uid="{00000000-0005-0000-0000-0000B1040000}"/>
    <cellStyle name="40% - Accent2 2 9 2" xfId="13887" xr:uid="{29D2BB64-EE82-4554-9482-7F2688159961}"/>
    <cellStyle name="40% - Accent2 3" xfId="62" xr:uid="{00000000-0005-0000-0000-0000B2040000}"/>
    <cellStyle name="40% - Accent2 3 10" xfId="9674" xr:uid="{42E4FCBF-29FB-4E6E-8879-3592626FDF79}"/>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09593E25-20D3-49F0-99E8-90FBBFC68AF0}"/>
    <cellStyle name="40% - Accent2 3 2 2 2 3" xfId="12234" xr:uid="{6176C2F5-E1F1-4B05-A5E8-754B421A9783}"/>
    <cellStyle name="40% - Accent2 3 2 2 3" xfId="4980" xr:uid="{00000000-0005-0000-0000-0000B7040000}"/>
    <cellStyle name="40% - Accent2 3 2 2 3 2" xfId="14306" xr:uid="{B33CB37B-4273-4174-843E-7A5951663D2D}"/>
    <cellStyle name="40% - Accent2 3 2 2 4" xfId="9496" xr:uid="{700FA1AF-D943-4FDB-BFB1-F903AD1F731A}"/>
    <cellStyle name="40% - Accent2 3 2 2 5" xfId="10089" xr:uid="{E7323D14-D4CE-4070-8974-C90ABF99BA58}"/>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53E24F88-B329-4A36-9FD8-B150E9AFE159}"/>
    <cellStyle name="40% - Accent2 3 2 3 2 3" xfId="12647" xr:uid="{81712CAF-6F84-4ED7-9439-402A98FC75D9}"/>
    <cellStyle name="40% - Accent2 3 2 3 3" xfId="5393" xr:uid="{00000000-0005-0000-0000-0000BB040000}"/>
    <cellStyle name="40% - Accent2 3 2 3 3 2" xfId="14719" xr:uid="{74A040AA-B7A4-49A2-A4B7-A5DE02F97696}"/>
    <cellStyle name="40% - Accent2 3 2 3 4" xfId="10502" xr:uid="{85B42A2E-0310-4148-96C1-AB12187DA363}"/>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1B6612EA-4A1E-4B14-A51A-C4E7485EF185}"/>
    <cellStyle name="40% - Accent2 3 2 4 2 3" xfId="13060" xr:uid="{1EBACD7C-A699-4BEA-9F04-A39383661816}"/>
    <cellStyle name="40% - Accent2 3 2 4 3" xfId="5806" xr:uid="{00000000-0005-0000-0000-0000BF040000}"/>
    <cellStyle name="40% - Accent2 3 2 4 3 2" xfId="15132" xr:uid="{C1A834F5-602F-4E2E-8108-C4F6AE91E567}"/>
    <cellStyle name="40% - Accent2 3 2 4 4" xfId="10915" xr:uid="{A4CE8A06-ADBC-410A-8C55-6DD915B3B91C}"/>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9F57F4EF-0808-4AD9-A1F2-FA0965E10954}"/>
    <cellStyle name="40% - Accent2 3 2 5 2 3" xfId="13473" xr:uid="{0AD60BEF-7386-49C4-ADDE-88F1437F1707}"/>
    <cellStyle name="40% - Accent2 3 2 5 3" xfId="6219" xr:uid="{00000000-0005-0000-0000-0000C3040000}"/>
    <cellStyle name="40% - Accent2 3 2 5 3 2" xfId="15545" xr:uid="{8F34B958-1F8E-42CE-AC4A-B4871A5696E8}"/>
    <cellStyle name="40% - Accent2 3 2 5 4" xfId="11328" xr:uid="{1C7ADCD7-D389-4892-83FD-BFBFEBA946B9}"/>
    <cellStyle name="40% - Accent2 3 2 6" xfId="2326" xr:uid="{00000000-0005-0000-0000-0000C4040000}"/>
    <cellStyle name="40% - Accent2 3 2 6 2" xfId="6632" xr:uid="{00000000-0005-0000-0000-0000C5040000}"/>
    <cellStyle name="40% - Accent2 3 2 6 2 2" xfId="15958" xr:uid="{513A5987-BCDC-4374-9711-143C112151C3}"/>
    <cellStyle name="40% - Accent2 3 2 6 3" xfId="11741" xr:uid="{5377EF89-1C6D-4EC9-86E4-8888AA90B2DB}"/>
    <cellStyle name="40% - Accent2 3 2 7" xfId="4566" xr:uid="{00000000-0005-0000-0000-0000C6040000}"/>
    <cellStyle name="40% - Accent2 3 2 7 2" xfId="13892" xr:uid="{A7899AAB-A2E8-4FCE-A12B-B9E3647AF634}"/>
    <cellStyle name="40% - Accent2 3 2 8" xfId="9071" xr:uid="{B5463F05-11FC-4377-B380-DDB549C63AA9}"/>
    <cellStyle name="40% - Accent2 3 2 9" xfId="9675" xr:uid="{8F02B353-E07D-429A-A657-6DF1B7465255}"/>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1D3C006B-B509-40B4-B81A-6FCFD0BBA9F5}"/>
    <cellStyle name="40% - Accent2 3 3 2 3" xfId="12233" xr:uid="{49EDBC64-C1C3-4D61-B987-C6A893E33650}"/>
    <cellStyle name="40% - Accent2 3 3 3" xfId="4979" xr:uid="{00000000-0005-0000-0000-0000CA040000}"/>
    <cellStyle name="40% - Accent2 3 3 3 2" xfId="14305" xr:uid="{D0580A89-ED17-4D88-A126-A920CA746951}"/>
    <cellStyle name="40% - Accent2 3 3 4" xfId="9289" xr:uid="{B234EB9F-4AFE-41A2-A17D-ABC1D0F80875}"/>
    <cellStyle name="40% - Accent2 3 3 5" xfId="10088" xr:uid="{B360DB8F-0EFB-4E4A-A482-8F2F151902BE}"/>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FB0FC86B-AEBC-4DB8-8D8A-3550F78FF6B5}"/>
    <cellStyle name="40% - Accent2 3 4 2 3" xfId="12646" xr:uid="{03174679-FB31-42BB-B92B-1A9B5629A12B}"/>
    <cellStyle name="40% - Accent2 3 4 3" xfId="5392" xr:uid="{00000000-0005-0000-0000-0000CE040000}"/>
    <cellStyle name="40% - Accent2 3 4 3 2" xfId="14718" xr:uid="{C62FBA5E-0E31-4F40-B35B-E44E9005FC94}"/>
    <cellStyle name="40% - Accent2 3 4 4" xfId="10501" xr:uid="{BB1F27C5-1C5E-4E2F-816A-9A0EAD72C643}"/>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6B987AD9-99D5-43D3-BE9F-A13EF3915915}"/>
    <cellStyle name="40% - Accent2 3 5 2 3" xfId="13059" xr:uid="{D966DB26-0C23-49AC-9891-0DCC6853BDD9}"/>
    <cellStyle name="40% - Accent2 3 5 3" xfId="5805" xr:uid="{00000000-0005-0000-0000-0000D2040000}"/>
    <cellStyle name="40% - Accent2 3 5 3 2" xfId="15131" xr:uid="{C2C001A4-67AA-4249-9076-DCF97829BE1B}"/>
    <cellStyle name="40% - Accent2 3 5 4" xfId="10914" xr:uid="{A096AE01-8C25-47C0-BEC5-0B217C63A3CC}"/>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7B774F8F-DA02-4FB3-BA3B-EA93621A93FD}"/>
    <cellStyle name="40% - Accent2 3 6 2 3" xfId="13472" xr:uid="{12611353-2920-4CA6-927B-71388A836D38}"/>
    <cellStyle name="40% - Accent2 3 6 3" xfId="6218" xr:uid="{00000000-0005-0000-0000-0000D6040000}"/>
    <cellStyle name="40% - Accent2 3 6 3 2" xfId="15544" xr:uid="{78FD02E2-2E7A-4639-BFA5-CE3021DED4BE}"/>
    <cellStyle name="40% - Accent2 3 6 4" xfId="11327" xr:uid="{BFB7E425-557F-4F06-9920-5FF0A2DC2131}"/>
    <cellStyle name="40% - Accent2 3 7" xfId="2325" xr:uid="{00000000-0005-0000-0000-0000D7040000}"/>
    <cellStyle name="40% - Accent2 3 7 2" xfId="6631" xr:uid="{00000000-0005-0000-0000-0000D8040000}"/>
    <cellStyle name="40% - Accent2 3 7 2 2" xfId="15957" xr:uid="{C6AD9212-C80F-484B-9C6C-2A2D0F50377A}"/>
    <cellStyle name="40% - Accent2 3 7 3" xfId="11740" xr:uid="{7BFE1E8C-1DFF-4E59-A67F-28DA49CBE30C}"/>
    <cellStyle name="40% - Accent2 3 8" xfId="4565" xr:uid="{00000000-0005-0000-0000-0000D9040000}"/>
    <cellStyle name="40% - Accent2 3 8 2" xfId="13891" xr:uid="{9BE9850D-AE27-4E72-9529-69F151AF246A}"/>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5CFD718E-737D-4839-A2E7-693CF309840F}"/>
    <cellStyle name="40% - Accent2 4 2 2 3" xfId="12235" xr:uid="{A6BCBAAF-8ADE-465E-9588-6E72626B728F}"/>
    <cellStyle name="40% - Accent2 4 2 3" xfId="4981" xr:uid="{00000000-0005-0000-0000-0000DE040000}"/>
    <cellStyle name="40% - Accent2 4 2 3 2" xfId="14307" xr:uid="{83E572CB-B90A-4306-9AC4-F45F02F19C40}"/>
    <cellStyle name="40% - Accent2 4 2 4" xfId="9375" xr:uid="{E0F8B4F7-419E-40A5-89E1-F3F0DF6ADFF8}"/>
    <cellStyle name="40% - Accent2 4 2 5" xfId="10090" xr:uid="{F60C8E71-EAC8-4387-AEB7-6C5EF3FD27F0}"/>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634C4C4D-E5AE-4E43-BB5F-B3971C033EB4}"/>
    <cellStyle name="40% - Accent2 4 3 2 3" xfId="12648" xr:uid="{E568B766-62B2-4D00-ACB6-84F8A804F9C8}"/>
    <cellStyle name="40% - Accent2 4 3 3" xfId="5394" xr:uid="{00000000-0005-0000-0000-0000E2040000}"/>
    <cellStyle name="40% - Accent2 4 3 3 2" xfId="14720" xr:uid="{AF5D1563-7BD7-4070-92D4-CD3E62C716FA}"/>
    <cellStyle name="40% - Accent2 4 3 4" xfId="10503" xr:uid="{D5C55A54-655B-4098-890A-0B7A5ED1FFB2}"/>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D40E87CA-3DC8-406C-BE79-9C40142B8DC1}"/>
    <cellStyle name="40% - Accent2 4 4 2 3" xfId="13061" xr:uid="{32520D40-8F72-40F4-A1B9-AEC6B8A70C20}"/>
    <cellStyle name="40% - Accent2 4 4 3" xfId="5807" xr:uid="{00000000-0005-0000-0000-0000E6040000}"/>
    <cellStyle name="40% - Accent2 4 4 3 2" xfId="15133" xr:uid="{FF8EAFE8-6855-4E0A-8C7C-82FAC841E508}"/>
    <cellStyle name="40% - Accent2 4 4 4" xfId="10916" xr:uid="{6D9AD690-6612-4A8A-B960-BB7A9ECF9F94}"/>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31F5D79F-AECA-4488-A1D4-66FC3858FDDB}"/>
    <cellStyle name="40% - Accent2 4 5 2 3" xfId="13474" xr:uid="{490CD45F-2F47-4747-817E-10EB449CA8A6}"/>
    <cellStyle name="40% - Accent2 4 5 3" xfId="6220" xr:uid="{00000000-0005-0000-0000-0000EA040000}"/>
    <cellStyle name="40% - Accent2 4 5 3 2" xfId="15546" xr:uid="{65D603B7-A526-4751-8EA8-FF486D979D3D}"/>
    <cellStyle name="40% - Accent2 4 5 4" xfId="11329" xr:uid="{365FF282-EA19-4BB6-82C1-03C7D16C80A7}"/>
    <cellStyle name="40% - Accent2 4 6" xfId="2327" xr:uid="{00000000-0005-0000-0000-0000EB040000}"/>
    <cellStyle name="40% - Accent2 4 6 2" xfId="6633" xr:uid="{00000000-0005-0000-0000-0000EC040000}"/>
    <cellStyle name="40% - Accent2 4 6 2 2" xfId="15959" xr:uid="{90D2C492-BFA7-487F-BE4F-4358D5F14DDD}"/>
    <cellStyle name="40% - Accent2 4 6 3" xfId="11742" xr:uid="{60355DAA-BAF6-4A59-9406-9BE169638422}"/>
    <cellStyle name="40% - Accent2 4 7" xfId="4567" xr:uid="{00000000-0005-0000-0000-0000ED040000}"/>
    <cellStyle name="40% - Accent2 4 7 2" xfId="13893" xr:uid="{D39FC273-2339-4713-94FD-008C2BD0EAAD}"/>
    <cellStyle name="40% - Accent2 4 8" xfId="8950" xr:uid="{02FCA414-0598-4779-8636-7B176A3552C0}"/>
    <cellStyle name="40% - Accent2 4 9" xfId="9676" xr:uid="{0CCF8D4D-E0D5-4D60-8858-38097AD8EB1C}"/>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41EBAFF1-7D21-409D-8856-74A6AB7BFF8C}"/>
    <cellStyle name="40% - Accent2 5 2 3" xfId="12228" xr:uid="{96F52940-CEDB-4BE0-A5CB-B10E822EF14B}"/>
    <cellStyle name="40% - Accent2 5 3" xfId="4974" xr:uid="{00000000-0005-0000-0000-0000F1040000}"/>
    <cellStyle name="40% - Accent2 5 3 2" xfId="14300" xr:uid="{782362D5-E7A0-4369-A0AC-533E1DD1B3D7}"/>
    <cellStyle name="40% - Accent2 5 4" xfId="9183" xr:uid="{071EDB8E-9FD1-4063-BCEF-70B734E5ECF1}"/>
    <cellStyle name="40% - Accent2 5 5" xfId="10083" xr:uid="{78C96E4D-0974-4C7F-BD1C-9CDFB72E5996}"/>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622A79EB-3FFC-4804-9A8E-F2BB1C2FBE05}"/>
    <cellStyle name="40% - Accent2 6 2 3" xfId="12641" xr:uid="{E4D5E57E-E0E3-4372-B115-DAB7072D06C8}"/>
    <cellStyle name="40% - Accent2 6 3" xfId="5387" xr:uid="{00000000-0005-0000-0000-0000F5040000}"/>
    <cellStyle name="40% - Accent2 6 3 2" xfId="14713" xr:uid="{3796E041-84BD-47C8-8B30-20318B755EBE}"/>
    <cellStyle name="40% - Accent2 6 4" xfId="10496" xr:uid="{21E29E89-E8B7-4F1E-BA1B-2DF33E15F78F}"/>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2C461999-2BC7-42AD-B853-F2925B8EAD0D}"/>
    <cellStyle name="40% - Accent2 7 2 3" xfId="13054" xr:uid="{6467BC79-8A1C-4FB6-A9D2-89C99104DA98}"/>
    <cellStyle name="40% - Accent2 7 3" xfId="5800" xr:uid="{00000000-0005-0000-0000-0000F9040000}"/>
    <cellStyle name="40% - Accent2 7 3 2" xfId="15126" xr:uid="{3EF2FE66-D4E6-4206-B814-A8BDB6990479}"/>
    <cellStyle name="40% - Accent2 7 4" xfId="10909" xr:uid="{D84B608B-4D99-4348-AC6A-3249EFA43F67}"/>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8CD43DDF-53A4-4187-86A8-7A5B0BC49839}"/>
    <cellStyle name="40% - Accent2 8 2 3" xfId="13467" xr:uid="{7C984255-F1CA-4C6B-8F94-C8AEA85A4ABC}"/>
    <cellStyle name="40% - Accent2 8 3" xfId="6213" xr:uid="{00000000-0005-0000-0000-0000FD040000}"/>
    <cellStyle name="40% - Accent2 8 3 2" xfId="15539" xr:uid="{C82D86B9-93FF-46C1-8C72-B9804A988F84}"/>
    <cellStyle name="40% - Accent2 8 4" xfId="11322" xr:uid="{73F47632-009B-41F1-B562-7300C7EB7607}"/>
    <cellStyle name="40% - Accent2 9" xfId="2320" xr:uid="{00000000-0005-0000-0000-0000FE040000}"/>
    <cellStyle name="40% - Accent2 9 2" xfId="6626" xr:uid="{00000000-0005-0000-0000-0000FF040000}"/>
    <cellStyle name="40% - Accent2 9 2 2" xfId="15952" xr:uid="{14AB8D13-689C-4AC2-99C0-DED6A79DAE26}"/>
    <cellStyle name="40% - Accent2 9 3" xfId="11735" xr:uid="{B110E10F-6F2A-4B9E-B8B8-4A519A67EB24}"/>
    <cellStyle name="40% - Accent3" xfId="65" builtinId="39" customBuiltin="1"/>
    <cellStyle name="40% - Accent3 10" xfId="4568" xr:uid="{00000000-0005-0000-0000-000001050000}"/>
    <cellStyle name="40% - Accent3 10 2" xfId="13894" xr:uid="{7992A3D4-CB5C-4C5A-A85F-10A6F55B5F4B}"/>
    <cellStyle name="40% - Accent3 11" xfId="8763" xr:uid="{CEFBFA85-5B68-4AEB-BF0D-8E604938B05F}"/>
    <cellStyle name="40% - Accent3 12" xfId="9677" xr:uid="{1F8B9A69-06D0-42FD-BBAF-48C86094A512}"/>
    <cellStyle name="40% - Accent3 2" xfId="66" xr:uid="{00000000-0005-0000-0000-000002050000}"/>
    <cellStyle name="40% - Accent3 2 10" xfId="8800" xr:uid="{00FF2AAD-7D96-45B5-8981-0BB923A3505B}"/>
    <cellStyle name="40% - Accent3 2 11" xfId="9678" xr:uid="{132B96E9-C0EB-49AF-BB8E-A6DCBE962A16}"/>
    <cellStyle name="40% - Accent3 2 2" xfId="67" xr:uid="{00000000-0005-0000-0000-000003050000}"/>
    <cellStyle name="40% - Accent3 2 2 10" xfId="9679" xr:uid="{AC25FC00-B6C6-4CE6-9BF2-1F984C536C9B}"/>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6BA97FC8-485C-42F1-AE25-B31E7AB157ED}"/>
    <cellStyle name="40% - Accent3 2 2 2 2 2 3" xfId="12239" xr:uid="{114E3C14-1D47-4AC1-9B12-3F642A5AB6C5}"/>
    <cellStyle name="40% - Accent3 2 2 2 2 3" xfId="4985" xr:uid="{00000000-0005-0000-0000-000008050000}"/>
    <cellStyle name="40% - Accent3 2 2 2 2 3 2" xfId="14311" xr:uid="{9F53ABD0-10C8-4776-976A-6A0D7FEB664C}"/>
    <cellStyle name="40% - Accent3 2 2 2 2 4" xfId="9535" xr:uid="{3AC66435-D4C7-42EF-A799-3DC81A57BDF4}"/>
    <cellStyle name="40% - Accent3 2 2 2 2 5" xfId="10094" xr:uid="{78698740-21FC-4F5F-AC3C-2BDA9CD99A6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2A1DED41-6068-4021-8A71-273741C2311B}"/>
    <cellStyle name="40% - Accent3 2 2 2 3 2 3" xfId="12652" xr:uid="{EBF5C209-ADF8-4D61-B16A-D681AD1483D2}"/>
    <cellStyle name="40% - Accent3 2 2 2 3 3" xfId="5398" xr:uid="{00000000-0005-0000-0000-00000C050000}"/>
    <cellStyle name="40% - Accent3 2 2 2 3 3 2" xfId="14724" xr:uid="{AF15B4FF-ACBE-433F-996F-1B7CA28ADCC1}"/>
    <cellStyle name="40% - Accent3 2 2 2 3 4" xfId="10507" xr:uid="{266DC080-1BAE-49CF-9E0B-EBEA7E1DE3D2}"/>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BC08702B-180D-4F70-968E-0417309C97CA}"/>
    <cellStyle name="40% - Accent3 2 2 2 4 2 3" xfId="13065" xr:uid="{D757A954-4EFE-419F-BA56-00DF0C70E078}"/>
    <cellStyle name="40% - Accent3 2 2 2 4 3" xfId="5811" xr:uid="{00000000-0005-0000-0000-000010050000}"/>
    <cellStyle name="40% - Accent3 2 2 2 4 3 2" xfId="15137" xr:uid="{1D9251D0-A4E7-4CF6-B047-A1431CF5D63D}"/>
    <cellStyle name="40% - Accent3 2 2 2 4 4" xfId="10920" xr:uid="{2F1173BC-2D19-4DDF-8733-23DF52D2177A}"/>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F5F1D9E8-B56C-469E-B143-DAB02C892A5F}"/>
    <cellStyle name="40% - Accent3 2 2 2 5 2 3" xfId="13478" xr:uid="{7806A5C7-178B-4F81-A311-87B8EA015A40}"/>
    <cellStyle name="40% - Accent3 2 2 2 5 3" xfId="6224" xr:uid="{00000000-0005-0000-0000-000014050000}"/>
    <cellStyle name="40% - Accent3 2 2 2 5 3 2" xfId="15550" xr:uid="{4CEA3D77-D128-4560-87CE-02E39934A22F}"/>
    <cellStyle name="40% - Accent3 2 2 2 5 4" xfId="11333" xr:uid="{F19E0606-EEEE-4486-B8B4-BEF8FEB5E945}"/>
    <cellStyle name="40% - Accent3 2 2 2 6" xfId="2331" xr:uid="{00000000-0005-0000-0000-000015050000}"/>
    <cellStyle name="40% - Accent3 2 2 2 6 2" xfId="6637" xr:uid="{00000000-0005-0000-0000-000016050000}"/>
    <cellStyle name="40% - Accent3 2 2 2 6 2 2" xfId="15963" xr:uid="{3B093F2C-FED3-4636-A123-62C8060E8DAB}"/>
    <cellStyle name="40% - Accent3 2 2 2 6 3" xfId="11746" xr:uid="{4B6E25E4-F332-400E-AB20-73FBF9066D15}"/>
    <cellStyle name="40% - Accent3 2 2 2 7" xfId="4571" xr:uid="{00000000-0005-0000-0000-000017050000}"/>
    <cellStyle name="40% - Accent3 2 2 2 7 2" xfId="13897" xr:uid="{8342C6F9-6096-4EB1-B7B7-F84C8FF35F07}"/>
    <cellStyle name="40% - Accent3 2 2 2 8" xfId="9110" xr:uid="{E41CBEF9-86F8-44B9-895F-532A7BDC9A2A}"/>
    <cellStyle name="40% - Accent3 2 2 2 9" xfId="9680" xr:uid="{34C1A351-D2F7-446B-9DD3-39E2FCC0932C}"/>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449F6DB8-BF08-48FA-807D-A42AE4EE7B7A}"/>
    <cellStyle name="40% - Accent3 2 2 3 2 3" xfId="12238" xr:uid="{26C4ECEA-57A8-432A-8CFD-C394846C85C6}"/>
    <cellStyle name="40% - Accent3 2 2 3 3" xfId="4984" xr:uid="{00000000-0005-0000-0000-00001B050000}"/>
    <cellStyle name="40% - Accent3 2 2 3 3 2" xfId="14310" xr:uid="{AFA95D41-BE04-46AF-A5B9-C57897C475D9}"/>
    <cellStyle name="40% - Accent3 2 2 3 4" xfId="9328" xr:uid="{1DAEB9B9-01CE-426D-A8F1-CE08999D7264}"/>
    <cellStyle name="40% - Accent3 2 2 3 5" xfId="10093" xr:uid="{9E7681DF-512E-47A6-9FDB-C2003EA95B6E}"/>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836C98E8-B929-437A-B534-025505BB0ED7}"/>
    <cellStyle name="40% - Accent3 2 2 4 2 3" xfId="12651" xr:uid="{98D25B52-A706-4711-8D64-5F67FDA1AE3C}"/>
    <cellStyle name="40% - Accent3 2 2 4 3" xfId="5397" xr:uid="{00000000-0005-0000-0000-00001F050000}"/>
    <cellStyle name="40% - Accent3 2 2 4 3 2" xfId="14723" xr:uid="{69071862-BE09-407F-8672-88843567AD40}"/>
    <cellStyle name="40% - Accent3 2 2 4 4" xfId="10506" xr:uid="{5233DF49-375D-4F4F-AD02-02FA858E7073}"/>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4CE31BA6-A85E-4A92-954E-A5069A476AF2}"/>
    <cellStyle name="40% - Accent3 2 2 5 2 3" xfId="13064" xr:uid="{1F680EE8-3052-4580-AF13-CE0EB33F2DB9}"/>
    <cellStyle name="40% - Accent3 2 2 5 3" xfId="5810" xr:uid="{00000000-0005-0000-0000-000023050000}"/>
    <cellStyle name="40% - Accent3 2 2 5 3 2" xfId="15136" xr:uid="{A2BFF345-2843-4396-9097-BA04D690BD88}"/>
    <cellStyle name="40% - Accent3 2 2 5 4" xfId="10919" xr:uid="{F30F884B-A099-431C-82D7-5F892F9C6BEA}"/>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63A32319-586F-4F79-9517-E0E26E0E283E}"/>
    <cellStyle name="40% - Accent3 2 2 6 2 3" xfId="13477" xr:uid="{FDA89160-EF14-4471-8DC1-8E1E9428B074}"/>
    <cellStyle name="40% - Accent3 2 2 6 3" xfId="6223" xr:uid="{00000000-0005-0000-0000-000027050000}"/>
    <cellStyle name="40% - Accent3 2 2 6 3 2" xfId="15549" xr:uid="{A0E770FB-B953-4435-A099-68BEF17CAB89}"/>
    <cellStyle name="40% - Accent3 2 2 6 4" xfId="11332" xr:uid="{14BA17D8-6FDF-4CD8-B473-74CBE09C11EC}"/>
    <cellStyle name="40% - Accent3 2 2 7" xfId="2330" xr:uid="{00000000-0005-0000-0000-000028050000}"/>
    <cellStyle name="40% - Accent3 2 2 7 2" xfId="6636" xr:uid="{00000000-0005-0000-0000-000029050000}"/>
    <cellStyle name="40% - Accent3 2 2 7 2 2" xfId="15962" xr:uid="{BA3B52C4-A0DB-48F7-9913-96C2555F9474}"/>
    <cellStyle name="40% - Accent3 2 2 7 3" xfId="11745" xr:uid="{D6362CDD-843C-4624-9F85-00BC915EE518}"/>
    <cellStyle name="40% - Accent3 2 2 8" xfId="4570" xr:uid="{00000000-0005-0000-0000-00002A050000}"/>
    <cellStyle name="40% - Accent3 2 2 8 2" xfId="13896" xr:uid="{9BCACF85-144D-4C9D-B75D-3D387890367E}"/>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1F89A154-F9D3-45B8-9BEC-14CD0DE44535}"/>
    <cellStyle name="40% - Accent3 2 3 2 2 3" xfId="12240" xr:uid="{F6A0F452-3C07-4D6F-857E-90C736729C55}"/>
    <cellStyle name="40% - Accent3 2 3 2 3" xfId="4986" xr:uid="{00000000-0005-0000-0000-00002F050000}"/>
    <cellStyle name="40% - Accent3 2 3 2 3 2" xfId="14312" xr:uid="{D99A66BE-15D7-4F20-9E17-626E49E39A0E}"/>
    <cellStyle name="40% - Accent3 2 3 2 4" xfId="9432" xr:uid="{54D6848B-0200-4F42-820D-262A8F9A2C0F}"/>
    <cellStyle name="40% - Accent3 2 3 2 5" xfId="10095" xr:uid="{59A53C0B-4903-43BC-A0BD-B5A4BC8CE988}"/>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E7726E5D-D046-475D-8DFA-21F2C244327F}"/>
    <cellStyle name="40% - Accent3 2 3 3 2 3" xfId="12653" xr:uid="{F9E5EB8C-BAEF-42C2-B5C2-DC5AE77DA906}"/>
    <cellStyle name="40% - Accent3 2 3 3 3" xfId="5399" xr:uid="{00000000-0005-0000-0000-000033050000}"/>
    <cellStyle name="40% - Accent3 2 3 3 3 2" xfId="14725" xr:uid="{E249F33A-F4AA-496D-89ED-27898DAA42CB}"/>
    <cellStyle name="40% - Accent3 2 3 3 4" xfId="10508" xr:uid="{0AAD2D6F-E33B-4A93-BD63-9B95D07C056D}"/>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2ECB5CCE-7A6F-4CE3-A799-A03D5E66A44E}"/>
    <cellStyle name="40% - Accent3 2 3 4 2 3" xfId="13066" xr:uid="{7A719CAA-3389-4E14-A3A1-9DF8DA12BD0E}"/>
    <cellStyle name="40% - Accent3 2 3 4 3" xfId="5812" xr:uid="{00000000-0005-0000-0000-000037050000}"/>
    <cellStyle name="40% - Accent3 2 3 4 3 2" xfId="15138" xr:uid="{CBF90560-1819-4BD7-8F5B-4DAEA22FEFE3}"/>
    <cellStyle name="40% - Accent3 2 3 4 4" xfId="10921" xr:uid="{504B9EEA-55E5-4F5C-A2CA-4C35F6531DF0}"/>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E38BB012-2744-4147-9DC5-4C40452F5D92}"/>
    <cellStyle name="40% - Accent3 2 3 5 2 3" xfId="13479" xr:uid="{71977778-D59B-45DD-8347-2D77237727D9}"/>
    <cellStyle name="40% - Accent3 2 3 5 3" xfId="6225" xr:uid="{00000000-0005-0000-0000-00003B050000}"/>
    <cellStyle name="40% - Accent3 2 3 5 3 2" xfId="15551" xr:uid="{A23FC469-9473-495F-824F-BC61F9A7D9FD}"/>
    <cellStyle name="40% - Accent3 2 3 5 4" xfId="11334" xr:uid="{B397420A-8DFD-41A9-B54D-12325D10B4E5}"/>
    <cellStyle name="40% - Accent3 2 3 6" xfId="2332" xr:uid="{00000000-0005-0000-0000-00003C050000}"/>
    <cellStyle name="40% - Accent3 2 3 6 2" xfId="6638" xr:uid="{00000000-0005-0000-0000-00003D050000}"/>
    <cellStyle name="40% - Accent3 2 3 6 2 2" xfId="15964" xr:uid="{F8438B16-682B-4B3A-9F3E-C218D956DDF0}"/>
    <cellStyle name="40% - Accent3 2 3 6 3" xfId="11747" xr:uid="{5318206F-246D-4C69-82E5-F7326F7E2059}"/>
    <cellStyle name="40% - Accent3 2 3 7" xfId="4572" xr:uid="{00000000-0005-0000-0000-00003E050000}"/>
    <cellStyle name="40% - Accent3 2 3 7 2" xfId="13898" xr:uid="{9B0AFC56-F023-42D7-9645-24389CAB2263}"/>
    <cellStyle name="40% - Accent3 2 3 8" xfId="9007" xr:uid="{2DEFD82C-2A62-4C1E-AA8D-7F2606BD9091}"/>
    <cellStyle name="40% - Accent3 2 3 9" xfId="9681" xr:uid="{A35E3F9D-FA11-4F94-9B8D-98BA9793AA4C}"/>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0F4A404C-051B-42CD-8BCC-BA144F682982}"/>
    <cellStyle name="40% - Accent3 2 4 2 3" xfId="12237" xr:uid="{CD9B2BA1-B791-481E-A89E-6F43EA1D12B5}"/>
    <cellStyle name="40% - Accent3 2 4 3" xfId="4983" xr:uid="{00000000-0005-0000-0000-000042050000}"/>
    <cellStyle name="40% - Accent3 2 4 3 2" xfId="14309" xr:uid="{5489C618-DB40-434D-9F8A-81FCB71E69BA}"/>
    <cellStyle name="40% - Accent3 2 4 4" xfId="9224" xr:uid="{6B91012A-BFF2-4F1F-901C-A91F06F80031}"/>
    <cellStyle name="40% - Accent3 2 4 5" xfId="10092" xr:uid="{77790494-80EA-4A8F-B349-4D5FDFD2DD4C}"/>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1FC90A43-0FA7-4A30-A74A-5E4D356BBFCF}"/>
    <cellStyle name="40% - Accent3 2 5 2 3" xfId="12650" xr:uid="{43D0DCAA-1C77-4492-B1F6-2422AAE430E3}"/>
    <cellStyle name="40% - Accent3 2 5 3" xfId="5396" xr:uid="{00000000-0005-0000-0000-000046050000}"/>
    <cellStyle name="40% - Accent3 2 5 3 2" xfId="14722" xr:uid="{F0194AD3-7A89-45E3-9309-64E747015439}"/>
    <cellStyle name="40% - Accent3 2 5 4" xfId="10505" xr:uid="{6ECD36C2-36EC-4B0C-BE81-F892F98942AF}"/>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944F49B6-DA98-455E-950B-9304BF2F36A0}"/>
    <cellStyle name="40% - Accent3 2 6 2 3" xfId="13063" xr:uid="{65356BE0-0371-49E5-93F7-70D77F0FA693}"/>
    <cellStyle name="40% - Accent3 2 6 3" xfId="5809" xr:uid="{00000000-0005-0000-0000-00004A050000}"/>
    <cellStyle name="40% - Accent3 2 6 3 2" xfId="15135" xr:uid="{FE3FB035-11A7-462D-8C0C-0C1A8EC10D79}"/>
    <cellStyle name="40% - Accent3 2 6 4" xfId="10918" xr:uid="{AA2E70ED-913A-4DD1-AEF4-42CB6DA4C1FA}"/>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83375F81-45C4-4997-9FA1-69DFCF8B39FA}"/>
    <cellStyle name="40% - Accent3 2 7 2 3" xfId="13476" xr:uid="{12258569-1931-4EB8-9707-555D5B76D22E}"/>
    <cellStyle name="40% - Accent3 2 7 3" xfId="6222" xr:uid="{00000000-0005-0000-0000-00004E050000}"/>
    <cellStyle name="40% - Accent3 2 7 3 2" xfId="15548" xr:uid="{4DF42990-8163-4C46-998A-2256C4819DDF}"/>
    <cellStyle name="40% - Accent3 2 7 4" xfId="11331" xr:uid="{EF697E1C-445D-4600-94CC-1F7EFB465AD8}"/>
    <cellStyle name="40% - Accent3 2 8" xfId="2329" xr:uid="{00000000-0005-0000-0000-00004F050000}"/>
    <cellStyle name="40% - Accent3 2 8 2" xfId="6635" xr:uid="{00000000-0005-0000-0000-000050050000}"/>
    <cellStyle name="40% - Accent3 2 8 2 2" xfId="15961" xr:uid="{0E9D8D74-1D10-4D6C-90A5-70FCA635471B}"/>
    <cellStyle name="40% - Accent3 2 8 3" xfId="11744" xr:uid="{D08F8667-A3A6-4B00-9AA4-42C94109FB5E}"/>
    <cellStyle name="40% - Accent3 2 9" xfId="4569" xr:uid="{00000000-0005-0000-0000-000051050000}"/>
    <cellStyle name="40% - Accent3 2 9 2" xfId="13895" xr:uid="{8AE9D446-029A-4CDE-927A-70E259DAE75A}"/>
    <cellStyle name="40% - Accent3 3" xfId="70" xr:uid="{00000000-0005-0000-0000-000052050000}"/>
    <cellStyle name="40% - Accent3 3 10" xfId="9682" xr:uid="{136CEC61-A959-45E7-BF57-BA549BCA71BB}"/>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84879E42-17A5-4FC4-839B-809B15CC15B8}"/>
    <cellStyle name="40% - Accent3 3 2 2 2 3" xfId="12242" xr:uid="{BC4D6447-DA6D-4B0F-8A0A-50DABC4C402A}"/>
    <cellStyle name="40% - Accent3 3 2 2 3" xfId="4988" xr:uid="{00000000-0005-0000-0000-000057050000}"/>
    <cellStyle name="40% - Accent3 3 2 2 3 2" xfId="14314" xr:uid="{30B0420E-1DEA-4ACD-9C87-1818F9FB7C09}"/>
    <cellStyle name="40% - Accent3 3 2 2 4" xfId="9498" xr:uid="{7C43CF58-5AE0-4BAA-9D2B-CAB92F3612F1}"/>
    <cellStyle name="40% - Accent3 3 2 2 5" xfId="10097" xr:uid="{654DE4BA-CD08-4882-9934-E83037B6EDE1}"/>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86236831-86E1-4176-9D98-EB2D5ABFC2C7}"/>
    <cellStyle name="40% - Accent3 3 2 3 2 3" xfId="12655" xr:uid="{8BDBE373-F9B5-4D7B-A109-5D48B4AC4C77}"/>
    <cellStyle name="40% - Accent3 3 2 3 3" xfId="5401" xr:uid="{00000000-0005-0000-0000-00005B050000}"/>
    <cellStyle name="40% - Accent3 3 2 3 3 2" xfId="14727" xr:uid="{EE36754B-3649-4CC0-8008-5C5FC60EF6D5}"/>
    <cellStyle name="40% - Accent3 3 2 3 4" xfId="10510" xr:uid="{2DB9A063-2412-438C-BC5B-A0FE3F0DAEF7}"/>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64556F9B-0A42-4829-B343-D892E9CB975F}"/>
    <cellStyle name="40% - Accent3 3 2 4 2 3" xfId="13068" xr:uid="{2AB2A926-BBF6-46F7-B0A6-B0274C45B02C}"/>
    <cellStyle name="40% - Accent3 3 2 4 3" xfId="5814" xr:uid="{00000000-0005-0000-0000-00005F050000}"/>
    <cellStyle name="40% - Accent3 3 2 4 3 2" xfId="15140" xr:uid="{94FC7141-E385-4AB7-9D96-C70B87CC6608}"/>
    <cellStyle name="40% - Accent3 3 2 4 4" xfId="10923" xr:uid="{C2C6394E-6F6B-4351-A599-EF2F221AA6B9}"/>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5F931AB7-7827-4A54-8C70-D68B9BEF3E93}"/>
    <cellStyle name="40% - Accent3 3 2 5 2 3" xfId="13481" xr:uid="{E5CF864C-774B-4F24-A0C9-F019305FD85E}"/>
    <cellStyle name="40% - Accent3 3 2 5 3" xfId="6227" xr:uid="{00000000-0005-0000-0000-000063050000}"/>
    <cellStyle name="40% - Accent3 3 2 5 3 2" xfId="15553" xr:uid="{A697E64A-77A2-4632-B522-936CEEBEE316}"/>
    <cellStyle name="40% - Accent3 3 2 5 4" xfId="11336" xr:uid="{8F5D9971-47F9-4F4B-90E2-3EB2CEB2B730}"/>
    <cellStyle name="40% - Accent3 3 2 6" xfId="2334" xr:uid="{00000000-0005-0000-0000-000064050000}"/>
    <cellStyle name="40% - Accent3 3 2 6 2" xfId="6640" xr:uid="{00000000-0005-0000-0000-000065050000}"/>
    <cellStyle name="40% - Accent3 3 2 6 2 2" xfId="15966" xr:uid="{016BBAF5-B61B-4E86-8439-965456BF5969}"/>
    <cellStyle name="40% - Accent3 3 2 6 3" xfId="11749" xr:uid="{831DD32F-29F9-4BE1-B517-2A8B592DCCFE}"/>
    <cellStyle name="40% - Accent3 3 2 7" xfId="4574" xr:uid="{00000000-0005-0000-0000-000066050000}"/>
    <cellStyle name="40% - Accent3 3 2 7 2" xfId="13900" xr:uid="{E604B23B-4215-460C-AEC3-1928FE153D92}"/>
    <cellStyle name="40% - Accent3 3 2 8" xfId="9073" xr:uid="{0E71C752-2CF0-411D-A05E-4DA4A73CFC34}"/>
    <cellStyle name="40% - Accent3 3 2 9" xfId="9683" xr:uid="{63F4696A-FF64-43EF-B6A3-0BFDAEE8FFC7}"/>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77581971-4CB7-4999-91A8-F43C7355A086}"/>
    <cellStyle name="40% - Accent3 3 3 2 3" xfId="12241" xr:uid="{62498388-03C3-4120-8B9F-AFFDF34D502C}"/>
    <cellStyle name="40% - Accent3 3 3 3" xfId="4987" xr:uid="{00000000-0005-0000-0000-00006A050000}"/>
    <cellStyle name="40% - Accent3 3 3 3 2" xfId="14313" xr:uid="{089C7E9D-52EF-4CE5-8BB8-6A6E59CD8A17}"/>
    <cellStyle name="40% - Accent3 3 3 4" xfId="9291" xr:uid="{59AB3F6D-A8C6-4A37-A8E3-967850079A77}"/>
    <cellStyle name="40% - Accent3 3 3 5" xfId="10096" xr:uid="{F9A2D79B-24CD-4584-935F-AFF681D2B81B}"/>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7086D3E5-BAC6-49F5-B048-DF30662DF75E}"/>
    <cellStyle name="40% - Accent3 3 4 2 3" xfId="12654" xr:uid="{07503F98-D78A-4244-9DE2-E6660FEC75C9}"/>
    <cellStyle name="40% - Accent3 3 4 3" xfId="5400" xr:uid="{00000000-0005-0000-0000-00006E050000}"/>
    <cellStyle name="40% - Accent3 3 4 3 2" xfId="14726" xr:uid="{57B027A1-FA72-4C41-9680-534BD221A856}"/>
    <cellStyle name="40% - Accent3 3 4 4" xfId="10509" xr:uid="{CDB14967-631C-44B8-B969-3A1AE0F2D914}"/>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8E970917-8D81-4E88-9D8E-2627CF8ACC1C}"/>
    <cellStyle name="40% - Accent3 3 5 2 3" xfId="13067" xr:uid="{B1EB0109-4194-4105-BBFF-B19D2B3DA5C4}"/>
    <cellStyle name="40% - Accent3 3 5 3" xfId="5813" xr:uid="{00000000-0005-0000-0000-000072050000}"/>
    <cellStyle name="40% - Accent3 3 5 3 2" xfId="15139" xr:uid="{87F9436A-9DFB-49EA-B159-7A80E10479C2}"/>
    <cellStyle name="40% - Accent3 3 5 4" xfId="10922" xr:uid="{C9AA604D-2FB6-44FA-A260-A5455325236F}"/>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922DB507-51DA-4408-A9E3-B5646F12C795}"/>
    <cellStyle name="40% - Accent3 3 6 2 3" xfId="13480" xr:uid="{84955728-A770-4223-96F7-9F9B11E13637}"/>
    <cellStyle name="40% - Accent3 3 6 3" xfId="6226" xr:uid="{00000000-0005-0000-0000-000076050000}"/>
    <cellStyle name="40% - Accent3 3 6 3 2" xfId="15552" xr:uid="{0DDE7DEE-6F2C-433B-85D6-839DA50586FA}"/>
    <cellStyle name="40% - Accent3 3 6 4" xfId="11335" xr:uid="{D9B29DAE-E977-45C7-B9FF-FAD621CB6E03}"/>
    <cellStyle name="40% - Accent3 3 7" xfId="2333" xr:uid="{00000000-0005-0000-0000-000077050000}"/>
    <cellStyle name="40% - Accent3 3 7 2" xfId="6639" xr:uid="{00000000-0005-0000-0000-000078050000}"/>
    <cellStyle name="40% - Accent3 3 7 2 2" xfId="15965" xr:uid="{0B5251CC-8B68-4F49-B6D0-106EADE1E339}"/>
    <cellStyle name="40% - Accent3 3 7 3" xfId="11748" xr:uid="{806971AD-6207-4B9A-818D-3DBB71EDC94E}"/>
    <cellStyle name="40% - Accent3 3 8" xfId="4573" xr:uid="{00000000-0005-0000-0000-000079050000}"/>
    <cellStyle name="40% - Accent3 3 8 2" xfId="13899" xr:uid="{3B8FE1CE-1300-4D1C-9DA0-E4AD4410532E}"/>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ACBF9AE0-C4A1-4E0B-B6FE-E1C358E81C74}"/>
    <cellStyle name="40% - Accent3 4 2 2 3" xfId="12243" xr:uid="{94FEC342-8E2F-436F-96FB-21B5F081D506}"/>
    <cellStyle name="40% - Accent3 4 2 3" xfId="4989" xr:uid="{00000000-0005-0000-0000-00007E050000}"/>
    <cellStyle name="40% - Accent3 4 2 3 2" xfId="14315" xr:uid="{4A9163D3-A357-4658-94E8-A839D2D29857}"/>
    <cellStyle name="40% - Accent3 4 2 4" xfId="9377" xr:uid="{F4393833-4E73-4685-9332-CF918D5239A9}"/>
    <cellStyle name="40% - Accent3 4 2 5" xfId="10098" xr:uid="{B5697E75-CFD9-45FD-A6B3-3FE3A2392BF1}"/>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57C1021D-F459-49E5-A746-DF51D6B179B8}"/>
    <cellStyle name="40% - Accent3 4 3 2 3" xfId="12656" xr:uid="{DB0546B9-A624-46F0-87E0-171FA920C82C}"/>
    <cellStyle name="40% - Accent3 4 3 3" xfId="5402" xr:uid="{00000000-0005-0000-0000-000082050000}"/>
    <cellStyle name="40% - Accent3 4 3 3 2" xfId="14728" xr:uid="{088174BE-E5A2-40B8-B59B-E6AE3E9688A5}"/>
    <cellStyle name="40% - Accent3 4 3 4" xfId="10511" xr:uid="{137E6AE2-69B2-4B5C-A1E3-C02BB80A9531}"/>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10B90532-E3CA-42B7-A835-38C2E630A5B4}"/>
    <cellStyle name="40% - Accent3 4 4 2 3" xfId="13069" xr:uid="{6B8E638A-E0B9-4051-BDF3-8892C8D678EA}"/>
    <cellStyle name="40% - Accent3 4 4 3" xfId="5815" xr:uid="{00000000-0005-0000-0000-000086050000}"/>
    <cellStyle name="40% - Accent3 4 4 3 2" xfId="15141" xr:uid="{352FA890-3F1E-4AB5-8E0F-27501C454709}"/>
    <cellStyle name="40% - Accent3 4 4 4" xfId="10924" xr:uid="{03206F89-B6E7-4442-8D88-4896B508E10B}"/>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468342CD-78A5-4305-8D53-C709CB350BD0}"/>
    <cellStyle name="40% - Accent3 4 5 2 3" xfId="13482" xr:uid="{B2FE170B-D4E4-4BED-A574-B92DCE33391B}"/>
    <cellStyle name="40% - Accent3 4 5 3" xfId="6228" xr:uid="{00000000-0005-0000-0000-00008A050000}"/>
    <cellStyle name="40% - Accent3 4 5 3 2" xfId="15554" xr:uid="{82AA1E31-E226-4212-8E12-9EAD4AF392CB}"/>
    <cellStyle name="40% - Accent3 4 5 4" xfId="11337" xr:uid="{1051E2C4-CDBD-4EBC-9842-4779AB3B9ACB}"/>
    <cellStyle name="40% - Accent3 4 6" xfId="2335" xr:uid="{00000000-0005-0000-0000-00008B050000}"/>
    <cellStyle name="40% - Accent3 4 6 2" xfId="6641" xr:uid="{00000000-0005-0000-0000-00008C050000}"/>
    <cellStyle name="40% - Accent3 4 6 2 2" xfId="15967" xr:uid="{323F8805-45C5-405D-87F1-CB152C416CAB}"/>
    <cellStyle name="40% - Accent3 4 6 3" xfId="11750" xr:uid="{36A9DB81-1D69-4A1F-A698-C7C17B0ED88E}"/>
    <cellStyle name="40% - Accent3 4 7" xfId="4575" xr:uid="{00000000-0005-0000-0000-00008D050000}"/>
    <cellStyle name="40% - Accent3 4 7 2" xfId="13901" xr:uid="{205AC2F4-EA23-4B23-9890-9CAE77890FC6}"/>
    <cellStyle name="40% - Accent3 4 8" xfId="8952" xr:uid="{74BF8F1E-4A34-4787-9BA1-0B97E446635F}"/>
    <cellStyle name="40% - Accent3 4 9" xfId="9684" xr:uid="{D0D80DC3-2295-49BE-999B-643B97D0321E}"/>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4CE8654F-21C3-4A39-B76E-783A0CAE2F4F}"/>
    <cellStyle name="40% - Accent3 5 2 3" xfId="12236" xr:uid="{E3CA7111-5705-4931-A0BD-129FCDD39EBD}"/>
    <cellStyle name="40% - Accent3 5 3" xfId="4982" xr:uid="{00000000-0005-0000-0000-000091050000}"/>
    <cellStyle name="40% - Accent3 5 3 2" xfId="14308" xr:uid="{36ECCCBF-35D9-4DB2-B16F-AF4516E75A92}"/>
    <cellStyle name="40% - Accent3 5 4" xfId="9185" xr:uid="{526F025D-EBF7-4976-9E38-4C0631A2843B}"/>
    <cellStyle name="40% - Accent3 5 5" xfId="10091" xr:uid="{638E8F39-460B-433C-AE93-28F5A2846734}"/>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6D535D13-26FE-426F-AD54-F8D29851BF0F}"/>
    <cellStyle name="40% - Accent3 6 2 3" xfId="12649" xr:uid="{3663E9A0-F39D-4E06-978E-2F6DACE94AC5}"/>
    <cellStyle name="40% - Accent3 6 3" xfId="5395" xr:uid="{00000000-0005-0000-0000-000095050000}"/>
    <cellStyle name="40% - Accent3 6 3 2" xfId="14721" xr:uid="{CC4FBBCF-1C6F-48F7-9DC7-775CF4947193}"/>
    <cellStyle name="40% - Accent3 6 4" xfId="10504" xr:uid="{DE2B1F3B-C630-487F-BC68-F1A03B62CADD}"/>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1647870A-2002-439E-8E84-029ECD5A1B67}"/>
    <cellStyle name="40% - Accent3 7 2 3" xfId="13062" xr:uid="{DF46562A-8F43-429C-A5A1-B31616533857}"/>
    <cellStyle name="40% - Accent3 7 3" xfId="5808" xr:uid="{00000000-0005-0000-0000-000099050000}"/>
    <cellStyle name="40% - Accent3 7 3 2" xfId="15134" xr:uid="{B6E00EBF-104E-4488-9FAD-17FDC8D8C662}"/>
    <cellStyle name="40% - Accent3 7 4" xfId="10917" xr:uid="{4D2B3995-462F-44F9-A835-C21424C15AE6}"/>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9DCE4A5A-9831-4A6A-A0F1-98A2620F2FCF}"/>
    <cellStyle name="40% - Accent3 8 2 3" xfId="13475" xr:uid="{CB8CC199-5970-4557-BF63-C898572F73E3}"/>
    <cellStyle name="40% - Accent3 8 3" xfId="6221" xr:uid="{00000000-0005-0000-0000-00009D050000}"/>
    <cellStyle name="40% - Accent3 8 3 2" xfId="15547" xr:uid="{F68DA4DE-7732-4A0C-9930-D417B8D54DF1}"/>
    <cellStyle name="40% - Accent3 8 4" xfId="11330" xr:uid="{139961D2-9B34-4C21-9475-B5F8C7A2D5AA}"/>
    <cellStyle name="40% - Accent3 9" xfId="2328" xr:uid="{00000000-0005-0000-0000-00009E050000}"/>
    <cellStyle name="40% - Accent3 9 2" xfId="6634" xr:uid="{00000000-0005-0000-0000-00009F050000}"/>
    <cellStyle name="40% - Accent3 9 2 2" xfId="15960" xr:uid="{12CA4F42-10E5-41C0-8824-C836E8D64576}"/>
    <cellStyle name="40% - Accent3 9 3" xfId="11743" xr:uid="{C251201D-AE90-40E6-A6B8-2F485352B596}"/>
    <cellStyle name="40% - Accent4" xfId="73" builtinId="43" customBuiltin="1"/>
    <cellStyle name="40% - Accent4 10" xfId="4576" xr:uid="{00000000-0005-0000-0000-0000A1050000}"/>
    <cellStyle name="40% - Accent4 10 2" xfId="13902" xr:uid="{0216EC2D-F4CD-4803-A0FE-D82B43EAE43D}"/>
    <cellStyle name="40% - Accent4 11" xfId="8765" xr:uid="{18B6B6D6-5043-43D1-BB02-3855BF7027C3}"/>
    <cellStyle name="40% - Accent4 12" xfId="9685" xr:uid="{2F9D76F2-6276-44DF-9726-9B4A81BC1244}"/>
    <cellStyle name="40% - Accent4 2" xfId="74" xr:uid="{00000000-0005-0000-0000-0000A2050000}"/>
    <cellStyle name="40% - Accent4 2 10" xfId="8801" xr:uid="{223FCC58-A05E-4022-8080-E75A80678FA6}"/>
    <cellStyle name="40% - Accent4 2 11" xfId="9686" xr:uid="{90B1676D-B667-4AD2-BB7D-92EFE3B75E08}"/>
    <cellStyle name="40% - Accent4 2 2" xfId="75" xr:uid="{00000000-0005-0000-0000-0000A3050000}"/>
    <cellStyle name="40% - Accent4 2 2 10" xfId="9687" xr:uid="{02F8079F-2D43-43E2-ABA7-F21CF8CC0384}"/>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A4E4364F-7E3C-49D9-93CE-E97B3B216E9F}"/>
    <cellStyle name="40% - Accent4 2 2 2 2 2 3" xfId="12247" xr:uid="{2C6C06F9-0BDA-4701-A729-D6E4F56B05F7}"/>
    <cellStyle name="40% - Accent4 2 2 2 2 3" xfId="4993" xr:uid="{00000000-0005-0000-0000-0000A8050000}"/>
    <cellStyle name="40% - Accent4 2 2 2 2 3 2" xfId="14319" xr:uid="{450608D1-A6C9-4C59-B3B5-D523D2367EDD}"/>
    <cellStyle name="40% - Accent4 2 2 2 2 4" xfId="9536" xr:uid="{4351D24F-CE30-4CFD-968F-4B882F0FC9B5}"/>
    <cellStyle name="40% - Accent4 2 2 2 2 5" xfId="10102" xr:uid="{28201A21-C949-4595-A708-F35B3D216F3A}"/>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05195E31-BC29-4B09-9C7B-C7485BACC5D5}"/>
    <cellStyle name="40% - Accent4 2 2 2 3 2 3" xfId="12660" xr:uid="{42E3D6A2-1285-48C8-A334-A54A676DC393}"/>
    <cellStyle name="40% - Accent4 2 2 2 3 3" xfId="5406" xr:uid="{00000000-0005-0000-0000-0000AC050000}"/>
    <cellStyle name="40% - Accent4 2 2 2 3 3 2" xfId="14732" xr:uid="{A4F7E2C3-C37F-43AA-8D01-76F6D0EA05A6}"/>
    <cellStyle name="40% - Accent4 2 2 2 3 4" xfId="10515" xr:uid="{4C3F7135-3A93-4551-909A-BC5B814E1CC5}"/>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22964192-815C-40CC-B0FD-79E227EB708E}"/>
    <cellStyle name="40% - Accent4 2 2 2 4 2 3" xfId="13073" xr:uid="{E1FE81FE-E38E-4FE9-9767-BBEC5A4751B9}"/>
    <cellStyle name="40% - Accent4 2 2 2 4 3" xfId="5819" xr:uid="{00000000-0005-0000-0000-0000B0050000}"/>
    <cellStyle name="40% - Accent4 2 2 2 4 3 2" xfId="15145" xr:uid="{22057AA3-052C-4EF6-83E5-66F8B05A10C2}"/>
    <cellStyle name="40% - Accent4 2 2 2 4 4" xfId="10928" xr:uid="{D58C11A6-378E-4320-B557-B088B480492F}"/>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D7158837-2028-489B-92EE-344371A86FE1}"/>
    <cellStyle name="40% - Accent4 2 2 2 5 2 3" xfId="13486" xr:uid="{5F515B0C-CC4B-48A3-BCB2-6137BD514D97}"/>
    <cellStyle name="40% - Accent4 2 2 2 5 3" xfId="6232" xr:uid="{00000000-0005-0000-0000-0000B4050000}"/>
    <cellStyle name="40% - Accent4 2 2 2 5 3 2" xfId="15558" xr:uid="{AB1496B8-850D-4D3E-9C06-D29E29D2CD1C}"/>
    <cellStyle name="40% - Accent4 2 2 2 5 4" xfId="11341" xr:uid="{66B96101-699F-425B-8044-7EF22E58857D}"/>
    <cellStyle name="40% - Accent4 2 2 2 6" xfId="2339" xr:uid="{00000000-0005-0000-0000-0000B5050000}"/>
    <cellStyle name="40% - Accent4 2 2 2 6 2" xfId="6645" xr:uid="{00000000-0005-0000-0000-0000B6050000}"/>
    <cellStyle name="40% - Accent4 2 2 2 6 2 2" xfId="15971" xr:uid="{C7330491-D5AA-4650-94FF-DD997A63E2F1}"/>
    <cellStyle name="40% - Accent4 2 2 2 6 3" xfId="11754" xr:uid="{D168D9C0-B8F7-4F39-A94B-5DA76FDDE868}"/>
    <cellStyle name="40% - Accent4 2 2 2 7" xfId="4579" xr:uid="{00000000-0005-0000-0000-0000B7050000}"/>
    <cellStyle name="40% - Accent4 2 2 2 7 2" xfId="13905" xr:uid="{D5D741CA-7F7F-4144-B0A0-50AA25201EBF}"/>
    <cellStyle name="40% - Accent4 2 2 2 8" xfId="9111" xr:uid="{1DD86F12-0D11-497C-88D9-78D90E1EF65F}"/>
    <cellStyle name="40% - Accent4 2 2 2 9" xfId="9688" xr:uid="{576D6393-F376-41AF-8849-C797D0076CE1}"/>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EA0315C0-7DDF-4C9E-9803-9338441AA392}"/>
    <cellStyle name="40% - Accent4 2 2 3 2 3" xfId="12246" xr:uid="{6D148E9D-108D-42B6-AF23-57DA5F8EE3B3}"/>
    <cellStyle name="40% - Accent4 2 2 3 3" xfId="4992" xr:uid="{00000000-0005-0000-0000-0000BB050000}"/>
    <cellStyle name="40% - Accent4 2 2 3 3 2" xfId="14318" xr:uid="{009131D4-BD0F-4739-8159-4DBB8A7CE759}"/>
    <cellStyle name="40% - Accent4 2 2 3 4" xfId="9329" xr:uid="{62CB3536-9FC4-4DBF-9121-AD0025D891C9}"/>
    <cellStyle name="40% - Accent4 2 2 3 5" xfId="10101" xr:uid="{41D627FD-5E7B-48FB-8115-B75C338C303E}"/>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028549E1-A643-414F-BF21-86AC398AB6FA}"/>
    <cellStyle name="40% - Accent4 2 2 4 2 3" xfId="12659" xr:uid="{A2A9B644-3591-4130-A733-67D55253FE59}"/>
    <cellStyle name="40% - Accent4 2 2 4 3" xfId="5405" xr:uid="{00000000-0005-0000-0000-0000BF050000}"/>
    <cellStyle name="40% - Accent4 2 2 4 3 2" xfId="14731" xr:uid="{11FC54D2-954F-451D-AF3D-ED877C09F650}"/>
    <cellStyle name="40% - Accent4 2 2 4 4" xfId="10514" xr:uid="{D497284B-F2C2-43D2-9F40-B00124113807}"/>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F220DE00-67FA-4569-AB61-E0B3BA11AC1A}"/>
    <cellStyle name="40% - Accent4 2 2 5 2 3" xfId="13072" xr:uid="{64CC7036-2FDE-483C-9911-8AA6B652D8E9}"/>
    <cellStyle name="40% - Accent4 2 2 5 3" xfId="5818" xr:uid="{00000000-0005-0000-0000-0000C3050000}"/>
    <cellStyle name="40% - Accent4 2 2 5 3 2" xfId="15144" xr:uid="{A5F66473-56CC-460C-B0A4-6F4B1E8FD939}"/>
    <cellStyle name="40% - Accent4 2 2 5 4" xfId="10927" xr:uid="{7418E4C3-CE26-4563-849E-6985DE1CC6A1}"/>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20189554-CA19-4ACF-99C3-FF8C277594D6}"/>
    <cellStyle name="40% - Accent4 2 2 6 2 3" xfId="13485" xr:uid="{68A4B528-B528-4AB3-A200-1900ED71ED6C}"/>
    <cellStyle name="40% - Accent4 2 2 6 3" xfId="6231" xr:uid="{00000000-0005-0000-0000-0000C7050000}"/>
    <cellStyle name="40% - Accent4 2 2 6 3 2" xfId="15557" xr:uid="{E479BB98-F97B-4005-9164-0CB915E5D31D}"/>
    <cellStyle name="40% - Accent4 2 2 6 4" xfId="11340" xr:uid="{C3390EB2-D756-46A3-B27E-12B4A7317BAE}"/>
    <cellStyle name="40% - Accent4 2 2 7" xfId="2338" xr:uid="{00000000-0005-0000-0000-0000C8050000}"/>
    <cellStyle name="40% - Accent4 2 2 7 2" xfId="6644" xr:uid="{00000000-0005-0000-0000-0000C9050000}"/>
    <cellStyle name="40% - Accent4 2 2 7 2 2" xfId="15970" xr:uid="{F9FE77A5-C945-4B31-87A3-2A1C211089FF}"/>
    <cellStyle name="40% - Accent4 2 2 7 3" xfId="11753" xr:uid="{6B47B090-01D8-4D07-8A00-0D209500607B}"/>
    <cellStyle name="40% - Accent4 2 2 8" xfId="4578" xr:uid="{00000000-0005-0000-0000-0000CA050000}"/>
    <cellStyle name="40% - Accent4 2 2 8 2" xfId="13904" xr:uid="{010B78B1-99D9-4AB7-BA94-E8075B0FB9B7}"/>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1BD2EBF5-402E-4464-9986-773D5F61D093}"/>
    <cellStyle name="40% - Accent4 2 3 2 2 3" xfId="12248" xr:uid="{6E3E561B-7576-4576-A691-0AD1DFAAA136}"/>
    <cellStyle name="40% - Accent4 2 3 2 3" xfId="4994" xr:uid="{00000000-0005-0000-0000-0000CF050000}"/>
    <cellStyle name="40% - Accent4 2 3 2 3 2" xfId="14320" xr:uid="{19FAC98A-F38F-4542-8169-779C9DC13662}"/>
    <cellStyle name="40% - Accent4 2 3 2 4" xfId="9433" xr:uid="{058786D1-7E7D-40D9-9218-B4C7219F4E53}"/>
    <cellStyle name="40% - Accent4 2 3 2 5" xfId="10103" xr:uid="{2D5819D9-ECBF-433D-9B7B-98E1E701352D}"/>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8E9391DB-A946-4E6F-BCBE-111233190144}"/>
    <cellStyle name="40% - Accent4 2 3 3 2 3" xfId="12661" xr:uid="{7EEBFC46-2795-4B37-A908-CF4DF1866346}"/>
    <cellStyle name="40% - Accent4 2 3 3 3" xfId="5407" xr:uid="{00000000-0005-0000-0000-0000D3050000}"/>
    <cellStyle name="40% - Accent4 2 3 3 3 2" xfId="14733" xr:uid="{F561469C-37FF-4B2A-8358-31247A788422}"/>
    <cellStyle name="40% - Accent4 2 3 3 4" xfId="10516" xr:uid="{ABB3386E-E849-4F8A-839F-8A1BA2251D35}"/>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C3D8DF5D-62A8-4B3F-9EB3-92347FEF5DC1}"/>
    <cellStyle name="40% - Accent4 2 3 4 2 3" xfId="13074" xr:uid="{69E65700-8FBD-4E90-9E14-E91765B209CC}"/>
    <cellStyle name="40% - Accent4 2 3 4 3" xfId="5820" xr:uid="{00000000-0005-0000-0000-0000D7050000}"/>
    <cellStyle name="40% - Accent4 2 3 4 3 2" xfId="15146" xr:uid="{F3472280-079F-437E-844A-63F4EF363808}"/>
    <cellStyle name="40% - Accent4 2 3 4 4" xfId="10929" xr:uid="{3156F074-BB64-4961-8C3E-16C77FE13982}"/>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E8ED9849-1B39-4F89-8C8B-8419B61338B8}"/>
    <cellStyle name="40% - Accent4 2 3 5 2 3" xfId="13487" xr:uid="{34FE357B-010F-4179-8CC6-BBA90208EB51}"/>
    <cellStyle name="40% - Accent4 2 3 5 3" xfId="6233" xr:uid="{00000000-0005-0000-0000-0000DB050000}"/>
    <cellStyle name="40% - Accent4 2 3 5 3 2" xfId="15559" xr:uid="{049E7658-51CA-4281-AE36-6BD5A1A3E808}"/>
    <cellStyle name="40% - Accent4 2 3 5 4" xfId="11342" xr:uid="{8C08B1C1-AFA8-4074-9438-5075C70B2A35}"/>
    <cellStyle name="40% - Accent4 2 3 6" xfId="2340" xr:uid="{00000000-0005-0000-0000-0000DC050000}"/>
    <cellStyle name="40% - Accent4 2 3 6 2" xfId="6646" xr:uid="{00000000-0005-0000-0000-0000DD050000}"/>
    <cellStyle name="40% - Accent4 2 3 6 2 2" xfId="15972" xr:uid="{023488C0-53EC-4FF7-A896-94B6334F465F}"/>
    <cellStyle name="40% - Accent4 2 3 6 3" xfId="11755" xr:uid="{A2188CA0-D547-4366-AF69-374AEFE4514D}"/>
    <cellStyle name="40% - Accent4 2 3 7" xfId="4580" xr:uid="{00000000-0005-0000-0000-0000DE050000}"/>
    <cellStyle name="40% - Accent4 2 3 7 2" xfId="13906" xr:uid="{F485D35D-0196-43BB-A097-FD55EDF96DFD}"/>
    <cellStyle name="40% - Accent4 2 3 8" xfId="9008" xr:uid="{270F4CAB-C86F-4D9D-804F-69497913908B}"/>
    <cellStyle name="40% - Accent4 2 3 9" xfId="9689" xr:uid="{55A48D85-251A-41BB-BB89-08A2EB8EA83C}"/>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47B69435-1AC8-4257-B560-BA558F128AF5}"/>
    <cellStyle name="40% - Accent4 2 4 2 3" xfId="12245" xr:uid="{C4AF8038-C91A-4177-B41A-C447E056430B}"/>
    <cellStyle name="40% - Accent4 2 4 3" xfId="4991" xr:uid="{00000000-0005-0000-0000-0000E2050000}"/>
    <cellStyle name="40% - Accent4 2 4 3 2" xfId="14317" xr:uid="{07BAC204-E569-4E9F-9312-DE1D964C7635}"/>
    <cellStyle name="40% - Accent4 2 4 4" xfId="9225" xr:uid="{40EEB981-54C4-40E4-A2F9-BCD479248D23}"/>
    <cellStyle name="40% - Accent4 2 4 5" xfId="10100" xr:uid="{BDC8D722-5FFC-4740-9779-C95A179662C6}"/>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E236C442-E810-4E5C-94A6-51535173E539}"/>
    <cellStyle name="40% - Accent4 2 5 2 3" xfId="12658" xr:uid="{0C8CE653-19ED-426A-A66F-22B81E847BA5}"/>
    <cellStyle name="40% - Accent4 2 5 3" xfId="5404" xr:uid="{00000000-0005-0000-0000-0000E6050000}"/>
    <cellStyle name="40% - Accent4 2 5 3 2" xfId="14730" xr:uid="{5230DD71-4432-4F37-AC4D-A551629234A0}"/>
    <cellStyle name="40% - Accent4 2 5 4" xfId="10513" xr:uid="{BC66A4CB-58A6-4A1D-8B72-3CDDBEA7E4C6}"/>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E38902A9-FAD3-4836-8CE3-CE038259AEDF}"/>
    <cellStyle name="40% - Accent4 2 6 2 3" xfId="13071" xr:uid="{97BBFA56-6CC7-4D49-BEE4-CD0C09BFC1C2}"/>
    <cellStyle name="40% - Accent4 2 6 3" xfId="5817" xr:uid="{00000000-0005-0000-0000-0000EA050000}"/>
    <cellStyle name="40% - Accent4 2 6 3 2" xfId="15143" xr:uid="{F1C7901C-A686-4603-8611-198D944543CE}"/>
    <cellStyle name="40% - Accent4 2 6 4" xfId="10926" xr:uid="{22598177-41F8-46C5-BB4A-FF936EA3FF10}"/>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AA0D2724-CDA0-4D9F-B87B-41D6373A9927}"/>
    <cellStyle name="40% - Accent4 2 7 2 3" xfId="13484" xr:uid="{2B9421CF-88DE-448B-8B56-9A078F1C98CC}"/>
    <cellStyle name="40% - Accent4 2 7 3" xfId="6230" xr:uid="{00000000-0005-0000-0000-0000EE050000}"/>
    <cellStyle name="40% - Accent4 2 7 3 2" xfId="15556" xr:uid="{9D4962DA-C18E-43B0-97DC-A96ED3ACF112}"/>
    <cellStyle name="40% - Accent4 2 7 4" xfId="11339" xr:uid="{7F17A546-BA6D-4CE6-ACE5-BF6EF310EB01}"/>
    <cellStyle name="40% - Accent4 2 8" xfId="2337" xr:uid="{00000000-0005-0000-0000-0000EF050000}"/>
    <cellStyle name="40% - Accent4 2 8 2" xfId="6643" xr:uid="{00000000-0005-0000-0000-0000F0050000}"/>
    <cellStyle name="40% - Accent4 2 8 2 2" xfId="15969" xr:uid="{30DF389C-154D-4186-BB78-F9C47A947A92}"/>
    <cellStyle name="40% - Accent4 2 8 3" xfId="11752" xr:uid="{FDE889B6-3B3D-41BD-A88C-647FD71690A8}"/>
    <cellStyle name="40% - Accent4 2 9" xfId="4577" xr:uid="{00000000-0005-0000-0000-0000F1050000}"/>
    <cellStyle name="40% - Accent4 2 9 2" xfId="13903" xr:uid="{7ADEA334-7783-4945-94AC-421A4BB38E4F}"/>
    <cellStyle name="40% - Accent4 3" xfId="78" xr:uid="{00000000-0005-0000-0000-0000F2050000}"/>
    <cellStyle name="40% - Accent4 3 10" xfId="9690" xr:uid="{BB0ACBCD-370B-4938-8B18-5BB1997665EF}"/>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E384973D-DE0E-424A-A05D-E709852433BF}"/>
    <cellStyle name="40% - Accent4 3 2 2 2 3" xfId="12250" xr:uid="{854A0493-0CB0-4AB2-B6E1-8199733A20AE}"/>
    <cellStyle name="40% - Accent4 3 2 2 3" xfId="4996" xr:uid="{00000000-0005-0000-0000-0000F7050000}"/>
    <cellStyle name="40% - Accent4 3 2 2 3 2" xfId="14322" xr:uid="{38B177D4-7CAF-4871-8B82-FDB540E0CE17}"/>
    <cellStyle name="40% - Accent4 3 2 2 4" xfId="9500" xr:uid="{EAAAC99F-A3A1-40FB-B78D-6862EF121B7A}"/>
    <cellStyle name="40% - Accent4 3 2 2 5" xfId="10105" xr:uid="{2D1B173F-2501-4311-A5F5-A1396A0CC8DE}"/>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9A5A01C8-227C-418E-A29D-0266290938CB}"/>
    <cellStyle name="40% - Accent4 3 2 3 2 3" xfId="12663" xr:uid="{562F9160-0A44-47FD-A731-C03DCF1D18FD}"/>
    <cellStyle name="40% - Accent4 3 2 3 3" xfId="5409" xr:uid="{00000000-0005-0000-0000-0000FB050000}"/>
    <cellStyle name="40% - Accent4 3 2 3 3 2" xfId="14735" xr:uid="{0DA2C3E4-5FA8-4686-A34A-3DC454D5E022}"/>
    <cellStyle name="40% - Accent4 3 2 3 4" xfId="10518" xr:uid="{80D9C349-A583-4707-B26E-8F42408AAC9B}"/>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57866BB5-8AB2-4B7D-A9FC-C5CCAD8C6929}"/>
    <cellStyle name="40% - Accent4 3 2 4 2 3" xfId="13076" xr:uid="{54046F88-D4A7-483D-A32A-1EEAD7ADB065}"/>
    <cellStyle name="40% - Accent4 3 2 4 3" xfId="5822" xr:uid="{00000000-0005-0000-0000-0000FF050000}"/>
    <cellStyle name="40% - Accent4 3 2 4 3 2" xfId="15148" xr:uid="{A8311EEE-1E3C-41B7-8475-CB38E0372BC2}"/>
    <cellStyle name="40% - Accent4 3 2 4 4" xfId="10931" xr:uid="{ADE9C53D-69A0-4D49-BEDF-9D8CE575594F}"/>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92CC0F09-1F1A-4A82-8695-F261313E0CAB}"/>
    <cellStyle name="40% - Accent4 3 2 5 2 3" xfId="13489" xr:uid="{1AC9360F-1915-4C1C-A16D-D9F3E64A23F9}"/>
    <cellStyle name="40% - Accent4 3 2 5 3" xfId="6235" xr:uid="{00000000-0005-0000-0000-000003060000}"/>
    <cellStyle name="40% - Accent4 3 2 5 3 2" xfId="15561" xr:uid="{2ED8883E-F179-4F11-9099-AA5BA38F9071}"/>
    <cellStyle name="40% - Accent4 3 2 5 4" xfId="11344" xr:uid="{BD4F80ED-DC16-4FB6-9E2C-05F4C3CE25F5}"/>
    <cellStyle name="40% - Accent4 3 2 6" xfId="2342" xr:uid="{00000000-0005-0000-0000-000004060000}"/>
    <cellStyle name="40% - Accent4 3 2 6 2" xfId="6648" xr:uid="{00000000-0005-0000-0000-000005060000}"/>
    <cellStyle name="40% - Accent4 3 2 6 2 2" xfId="15974" xr:uid="{E91C0D54-31A1-481D-BCA8-D662ABB4ED5C}"/>
    <cellStyle name="40% - Accent4 3 2 6 3" xfId="11757" xr:uid="{CD2A7BDB-4AE4-41E4-9CC4-2046B6195DE3}"/>
    <cellStyle name="40% - Accent4 3 2 7" xfId="4582" xr:uid="{00000000-0005-0000-0000-000006060000}"/>
    <cellStyle name="40% - Accent4 3 2 7 2" xfId="13908" xr:uid="{56EFBD97-95D1-474C-9783-40AF20782B22}"/>
    <cellStyle name="40% - Accent4 3 2 8" xfId="9075" xr:uid="{6C51FF47-5618-4E1E-BC97-01FFF287A6C3}"/>
    <cellStyle name="40% - Accent4 3 2 9" xfId="9691" xr:uid="{E2283078-0F51-4B25-B037-C4D08C247CEB}"/>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F115726E-5277-4961-92BA-FBBABC8DB552}"/>
    <cellStyle name="40% - Accent4 3 3 2 3" xfId="12249" xr:uid="{1EA742A7-CDA7-4B4B-A484-7FC1BFD8E4D6}"/>
    <cellStyle name="40% - Accent4 3 3 3" xfId="4995" xr:uid="{00000000-0005-0000-0000-00000A060000}"/>
    <cellStyle name="40% - Accent4 3 3 3 2" xfId="14321" xr:uid="{1CC69669-0906-4FA5-8676-AE72F11F97F2}"/>
    <cellStyle name="40% - Accent4 3 3 4" xfId="9293" xr:uid="{4A28D7F5-3617-45DC-A350-6C6596CDA765}"/>
    <cellStyle name="40% - Accent4 3 3 5" xfId="10104" xr:uid="{82F75F51-3437-414F-B6AD-E96744E1935B}"/>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2C7079A7-850C-4B66-B2B6-7F394F245D2D}"/>
    <cellStyle name="40% - Accent4 3 4 2 3" xfId="12662" xr:uid="{49E76CC4-9651-4C86-83EE-1300335D26BD}"/>
    <cellStyle name="40% - Accent4 3 4 3" xfId="5408" xr:uid="{00000000-0005-0000-0000-00000E060000}"/>
    <cellStyle name="40% - Accent4 3 4 3 2" xfId="14734" xr:uid="{FB63F8FB-7733-413B-B38E-E44398313654}"/>
    <cellStyle name="40% - Accent4 3 4 4" xfId="10517" xr:uid="{F8FCA3D9-C50D-47C4-971F-8DF34C3291AC}"/>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6BCEA17F-ACC6-4013-A6C7-BF2CEF95F4D5}"/>
    <cellStyle name="40% - Accent4 3 5 2 3" xfId="13075" xr:uid="{EF59B73B-9633-4DDD-A106-71B917F20919}"/>
    <cellStyle name="40% - Accent4 3 5 3" xfId="5821" xr:uid="{00000000-0005-0000-0000-000012060000}"/>
    <cellStyle name="40% - Accent4 3 5 3 2" xfId="15147" xr:uid="{1E3D4F4E-1E6A-471B-BED4-07125B8EBB4A}"/>
    <cellStyle name="40% - Accent4 3 5 4" xfId="10930" xr:uid="{7004C07C-ED13-40B6-800B-F139B5037EE2}"/>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70E74FBF-F3A5-4F48-AB21-E2998B450B44}"/>
    <cellStyle name="40% - Accent4 3 6 2 3" xfId="13488" xr:uid="{F8F97B07-4F39-416C-A841-25A671344B67}"/>
    <cellStyle name="40% - Accent4 3 6 3" xfId="6234" xr:uid="{00000000-0005-0000-0000-000016060000}"/>
    <cellStyle name="40% - Accent4 3 6 3 2" xfId="15560" xr:uid="{C73604E1-93B9-46ED-A668-2A40A5234FF4}"/>
    <cellStyle name="40% - Accent4 3 6 4" xfId="11343" xr:uid="{BA81AB95-B59F-4245-B85A-E2C52736A707}"/>
    <cellStyle name="40% - Accent4 3 7" xfId="2341" xr:uid="{00000000-0005-0000-0000-000017060000}"/>
    <cellStyle name="40% - Accent4 3 7 2" xfId="6647" xr:uid="{00000000-0005-0000-0000-000018060000}"/>
    <cellStyle name="40% - Accent4 3 7 2 2" xfId="15973" xr:uid="{287BC7B5-605B-4CC7-94AC-81FF9EDC8419}"/>
    <cellStyle name="40% - Accent4 3 7 3" xfId="11756" xr:uid="{DD913238-84E3-4A19-8782-5F6A6EA8D0C3}"/>
    <cellStyle name="40% - Accent4 3 8" xfId="4581" xr:uid="{00000000-0005-0000-0000-000019060000}"/>
    <cellStyle name="40% - Accent4 3 8 2" xfId="13907" xr:uid="{ABC7D5AA-FAC4-4710-8686-257340FA0B6B}"/>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39CCC327-3CE4-4C33-BF1F-A3C5D5B63DC3}"/>
    <cellStyle name="40% - Accent4 4 2 2 3" xfId="12251" xr:uid="{6FFBB2E4-2A86-4233-BC1A-C96ABD763675}"/>
    <cellStyle name="40% - Accent4 4 2 3" xfId="4997" xr:uid="{00000000-0005-0000-0000-00001E060000}"/>
    <cellStyle name="40% - Accent4 4 2 3 2" xfId="14323" xr:uid="{678BD75A-4D90-4908-B732-34DFFAC10D96}"/>
    <cellStyle name="40% - Accent4 4 2 4" xfId="9379" xr:uid="{EE31EAE0-1741-4D6E-B7B4-C5DB59044F55}"/>
    <cellStyle name="40% - Accent4 4 2 5" xfId="10106" xr:uid="{BBBCC97B-B80E-4793-8EB4-0FB9680569EA}"/>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CA590253-EEE0-48A6-B38D-2CE38A4DB4D3}"/>
    <cellStyle name="40% - Accent4 4 3 2 3" xfId="12664" xr:uid="{1262D315-E32E-494F-A94A-F7FDF5831854}"/>
    <cellStyle name="40% - Accent4 4 3 3" xfId="5410" xr:uid="{00000000-0005-0000-0000-000022060000}"/>
    <cellStyle name="40% - Accent4 4 3 3 2" xfId="14736" xr:uid="{AA129314-0A31-4049-AAE4-8BE3D7BB695A}"/>
    <cellStyle name="40% - Accent4 4 3 4" xfId="10519" xr:uid="{9F4C8D8C-16CE-4C3E-BCF8-1AD45FB3DF85}"/>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2614D86B-29B3-418C-9C79-69CFB83D27CD}"/>
    <cellStyle name="40% - Accent4 4 4 2 3" xfId="13077" xr:uid="{DA9F44B3-AD7C-41D1-9556-7D799355825E}"/>
    <cellStyle name="40% - Accent4 4 4 3" xfId="5823" xr:uid="{00000000-0005-0000-0000-000026060000}"/>
    <cellStyle name="40% - Accent4 4 4 3 2" xfId="15149" xr:uid="{7C4D2AE7-292E-49C2-8338-B6E16B4ACB3E}"/>
    <cellStyle name="40% - Accent4 4 4 4" xfId="10932" xr:uid="{5A2EF7F6-6D27-4C3C-9CE9-34A186184931}"/>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4ABA0B85-2801-4C3D-B075-D76F5C6CA2A5}"/>
    <cellStyle name="40% - Accent4 4 5 2 3" xfId="13490" xr:uid="{2022472A-274F-4666-92A4-4959376749DC}"/>
    <cellStyle name="40% - Accent4 4 5 3" xfId="6236" xr:uid="{00000000-0005-0000-0000-00002A060000}"/>
    <cellStyle name="40% - Accent4 4 5 3 2" xfId="15562" xr:uid="{C426CE1E-A974-4F4C-919E-DABACD80E29E}"/>
    <cellStyle name="40% - Accent4 4 5 4" xfId="11345" xr:uid="{ED190CD2-54E5-418A-B8DD-FB4178D5CD13}"/>
    <cellStyle name="40% - Accent4 4 6" xfId="2343" xr:uid="{00000000-0005-0000-0000-00002B060000}"/>
    <cellStyle name="40% - Accent4 4 6 2" xfId="6649" xr:uid="{00000000-0005-0000-0000-00002C060000}"/>
    <cellStyle name="40% - Accent4 4 6 2 2" xfId="15975" xr:uid="{D23591C9-8D04-4E18-B01D-A5CD92B4F317}"/>
    <cellStyle name="40% - Accent4 4 6 3" xfId="11758" xr:uid="{9F003F81-574D-4489-9E1E-5F0409850D13}"/>
    <cellStyle name="40% - Accent4 4 7" xfId="4583" xr:uid="{00000000-0005-0000-0000-00002D060000}"/>
    <cellStyle name="40% - Accent4 4 7 2" xfId="13909" xr:uid="{725157D4-8998-488A-8FCB-A262DA14EAD8}"/>
    <cellStyle name="40% - Accent4 4 8" xfId="8954" xr:uid="{2C178683-58B3-4513-85E7-15FAC3AC035D}"/>
    <cellStyle name="40% - Accent4 4 9" xfId="9692" xr:uid="{B4B3306A-69CE-440E-AA79-2202AF1CFF13}"/>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05365F2C-9D0C-46E8-870B-2BF326C0503B}"/>
    <cellStyle name="40% - Accent4 5 2 3" xfId="12244" xr:uid="{BE536761-DB57-43B8-8377-EAB9D5D43E23}"/>
    <cellStyle name="40% - Accent4 5 3" xfId="4990" xr:uid="{00000000-0005-0000-0000-000031060000}"/>
    <cellStyle name="40% - Accent4 5 3 2" xfId="14316" xr:uid="{B59B368D-61AD-4212-9CDC-B0DC42FD5D24}"/>
    <cellStyle name="40% - Accent4 5 4" xfId="9187" xr:uid="{33022C89-0CDD-4091-8005-358F63FF8F46}"/>
    <cellStyle name="40% - Accent4 5 5" xfId="10099" xr:uid="{AA0BD953-D22B-4D61-867B-B76AB871AF30}"/>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2FB55315-356B-4B4F-A0C7-FBBE8B0A349A}"/>
    <cellStyle name="40% - Accent4 6 2 3" xfId="12657" xr:uid="{9947D75A-9460-4AEB-BC97-5FE118DE53D5}"/>
    <cellStyle name="40% - Accent4 6 3" xfId="5403" xr:uid="{00000000-0005-0000-0000-000035060000}"/>
    <cellStyle name="40% - Accent4 6 3 2" xfId="14729" xr:uid="{1CBB61EF-402F-4430-9CB9-62C357BB60E6}"/>
    <cellStyle name="40% - Accent4 6 4" xfId="10512" xr:uid="{8630755D-EA97-4463-AB26-B6AA6527B44E}"/>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8AF4EA69-A5C3-4A8A-A7A3-5055F47E44DC}"/>
    <cellStyle name="40% - Accent4 7 2 3" xfId="13070" xr:uid="{F2C1E325-338A-4E0C-9D15-D06A88B79913}"/>
    <cellStyle name="40% - Accent4 7 3" xfId="5816" xr:uid="{00000000-0005-0000-0000-000039060000}"/>
    <cellStyle name="40% - Accent4 7 3 2" xfId="15142" xr:uid="{22D5D14E-5E8F-458A-BB7C-4C66D8C2B5AD}"/>
    <cellStyle name="40% - Accent4 7 4" xfId="10925" xr:uid="{52289434-1E1E-431F-A7BB-CB89CF9D4146}"/>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30F50401-DED5-43B0-A813-85D3FEA3A599}"/>
    <cellStyle name="40% - Accent4 8 2 3" xfId="13483" xr:uid="{746DD70D-7E88-46D7-8E57-2B15944B7AE3}"/>
    <cellStyle name="40% - Accent4 8 3" xfId="6229" xr:uid="{00000000-0005-0000-0000-00003D060000}"/>
    <cellStyle name="40% - Accent4 8 3 2" xfId="15555" xr:uid="{71CACEE1-C160-4B53-84DD-FA61B29B0B3F}"/>
    <cellStyle name="40% - Accent4 8 4" xfId="11338" xr:uid="{A51EF728-6ABE-4E6D-988C-A6D228E6B8E7}"/>
    <cellStyle name="40% - Accent4 9" xfId="2336" xr:uid="{00000000-0005-0000-0000-00003E060000}"/>
    <cellStyle name="40% - Accent4 9 2" xfId="6642" xr:uid="{00000000-0005-0000-0000-00003F060000}"/>
    <cellStyle name="40% - Accent4 9 2 2" xfId="15968" xr:uid="{F3FC4321-7884-4F32-984B-BF538F9A61FD}"/>
    <cellStyle name="40% - Accent4 9 3" xfId="11751" xr:uid="{70ABBABE-2297-4B17-B888-8484AAF5B6C1}"/>
    <cellStyle name="40% - Accent5" xfId="81" builtinId="47" customBuiltin="1"/>
    <cellStyle name="40% - Accent5 10" xfId="4584" xr:uid="{00000000-0005-0000-0000-000041060000}"/>
    <cellStyle name="40% - Accent5 10 2" xfId="13910" xr:uid="{B6D1EF8B-5A6E-43D4-8C09-0A3FA6BC8A65}"/>
    <cellStyle name="40% - Accent5 11" xfId="8767" xr:uid="{7A46ADF8-3420-4D4A-A3FE-8E96F0FA38E7}"/>
    <cellStyle name="40% - Accent5 12" xfId="9693" xr:uid="{42FDD075-46FB-4DC3-A2E4-C68078AEC44D}"/>
    <cellStyle name="40% - Accent5 2" xfId="82" xr:uid="{00000000-0005-0000-0000-000042060000}"/>
    <cellStyle name="40% - Accent5 2 10" xfId="8802" xr:uid="{CF9BFF45-99AC-47A3-8B01-051C55FBB24D}"/>
    <cellStyle name="40% - Accent5 2 11" xfId="9694" xr:uid="{498255DC-5A22-40E6-A894-ADBC3D8F9B14}"/>
    <cellStyle name="40% - Accent5 2 2" xfId="83" xr:uid="{00000000-0005-0000-0000-000043060000}"/>
    <cellStyle name="40% - Accent5 2 2 10" xfId="9695" xr:uid="{CE53967B-7717-4E2B-ADEC-087E00873AB8}"/>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C013E75A-BE24-4161-B28F-FA19E900C9E3}"/>
    <cellStyle name="40% - Accent5 2 2 2 2 2 3" xfId="12255" xr:uid="{7CC17EBA-E2F9-4700-BE13-9EB3A56D48E1}"/>
    <cellStyle name="40% - Accent5 2 2 2 2 3" xfId="5001" xr:uid="{00000000-0005-0000-0000-000048060000}"/>
    <cellStyle name="40% - Accent5 2 2 2 2 3 2" xfId="14327" xr:uid="{73FF07BD-918D-4E37-8DEA-5CA869C0C3F1}"/>
    <cellStyle name="40% - Accent5 2 2 2 2 4" xfId="9537" xr:uid="{83834145-5D3F-4083-A609-6DB90651C4CE}"/>
    <cellStyle name="40% - Accent5 2 2 2 2 5" xfId="10110" xr:uid="{340097C6-4BFE-435A-A8D8-E4CD34CEF498}"/>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41761F7B-884C-4245-A9F6-70E8C0516A75}"/>
    <cellStyle name="40% - Accent5 2 2 2 3 2 3" xfId="12668" xr:uid="{11A53FD9-6634-4BBA-A084-BF28AD204A72}"/>
    <cellStyle name="40% - Accent5 2 2 2 3 3" xfId="5414" xr:uid="{00000000-0005-0000-0000-00004C060000}"/>
    <cellStyle name="40% - Accent5 2 2 2 3 3 2" xfId="14740" xr:uid="{5D4517D9-976E-4D0A-86A2-F9A78AC3DECE}"/>
    <cellStyle name="40% - Accent5 2 2 2 3 4" xfId="10523" xr:uid="{AC6D213F-8DA9-40BD-BFB5-4F6386898A2C}"/>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E7A964A4-BB8C-4DC6-8638-6BC31CD138AB}"/>
    <cellStyle name="40% - Accent5 2 2 2 4 2 3" xfId="13081" xr:uid="{2F020A56-6292-47AB-87A0-1699C4D67121}"/>
    <cellStyle name="40% - Accent5 2 2 2 4 3" xfId="5827" xr:uid="{00000000-0005-0000-0000-000050060000}"/>
    <cellStyle name="40% - Accent5 2 2 2 4 3 2" xfId="15153" xr:uid="{C7A87E25-63F4-4270-9E2E-8AB24FE42730}"/>
    <cellStyle name="40% - Accent5 2 2 2 4 4" xfId="10936" xr:uid="{2436057B-C7A5-4A30-8819-B9A4E9AD0F77}"/>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F366E727-1986-49DF-A97A-79B582A6ACD5}"/>
    <cellStyle name="40% - Accent5 2 2 2 5 2 3" xfId="13494" xr:uid="{1201B2F0-049E-4ED8-9D4D-1DE9DB50E4EA}"/>
    <cellStyle name="40% - Accent5 2 2 2 5 3" xfId="6240" xr:uid="{00000000-0005-0000-0000-000054060000}"/>
    <cellStyle name="40% - Accent5 2 2 2 5 3 2" xfId="15566" xr:uid="{40841808-B51D-476C-B10B-0D8019DBAB35}"/>
    <cellStyle name="40% - Accent5 2 2 2 5 4" xfId="11349" xr:uid="{A6E0DDBB-83DF-40ED-8EC9-CCE6D9A89E03}"/>
    <cellStyle name="40% - Accent5 2 2 2 6" xfId="2347" xr:uid="{00000000-0005-0000-0000-000055060000}"/>
    <cellStyle name="40% - Accent5 2 2 2 6 2" xfId="6653" xr:uid="{00000000-0005-0000-0000-000056060000}"/>
    <cellStyle name="40% - Accent5 2 2 2 6 2 2" xfId="15979" xr:uid="{A77332C0-1BA3-4003-8801-64AF87D41106}"/>
    <cellStyle name="40% - Accent5 2 2 2 6 3" xfId="11762" xr:uid="{B70B7C25-C23C-4280-8E03-6B7EB268DDC9}"/>
    <cellStyle name="40% - Accent5 2 2 2 7" xfId="4587" xr:uid="{00000000-0005-0000-0000-000057060000}"/>
    <cellStyle name="40% - Accent5 2 2 2 7 2" xfId="13913" xr:uid="{261E1381-6397-47B6-9158-9CAA007AABBD}"/>
    <cellStyle name="40% - Accent5 2 2 2 8" xfId="9112" xr:uid="{65D0CC40-E9D0-4CE3-B684-8DE4A2C7BCD7}"/>
    <cellStyle name="40% - Accent5 2 2 2 9" xfId="9696" xr:uid="{C818773E-C09E-4C04-A5E9-8BB99464B020}"/>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4366E0F7-3544-4C7B-8FCE-E054F1AE7D8C}"/>
    <cellStyle name="40% - Accent5 2 2 3 2 3" xfId="12254" xr:uid="{57F0E9CA-7B87-45D5-9ACC-58C47B7D35A9}"/>
    <cellStyle name="40% - Accent5 2 2 3 3" xfId="5000" xr:uid="{00000000-0005-0000-0000-00005B060000}"/>
    <cellStyle name="40% - Accent5 2 2 3 3 2" xfId="14326" xr:uid="{F0B50E30-FE43-4F8D-B100-1023B1B710A0}"/>
    <cellStyle name="40% - Accent5 2 2 3 4" xfId="9330" xr:uid="{75959B30-FD84-42A5-95AE-69048CCC8361}"/>
    <cellStyle name="40% - Accent5 2 2 3 5" xfId="10109" xr:uid="{9EAA5F05-DE91-42B9-8609-84BCB31F2ED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50C691DE-72A1-49EE-A503-92C390E933AA}"/>
    <cellStyle name="40% - Accent5 2 2 4 2 3" xfId="12667" xr:uid="{1AD64C53-2D65-4A0B-8CDF-E9ED895AFDAA}"/>
    <cellStyle name="40% - Accent5 2 2 4 3" xfId="5413" xr:uid="{00000000-0005-0000-0000-00005F060000}"/>
    <cellStyle name="40% - Accent5 2 2 4 3 2" xfId="14739" xr:uid="{E7EF4584-5217-4751-8323-CC2E4C4CE825}"/>
    <cellStyle name="40% - Accent5 2 2 4 4" xfId="10522" xr:uid="{19C1932B-70EA-45DB-91E7-C796B98EB868}"/>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0A0C10AB-AEE1-460B-933D-E666302A0D0C}"/>
    <cellStyle name="40% - Accent5 2 2 5 2 3" xfId="13080" xr:uid="{FFD4C4A1-A732-4A05-B02A-2557886D9C18}"/>
    <cellStyle name="40% - Accent5 2 2 5 3" xfId="5826" xr:uid="{00000000-0005-0000-0000-000063060000}"/>
    <cellStyle name="40% - Accent5 2 2 5 3 2" xfId="15152" xr:uid="{35EB8470-986E-4CE5-AF2D-DFCDE61F6786}"/>
    <cellStyle name="40% - Accent5 2 2 5 4" xfId="10935" xr:uid="{F6867C8E-1530-49EF-A4F8-3A85E03772D9}"/>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AD56A8C3-CA43-4532-B022-143D7D95916F}"/>
    <cellStyle name="40% - Accent5 2 2 6 2 3" xfId="13493" xr:uid="{D9404E5C-59EF-435C-9EB0-CC486B7CE938}"/>
    <cellStyle name="40% - Accent5 2 2 6 3" xfId="6239" xr:uid="{00000000-0005-0000-0000-000067060000}"/>
    <cellStyle name="40% - Accent5 2 2 6 3 2" xfId="15565" xr:uid="{7256B724-3238-4349-845B-5546F09A461C}"/>
    <cellStyle name="40% - Accent5 2 2 6 4" xfId="11348" xr:uid="{280C5612-4411-479B-8378-4EF10D45F8CB}"/>
    <cellStyle name="40% - Accent5 2 2 7" xfId="2346" xr:uid="{00000000-0005-0000-0000-000068060000}"/>
    <cellStyle name="40% - Accent5 2 2 7 2" xfId="6652" xr:uid="{00000000-0005-0000-0000-000069060000}"/>
    <cellStyle name="40% - Accent5 2 2 7 2 2" xfId="15978" xr:uid="{281744A8-D26B-4DA3-BD17-9EEC9A0DA34E}"/>
    <cellStyle name="40% - Accent5 2 2 7 3" xfId="11761" xr:uid="{349C8F2E-96B0-48A2-A057-A8DD0C0416BE}"/>
    <cellStyle name="40% - Accent5 2 2 8" xfId="4586" xr:uid="{00000000-0005-0000-0000-00006A060000}"/>
    <cellStyle name="40% - Accent5 2 2 8 2" xfId="13912" xr:uid="{241F59CD-8334-4D3B-B098-187B87D594EE}"/>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C9B90363-E053-4B3B-9C15-97494856D941}"/>
    <cellStyle name="40% - Accent5 2 3 2 2 3" xfId="12256" xr:uid="{031018E9-EC03-4A10-A7B2-10F348600433}"/>
    <cellStyle name="40% - Accent5 2 3 2 3" xfId="5002" xr:uid="{00000000-0005-0000-0000-00006F060000}"/>
    <cellStyle name="40% - Accent5 2 3 2 3 2" xfId="14328" xr:uid="{1C899DC6-2CCA-4E90-9F05-4B3CB35C2D78}"/>
    <cellStyle name="40% - Accent5 2 3 2 4" xfId="9434" xr:uid="{512EAA64-F150-4B15-8534-EB34D6D41408}"/>
    <cellStyle name="40% - Accent5 2 3 2 5" xfId="10111" xr:uid="{855B1864-90F5-48ED-AAD4-E3A051D64930}"/>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095E9898-86A3-40BE-8B58-E3152BB6D1F2}"/>
    <cellStyle name="40% - Accent5 2 3 3 2 3" xfId="12669" xr:uid="{DEB7A4AF-CF24-467C-96BF-BEA8A12810C9}"/>
    <cellStyle name="40% - Accent5 2 3 3 3" xfId="5415" xr:uid="{00000000-0005-0000-0000-000073060000}"/>
    <cellStyle name="40% - Accent5 2 3 3 3 2" xfId="14741" xr:uid="{E7A2EB42-3F08-4EAA-A307-A7B0B5A2BEDE}"/>
    <cellStyle name="40% - Accent5 2 3 3 4" xfId="10524" xr:uid="{A9288204-0792-46CC-8811-ED9325E2E343}"/>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45CBD1A1-C961-41CE-9AB4-5CED86768F40}"/>
    <cellStyle name="40% - Accent5 2 3 4 2 3" xfId="13082" xr:uid="{A6EC0A6F-218A-4742-B635-86CBDE1969C7}"/>
    <cellStyle name="40% - Accent5 2 3 4 3" xfId="5828" xr:uid="{00000000-0005-0000-0000-000077060000}"/>
    <cellStyle name="40% - Accent5 2 3 4 3 2" xfId="15154" xr:uid="{8329AFE2-C01D-41F6-93C3-FFD1DD437354}"/>
    <cellStyle name="40% - Accent5 2 3 4 4" xfId="10937" xr:uid="{EDAA81AA-549A-4996-BF6F-F15C5121BC39}"/>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ADCE16F7-607C-416F-8BD8-A7D5EEB8E722}"/>
    <cellStyle name="40% - Accent5 2 3 5 2 3" xfId="13495" xr:uid="{3317AB58-2C1C-46B7-A125-8972BC20D8ED}"/>
    <cellStyle name="40% - Accent5 2 3 5 3" xfId="6241" xr:uid="{00000000-0005-0000-0000-00007B060000}"/>
    <cellStyle name="40% - Accent5 2 3 5 3 2" xfId="15567" xr:uid="{C7CB6DBB-291A-4DAB-A7CF-AFB84AAC10A4}"/>
    <cellStyle name="40% - Accent5 2 3 5 4" xfId="11350" xr:uid="{CBAC1A9A-A073-4E1C-B035-CDF36B296B7B}"/>
    <cellStyle name="40% - Accent5 2 3 6" xfId="2348" xr:uid="{00000000-0005-0000-0000-00007C060000}"/>
    <cellStyle name="40% - Accent5 2 3 6 2" xfId="6654" xr:uid="{00000000-0005-0000-0000-00007D060000}"/>
    <cellStyle name="40% - Accent5 2 3 6 2 2" xfId="15980" xr:uid="{F0954000-FAF9-4D49-8B94-168F93FAF5F1}"/>
    <cellStyle name="40% - Accent5 2 3 6 3" xfId="11763" xr:uid="{B8F033CA-DD24-4021-80B8-3B896D643F3D}"/>
    <cellStyle name="40% - Accent5 2 3 7" xfId="4588" xr:uid="{00000000-0005-0000-0000-00007E060000}"/>
    <cellStyle name="40% - Accent5 2 3 7 2" xfId="13914" xr:uid="{9C1B5803-E20B-4FFC-8D2E-AA1F63107DEF}"/>
    <cellStyle name="40% - Accent5 2 3 8" xfId="9009" xr:uid="{DE8B6E41-761F-4ED0-BA8A-00A6A898A2FC}"/>
    <cellStyle name="40% - Accent5 2 3 9" xfId="9697" xr:uid="{65CCFC80-83DB-4305-B4C6-344B2987A2F2}"/>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9D482063-6FEF-4554-B93A-0B190DF222DF}"/>
    <cellStyle name="40% - Accent5 2 4 2 3" xfId="12253" xr:uid="{E8EF754B-DA7D-44ED-9900-B4BDF9E85BCF}"/>
    <cellStyle name="40% - Accent5 2 4 3" xfId="4999" xr:uid="{00000000-0005-0000-0000-000082060000}"/>
    <cellStyle name="40% - Accent5 2 4 3 2" xfId="14325" xr:uid="{1331FBB6-8A0A-4E50-9390-8B3DB496CC8E}"/>
    <cellStyle name="40% - Accent5 2 4 4" xfId="9226" xr:uid="{6A688709-D29B-458C-973B-231279FAFEF5}"/>
    <cellStyle name="40% - Accent5 2 4 5" xfId="10108" xr:uid="{A4946368-2D79-453B-B130-674ED68E610D}"/>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4FF37315-86B1-471A-A787-1A985D25AE02}"/>
    <cellStyle name="40% - Accent5 2 5 2 3" xfId="12666" xr:uid="{0E8025F8-94D3-4305-8032-42B36207F993}"/>
    <cellStyle name="40% - Accent5 2 5 3" xfId="5412" xr:uid="{00000000-0005-0000-0000-000086060000}"/>
    <cellStyle name="40% - Accent5 2 5 3 2" xfId="14738" xr:uid="{805D621B-FF75-4DFD-A815-45F28A1D9815}"/>
    <cellStyle name="40% - Accent5 2 5 4" xfId="10521" xr:uid="{6E8F922E-5AB0-4070-8EF2-6BB0CC64A6CD}"/>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B845292E-9FAF-4694-B04E-64B7F1A72F13}"/>
    <cellStyle name="40% - Accent5 2 6 2 3" xfId="13079" xr:uid="{1F77D1FB-373F-47AD-B7F4-057C2468508C}"/>
    <cellStyle name="40% - Accent5 2 6 3" xfId="5825" xr:uid="{00000000-0005-0000-0000-00008A060000}"/>
    <cellStyle name="40% - Accent5 2 6 3 2" xfId="15151" xr:uid="{1F747E7B-7693-4926-8924-F2E590674FB7}"/>
    <cellStyle name="40% - Accent5 2 6 4" xfId="10934" xr:uid="{71EB311D-08C1-4CA4-9694-E05DBC1635B9}"/>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5970C547-B133-4A0B-B769-8CE607B2BF3C}"/>
    <cellStyle name="40% - Accent5 2 7 2 3" xfId="13492" xr:uid="{254700FE-69C8-4D1D-81A7-71AF5D2EC219}"/>
    <cellStyle name="40% - Accent5 2 7 3" xfId="6238" xr:uid="{00000000-0005-0000-0000-00008E060000}"/>
    <cellStyle name="40% - Accent5 2 7 3 2" xfId="15564" xr:uid="{05F96F7C-A3BD-4D30-B9B9-4E72892F1580}"/>
    <cellStyle name="40% - Accent5 2 7 4" xfId="11347" xr:uid="{4AE5C959-C2A2-4917-9121-A33D8989187D}"/>
    <cellStyle name="40% - Accent5 2 8" xfId="2345" xr:uid="{00000000-0005-0000-0000-00008F060000}"/>
    <cellStyle name="40% - Accent5 2 8 2" xfId="6651" xr:uid="{00000000-0005-0000-0000-000090060000}"/>
    <cellStyle name="40% - Accent5 2 8 2 2" xfId="15977" xr:uid="{ED2616A2-DC0A-4267-9D4D-0CE8DB57D603}"/>
    <cellStyle name="40% - Accent5 2 8 3" xfId="11760" xr:uid="{45A2A58B-BB69-4114-8BC2-A47C0440686C}"/>
    <cellStyle name="40% - Accent5 2 9" xfId="4585" xr:uid="{00000000-0005-0000-0000-000091060000}"/>
    <cellStyle name="40% - Accent5 2 9 2" xfId="13911" xr:uid="{03A9CA76-DAA1-46CE-9A5C-3FB877061090}"/>
    <cellStyle name="40% - Accent5 3" xfId="86" xr:uid="{00000000-0005-0000-0000-000092060000}"/>
    <cellStyle name="40% - Accent5 3 10" xfId="9698" xr:uid="{67FD6211-8496-4A4D-AFEB-F7786E45AA88}"/>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FC9B2BC9-5156-4255-9234-550204EF14E7}"/>
    <cellStyle name="40% - Accent5 3 2 2 2 3" xfId="12258" xr:uid="{9A1EFA8A-2EC9-4CB8-A2A7-BCF13FDB8764}"/>
    <cellStyle name="40% - Accent5 3 2 2 3" xfId="5004" xr:uid="{00000000-0005-0000-0000-000097060000}"/>
    <cellStyle name="40% - Accent5 3 2 2 3 2" xfId="14330" xr:uid="{F0E9C79C-469E-46A2-BA43-6EF9C319DB48}"/>
    <cellStyle name="40% - Accent5 3 2 2 4" xfId="9502" xr:uid="{96903B0D-DCFE-4149-8088-461BCB03A73B}"/>
    <cellStyle name="40% - Accent5 3 2 2 5" xfId="10113" xr:uid="{11F10B65-4585-461C-AF05-1AC662ADE969}"/>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C31AC4BF-EA1E-40C0-9218-0ADDC2C65067}"/>
    <cellStyle name="40% - Accent5 3 2 3 2 3" xfId="12671" xr:uid="{6EA34C22-E5B9-4BD8-8C1F-445ACA9BFC2A}"/>
    <cellStyle name="40% - Accent5 3 2 3 3" xfId="5417" xr:uid="{00000000-0005-0000-0000-00009B060000}"/>
    <cellStyle name="40% - Accent5 3 2 3 3 2" xfId="14743" xr:uid="{04F90B0C-3FDB-4618-AFD9-7CBFF1A2704F}"/>
    <cellStyle name="40% - Accent5 3 2 3 4" xfId="10526" xr:uid="{E70E3E49-128E-4DD6-8BD9-6FF3E9A1CB86}"/>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81DA16EA-6EAF-45C0-B1FE-03B0D6867914}"/>
    <cellStyle name="40% - Accent5 3 2 4 2 3" xfId="13084" xr:uid="{653A4E53-64D7-4791-89AA-8C32CB31F980}"/>
    <cellStyle name="40% - Accent5 3 2 4 3" xfId="5830" xr:uid="{00000000-0005-0000-0000-00009F060000}"/>
    <cellStyle name="40% - Accent5 3 2 4 3 2" xfId="15156" xr:uid="{D97F0450-6B4B-4A29-BD1C-C9B70BFAF121}"/>
    <cellStyle name="40% - Accent5 3 2 4 4" xfId="10939" xr:uid="{60BCBF6E-7BBE-4270-974F-903D38082416}"/>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99A02079-6A02-43D1-B63F-1785998786AF}"/>
    <cellStyle name="40% - Accent5 3 2 5 2 3" xfId="13497" xr:uid="{4318D582-9A86-440D-979E-999885B37A52}"/>
    <cellStyle name="40% - Accent5 3 2 5 3" xfId="6243" xr:uid="{00000000-0005-0000-0000-0000A3060000}"/>
    <cellStyle name="40% - Accent5 3 2 5 3 2" xfId="15569" xr:uid="{F665C8B6-CFE4-467C-A8B9-999ADB5B0ABA}"/>
    <cellStyle name="40% - Accent5 3 2 5 4" xfId="11352" xr:uid="{0A3EDB4A-6ADF-4A4C-8435-B889AD3A94D9}"/>
    <cellStyle name="40% - Accent5 3 2 6" xfId="2350" xr:uid="{00000000-0005-0000-0000-0000A4060000}"/>
    <cellStyle name="40% - Accent5 3 2 6 2" xfId="6656" xr:uid="{00000000-0005-0000-0000-0000A5060000}"/>
    <cellStyle name="40% - Accent5 3 2 6 2 2" xfId="15982" xr:uid="{98D517CD-81E5-4E27-BE5F-6C730DE16B15}"/>
    <cellStyle name="40% - Accent5 3 2 6 3" xfId="11765" xr:uid="{95EF19D1-0418-4537-B38C-E0358B683C69}"/>
    <cellStyle name="40% - Accent5 3 2 7" xfId="4590" xr:uid="{00000000-0005-0000-0000-0000A6060000}"/>
    <cellStyle name="40% - Accent5 3 2 7 2" xfId="13916" xr:uid="{AB3A171A-214A-4E84-BC3F-A4144104E7BF}"/>
    <cellStyle name="40% - Accent5 3 2 8" xfId="9077" xr:uid="{8842DD15-54E4-487D-B492-3A505722387C}"/>
    <cellStyle name="40% - Accent5 3 2 9" xfId="9699" xr:uid="{D7091DFC-7A4C-4CEA-8421-495EB14B0759}"/>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D23940DE-A0D4-49DB-A9A0-1C81FC98F44B}"/>
    <cellStyle name="40% - Accent5 3 3 2 3" xfId="12257" xr:uid="{1EC4FDE1-4681-4A49-A392-609B101E2542}"/>
    <cellStyle name="40% - Accent5 3 3 3" xfId="5003" xr:uid="{00000000-0005-0000-0000-0000AA060000}"/>
    <cellStyle name="40% - Accent5 3 3 3 2" xfId="14329" xr:uid="{83AAC4AD-080A-454C-BC09-623C2A323335}"/>
    <cellStyle name="40% - Accent5 3 3 4" xfId="9295" xr:uid="{0D42C89E-252E-426A-8E1F-7D3AD6B9FE55}"/>
    <cellStyle name="40% - Accent5 3 3 5" xfId="10112" xr:uid="{929062D2-ECF7-4C5B-BE19-BB87D52876E0}"/>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DF6C18AF-FCA1-4CB4-A56F-9C7E4D6315D2}"/>
    <cellStyle name="40% - Accent5 3 4 2 3" xfId="12670" xr:uid="{E45438A2-E6B9-440A-BE69-346E3B8B3ABF}"/>
    <cellStyle name="40% - Accent5 3 4 3" xfId="5416" xr:uid="{00000000-0005-0000-0000-0000AE060000}"/>
    <cellStyle name="40% - Accent5 3 4 3 2" xfId="14742" xr:uid="{46C60A46-E082-4763-AB75-42EE27505CF0}"/>
    <cellStyle name="40% - Accent5 3 4 4" xfId="10525" xr:uid="{F7385415-C022-44B0-9C8A-02002BAD0BB4}"/>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A2C7C110-2626-4B0E-BEAC-2C103EA9795B}"/>
    <cellStyle name="40% - Accent5 3 5 2 3" xfId="13083" xr:uid="{6365422D-0AD0-4E98-AAC1-4FA8B3BE1D93}"/>
    <cellStyle name="40% - Accent5 3 5 3" xfId="5829" xr:uid="{00000000-0005-0000-0000-0000B2060000}"/>
    <cellStyle name="40% - Accent5 3 5 3 2" xfId="15155" xr:uid="{52E4D309-4011-4E6F-BBA2-151D70785CF6}"/>
    <cellStyle name="40% - Accent5 3 5 4" xfId="10938" xr:uid="{55FEAEEF-7698-4125-8E82-FB3917BB8D51}"/>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D0E4B6E6-69E8-4846-9C8A-8FF2B508D531}"/>
    <cellStyle name="40% - Accent5 3 6 2 3" xfId="13496" xr:uid="{6FBB13EA-7A8C-477A-B839-EF756022D41E}"/>
    <cellStyle name="40% - Accent5 3 6 3" xfId="6242" xr:uid="{00000000-0005-0000-0000-0000B6060000}"/>
    <cellStyle name="40% - Accent5 3 6 3 2" xfId="15568" xr:uid="{EC6A1DAB-97BD-46A2-BB3A-77987D0F7C10}"/>
    <cellStyle name="40% - Accent5 3 6 4" xfId="11351" xr:uid="{5AF335DA-715C-4B70-A972-0EEBDE9B160F}"/>
    <cellStyle name="40% - Accent5 3 7" xfId="2349" xr:uid="{00000000-0005-0000-0000-0000B7060000}"/>
    <cellStyle name="40% - Accent5 3 7 2" xfId="6655" xr:uid="{00000000-0005-0000-0000-0000B8060000}"/>
    <cellStyle name="40% - Accent5 3 7 2 2" xfId="15981" xr:uid="{C4916548-8B28-497B-9E46-7F2E8E6BB9AA}"/>
    <cellStyle name="40% - Accent5 3 7 3" xfId="11764" xr:uid="{FD8EB44E-D5A6-4E02-B9FA-8661F903C8D1}"/>
    <cellStyle name="40% - Accent5 3 8" xfId="4589" xr:uid="{00000000-0005-0000-0000-0000B9060000}"/>
    <cellStyle name="40% - Accent5 3 8 2" xfId="13915" xr:uid="{6CEE9DBA-696D-41A1-AA94-5A64FF3E0B3E}"/>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1B2CCEAE-8A10-4CC8-8B2D-D48735D2433D}"/>
    <cellStyle name="40% - Accent5 4 2 2 3" xfId="12259" xr:uid="{53701EF1-7C85-42C7-B121-157BE7D54FF3}"/>
    <cellStyle name="40% - Accent5 4 2 3" xfId="5005" xr:uid="{00000000-0005-0000-0000-0000BE060000}"/>
    <cellStyle name="40% - Accent5 4 2 3 2" xfId="14331" xr:uid="{F5FF461B-4A1B-4F31-89B6-9D4226828176}"/>
    <cellStyle name="40% - Accent5 4 2 4" xfId="9381" xr:uid="{6D86932C-AFC4-4FF0-967D-0F56E90E02E1}"/>
    <cellStyle name="40% - Accent5 4 2 5" xfId="10114" xr:uid="{5F69DD0B-8E40-4FAF-ABAD-6273F07219E9}"/>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519C69A4-BDD7-4875-AAD2-1969AE93AFE2}"/>
    <cellStyle name="40% - Accent5 4 3 2 3" xfId="12672" xr:uid="{1FD3A881-FC7B-4056-8F8B-D199390EC385}"/>
    <cellStyle name="40% - Accent5 4 3 3" xfId="5418" xr:uid="{00000000-0005-0000-0000-0000C2060000}"/>
    <cellStyle name="40% - Accent5 4 3 3 2" xfId="14744" xr:uid="{8EE723AB-E7D8-4A5E-BAF0-6EA0F178363D}"/>
    <cellStyle name="40% - Accent5 4 3 4" xfId="10527" xr:uid="{DC1D2D87-0F98-412F-8655-953F37978872}"/>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EDAC0E46-B6CD-4EAC-BBB9-417932C300E0}"/>
    <cellStyle name="40% - Accent5 4 4 2 3" xfId="13085" xr:uid="{BDE6794F-302E-430F-8DA2-C8CA1E208F61}"/>
    <cellStyle name="40% - Accent5 4 4 3" xfId="5831" xr:uid="{00000000-0005-0000-0000-0000C6060000}"/>
    <cellStyle name="40% - Accent5 4 4 3 2" xfId="15157" xr:uid="{43A59235-140C-4444-A491-8D62564AD4B2}"/>
    <cellStyle name="40% - Accent5 4 4 4" xfId="10940" xr:uid="{BA2BB7D2-F199-459C-8312-A0FDAE5A0153}"/>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A89EA90E-ABB1-4C19-8F3C-6A2153DC6892}"/>
    <cellStyle name="40% - Accent5 4 5 2 3" xfId="13498" xr:uid="{31D3B8D4-868C-4DBF-9865-0440F4111F56}"/>
    <cellStyle name="40% - Accent5 4 5 3" xfId="6244" xr:uid="{00000000-0005-0000-0000-0000CA060000}"/>
    <cellStyle name="40% - Accent5 4 5 3 2" xfId="15570" xr:uid="{A9291BD0-B754-4800-BCB4-5E42F73B934C}"/>
    <cellStyle name="40% - Accent5 4 5 4" xfId="11353" xr:uid="{E2249236-3358-4E7E-B2ED-23C1396FB142}"/>
    <cellStyle name="40% - Accent5 4 6" xfId="2351" xr:uid="{00000000-0005-0000-0000-0000CB060000}"/>
    <cellStyle name="40% - Accent5 4 6 2" xfId="6657" xr:uid="{00000000-0005-0000-0000-0000CC060000}"/>
    <cellStyle name="40% - Accent5 4 6 2 2" xfId="15983" xr:uid="{50012206-5195-48A7-8C78-54FA7E932A34}"/>
    <cellStyle name="40% - Accent5 4 6 3" xfId="11766" xr:uid="{C896A643-6E64-44C3-A91C-D8683341791B}"/>
    <cellStyle name="40% - Accent5 4 7" xfId="4591" xr:uid="{00000000-0005-0000-0000-0000CD060000}"/>
    <cellStyle name="40% - Accent5 4 7 2" xfId="13917" xr:uid="{FD8D363E-8245-4498-9389-DCC453D9B2C6}"/>
    <cellStyle name="40% - Accent5 4 8" xfId="8956" xr:uid="{20EBAEFE-DF5E-4B38-878B-CDA5BD3DABC1}"/>
    <cellStyle name="40% - Accent5 4 9" xfId="9700" xr:uid="{6434B1A6-C14D-4C70-8021-1B60BF2F779C}"/>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9493C263-B857-4820-AFC6-E3B2B3E44061}"/>
    <cellStyle name="40% - Accent5 5 2 3" xfId="12252" xr:uid="{DE5886BE-65CD-4D86-8EEE-01FA2B6B7383}"/>
    <cellStyle name="40% - Accent5 5 3" xfId="4998" xr:uid="{00000000-0005-0000-0000-0000D1060000}"/>
    <cellStyle name="40% - Accent5 5 3 2" xfId="14324" xr:uid="{FC2F6231-057E-4AFC-B493-7DD9C71FAAFB}"/>
    <cellStyle name="40% - Accent5 5 4" xfId="9189" xr:uid="{AE9A155E-B06B-4FF1-8984-8F7810581B15}"/>
    <cellStyle name="40% - Accent5 5 5" xfId="10107" xr:uid="{09C28CAA-E66B-4843-AADC-CA55013A5C4D}"/>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CA395F8E-77A6-4015-A5F3-3BA0D534D0E5}"/>
    <cellStyle name="40% - Accent5 6 2 3" xfId="12665" xr:uid="{E316D38E-5298-42D5-AAB2-D5AEE5CDAB35}"/>
    <cellStyle name="40% - Accent5 6 3" xfId="5411" xr:uid="{00000000-0005-0000-0000-0000D5060000}"/>
    <cellStyle name="40% - Accent5 6 3 2" xfId="14737" xr:uid="{61DBC276-B63F-4B60-A727-30C62539E10D}"/>
    <cellStyle name="40% - Accent5 6 4" xfId="10520" xr:uid="{49CAD677-97CA-4256-AFF9-09AFF943C50B}"/>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0D30313C-0CEC-4258-BD85-D2C9151B2C33}"/>
    <cellStyle name="40% - Accent5 7 2 3" xfId="13078" xr:uid="{541BD748-FA9D-4504-81CA-990963851D06}"/>
    <cellStyle name="40% - Accent5 7 3" xfId="5824" xr:uid="{00000000-0005-0000-0000-0000D9060000}"/>
    <cellStyle name="40% - Accent5 7 3 2" xfId="15150" xr:uid="{B7E07989-FC61-4202-B046-B4B51E0C7F1C}"/>
    <cellStyle name="40% - Accent5 7 4" xfId="10933" xr:uid="{14F297A1-EA1E-4C57-B753-AF357B07F215}"/>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336060A4-26BF-4C0C-B77A-5559C1FCDB9D}"/>
    <cellStyle name="40% - Accent5 8 2 3" xfId="13491" xr:uid="{E849A0FA-1C1D-4864-9059-9A9F0026A7D9}"/>
    <cellStyle name="40% - Accent5 8 3" xfId="6237" xr:uid="{00000000-0005-0000-0000-0000DD060000}"/>
    <cellStyle name="40% - Accent5 8 3 2" xfId="15563" xr:uid="{A855F853-DC57-496A-8124-3A5409A8CA8A}"/>
    <cellStyle name="40% - Accent5 8 4" xfId="11346" xr:uid="{3CD75F27-6616-4BE1-92AA-271998D08B9E}"/>
    <cellStyle name="40% - Accent5 9" xfId="2344" xr:uid="{00000000-0005-0000-0000-0000DE060000}"/>
    <cellStyle name="40% - Accent5 9 2" xfId="6650" xr:uid="{00000000-0005-0000-0000-0000DF060000}"/>
    <cellStyle name="40% - Accent5 9 2 2" xfId="15976" xr:uid="{AC075B63-ED07-49ED-998B-3E46FD74F1C9}"/>
    <cellStyle name="40% - Accent5 9 3" xfId="11759" xr:uid="{7844C25D-EF1A-491D-B736-647293E5191D}"/>
    <cellStyle name="40% - Accent6" xfId="89" builtinId="51" customBuiltin="1"/>
    <cellStyle name="40% - Accent6 10" xfId="4592" xr:uid="{00000000-0005-0000-0000-0000E1060000}"/>
    <cellStyle name="40% - Accent6 10 2" xfId="13918" xr:uid="{D679349B-C9F7-467B-A830-CAE7498CA6DD}"/>
    <cellStyle name="40% - Accent6 11" xfId="8769" xr:uid="{8369FE49-3815-490F-BF3A-3BEB88E35DFA}"/>
    <cellStyle name="40% - Accent6 12" xfId="9701" xr:uid="{70FF4046-0D0A-412F-AA7C-296D7735944F}"/>
    <cellStyle name="40% - Accent6 2" xfId="90" xr:uid="{00000000-0005-0000-0000-0000E2060000}"/>
    <cellStyle name="40% - Accent6 2 10" xfId="8803" xr:uid="{3530B69D-EB1D-41EA-A6FB-440FE4FE29AB}"/>
    <cellStyle name="40% - Accent6 2 11" xfId="9702" xr:uid="{B4B55E64-E3B6-4FAF-9A81-1B1BD149861C}"/>
    <cellStyle name="40% - Accent6 2 2" xfId="91" xr:uid="{00000000-0005-0000-0000-0000E3060000}"/>
    <cellStyle name="40% - Accent6 2 2 10" xfId="9703" xr:uid="{AA499703-8970-4F2A-8076-401193E986C8}"/>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CC1251BB-5846-46CB-8671-09A5F14AAE08}"/>
    <cellStyle name="40% - Accent6 2 2 2 2 2 3" xfId="12263" xr:uid="{5F0478D1-C6D4-470C-B521-FB5D3F330AA4}"/>
    <cellStyle name="40% - Accent6 2 2 2 2 3" xfId="5009" xr:uid="{00000000-0005-0000-0000-0000E8060000}"/>
    <cellStyle name="40% - Accent6 2 2 2 2 3 2" xfId="14335" xr:uid="{C4534A70-CB2B-48E5-AA99-9BBEF63F2D3E}"/>
    <cellStyle name="40% - Accent6 2 2 2 2 4" xfId="9538" xr:uid="{D1801D0B-FDF1-4C59-8DE2-DEC53081BC5D}"/>
    <cellStyle name="40% - Accent6 2 2 2 2 5" xfId="10118" xr:uid="{669DBEAB-6B17-4ED2-89E4-B12CDFCBC9EA}"/>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FA1CCFE4-8DD8-4396-BC1E-297EDB45D56D}"/>
    <cellStyle name="40% - Accent6 2 2 2 3 2 3" xfId="12676" xr:uid="{FBA42C5F-7D71-4655-B663-32828E552A6E}"/>
    <cellStyle name="40% - Accent6 2 2 2 3 3" xfId="5422" xr:uid="{00000000-0005-0000-0000-0000EC060000}"/>
    <cellStyle name="40% - Accent6 2 2 2 3 3 2" xfId="14748" xr:uid="{506D5AAE-38AA-456C-9D94-B9AB909CB5AD}"/>
    <cellStyle name="40% - Accent6 2 2 2 3 4" xfId="10531" xr:uid="{99E3BA0D-974C-4595-A6A3-7D895BBBABBF}"/>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901150F2-AB9B-4CFD-8F4A-AC05BD99000F}"/>
    <cellStyle name="40% - Accent6 2 2 2 4 2 3" xfId="13089" xr:uid="{EBD30206-9F21-42D8-8E06-0A518298B5D1}"/>
    <cellStyle name="40% - Accent6 2 2 2 4 3" xfId="5835" xr:uid="{00000000-0005-0000-0000-0000F0060000}"/>
    <cellStyle name="40% - Accent6 2 2 2 4 3 2" xfId="15161" xr:uid="{5EECD033-1F42-4CD6-ADF0-B4121EF50904}"/>
    <cellStyle name="40% - Accent6 2 2 2 4 4" xfId="10944" xr:uid="{AA5C3BA3-C2B0-478E-A51F-44D30B03A27C}"/>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D37A4B3E-DEAB-4663-B2E3-162CF6AE44BC}"/>
    <cellStyle name="40% - Accent6 2 2 2 5 2 3" xfId="13502" xr:uid="{EE8B5EE1-8CAE-401C-BA3F-52C6CC61142C}"/>
    <cellStyle name="40% - Accent6 2 2 2 5 3" xfId="6248" xr:uid="{00000000-0005-0000-0000-0000F4060000}"/>
    <cellStyle name="40% - Accent6 2 2 2 5 3 2" xfId="15574" xr:uid="{9C84A89F-9DFC-4354-B01D-8D67C73CB22E}"/>
    <cellStyle name="40% - Accent6 2 2 2 5 4" xfId="11357" xr:uid="{CC472921-50E9-471F-85A5-2337FF900DCC}"/>
    <cellStyle name="40% - Accent6 2 2 2 6" xfId="2355" xr:uid="{00000000-0005-0000-0000-0000F5060000}"/>
    <cellStyle name="40% - Accent6 2 2 2 6 2" xfId="6661" xr:uid="{00000000-0005-0000-0000-0000F6060000}"/>
    <cellStyle name="40% - Accent6 2 2 2 6 2 2" xfId="15987" xr:uid="{1FE51E7D-DF07-48F7-A50D-CBC70B442736}"/>
    <cellStyle name="40% - Accent6 2 2 2 6 3" xfId="11770" xr:uid="{C1D175B5-CAD1-4E20-939B-FA1999E23CEF}"/>
    <cellStyle name="40% - Accent6 2 2 2 7" xfId="4595" xr:uid="{00000000-0005-0000-0000-0000F7060000}"/>
    <cellStyle name="40% - Accent6 2 2 2 7 2" xfId="13921" xr:uid="{523C2A36-9619-497D-B5FB-16C9956CE67D}"/>
    <cellStyle name="40% - Accent6 2 2 2 8" xfId="9113" xr:uid="{D9373B4A-E1DA-437A-874A-FCE4D00708EB}"/>
    <cellStyle name="40% - Accent6 2 2 2 9" xfId="9704" xr:uid="{203D9BD0-2019-43BA-A212-2267F2FE8CA7}"/>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752601C2-EFF2-4753-B460-126A6D7BCB22}"/>
    <cellStyle name="40% - Accent6 2 2 3 2 3" xfId="12262" xr:uid="{23A40C1A-2104-4184-8291-F6D0EDA2B1B5}"/>
    <cellStyle name="40% - Accent6 2 2 3 3" xfId="5008" xr:uid="{00000000-0005-0000-0000-0000FB060000}"/>
    <cellStyle name="40% - Accent6 2 2 3 3 2" xfId="14334" xr:uid="{AC77D4D4-F6C1-4F38-A244-BD7778530981}"/>
    <cellStyle name="40% - Accent6 2 2 3 4" xfId="9331" xr:uid="{223B62DA-AA8A-4703-B6D5-D6AA8918B034}"/>
    <cellStyle name="40% - Accent6 2 2 3 5" xfId="10117" xr:uid="{CD2707FC-18B9-46E3-B377-A262E34354E3}"/>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68347752-626E-427C-911D-33D4BA0038B9}"/>
    <cellStyle name="40% - Accent6 2 2 4 2 3" xfId="12675" xr:uid="{01AF9FF4-F801-4234-BAF4-401F58DEC725}"/>
    <cellStyle name="40% - Accent6 2 2 4 3" xfId="5421" xr:uid="{00000000-0005-0000-0000-0000FF060000}"/>
    <cellStyle name="40% - Accent6 2 2 4 3 2" xfId="14747" xr:uid="{B080627B-2110-4F91-B26A-00333308CBA2}"/>
    <cellStyle name="40% - Accent6 2 2 4 4" xfId="10530" xr:uid="{B2B0782C-C208-4B1D-A900-8EE460B789A5}"/>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C94E4E52-EFEF-40C7-BCB9-658B53C9966F}"/>
    <cellStyle name="40% - Accent6 2 2 5 2 3" xfId="13088" xr:uid="{5940AE05-D85F-4393-8BAF-BA3C159B0DD0}"/>
    <cellStyle name="40% - Accent6 2 2 5 3" xfId="5834" xr:uid="{00000000-0005-0000-0000-000003070000}"/>
    <cellStyle name="40% - Accent6 2 2 5 3 2" xfId="15160" xr:uid="{FE3E9E97-3CCF-4388-A704-01DC32AF173B}"/>
    <cellStyle name="40% - Accent6 2 2 5 4" xfId="10943" xr:uid="{A3D04996-25D2-4E52-85B4-7B35BBD296DF}"/>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35B3A0C3-9FD3-487A-BB06-809ED58D9E76}"/>
    <cellStyle name="40% - Accent6 2 2 6 2 3" xfId="13501" xr:uid="{EAC2A2B7-1DED-417C-A2F6-E2B8FC3BBCD6}"/>
    <cellStyle name="40% - Accent6 2 2 6 3" xfId="6247" xr:uid="{00000000-0005-0000-0000-000007070000}"/>
    <cellStyle name="40% - Accent6 2 2 6 3 2" xfId="15573" xr:uid="{B7ED5B87-8B34-47C6-99E8-9366B23E3014}"/>
    <cellStyle name="40% - Accent6 2 2 6 4" xfId="11356" xr:uid="{E7EEBE08-EC81-4ED0-88CE-95D0CBB7341A}"/>
    <cellStyle name="40% - Accent6 2 2 7" xfId="2354" xr:uid="{00000000-0005-0000-0000-000008070000}"/>
    <cellStyle name="40% - Accent6 2 2 7 2" xfId="6660" xr:uid="{00000000-0005-0000-0000-000009070000}"/>
    <cellStyle name="40% - Accent6 2 2 7 2 2" xfId="15986" xr:uid="{85D6098D-FE4D-48B5-91C5-7AFDCCA4AB54}"/>
    <cellStyle name="40% - Accent6 2 2 7 3" xfId="11769" xr:uid="{FB640360-75FC-497D-80B4-053BD3241E03}"/>
    <cellStyle name="40% - Accent6 2 2 8" xfId="4594" xr:uid="{00000000-0005-0000-0000-00000A070000}"/>
    <cellStyle name="40% - Accent6 2 2 8 2" xfId="13920" xr:uid="{DB48B4F9-1947-4E2E-922B-3C187BD46912}"/>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CC711658-867C-416A-BEC4-0775DCAA493F}"/>
    <cellStyle name="40% - Accent6 2 3 2 2 3" xfId="12264" xr:uid="{6EA9B238-78A1-4590-A28B-135FB57E7567}"/>
    <cellStyle name="40% - Accent6 2 3 2 3" xfId="5010" xr:uid="{00000000-0005-0000-0000-00000F070000}"/>
    <cellStyle name="40% - Accent6 2 3 2 3 2" xfId="14336" xr:uid="{6F81BBD0-BB56-48EC-8CBE-A9A6134A442E}"/>
    <cellStyle name="40% - Accent6 2 3 2 4" xfId="9435" xr:uid="{36535681-1736-4584-8CB6-F8F38C9E0E5B}"/>
    <cellStyle name="40% - Accent6 2 3 2 5" xfId="10119" xr:uid="{7EAC17D1-744E-4625-88D4-EFF1D4DAA36C}"/>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0FAD134C-94BF-402A-AC62-016C9FF25E05}"/>
    <cellStyle name="40% - Accent6 2 3 3 2 3" xfId="12677" xr:uid="{4E538398-697C-4A4A-BEEE-BF365855B5E9}"/>
    <cellStyle name="40% - Accent6 2 3 3 3" xfId="5423" xr:uid="{00000000-0005-0000-0000-000013070000}"/>
    <cellStyle name="40% - Accent6 2 3 3 3 2" xfId="14749" xr:uid="{5A644C7D-9F8B-4D66-9F55-0E5EE5D8B55C}"/>
    <cellStyle name="40% - Accent6 2 3 3 4" xfId="10532" xr:uid="{467294BA-8516-43F5-B7E1-D0869A2BB78F}"/>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4E19636E-49EC-422A-9369-B8B107974E6A}"/>
    <cellStyle name="40% - Accent6 2 3 4 2 3" xfId="13090" xr:uid="{6DE559DC-57BE-490E-B9B2-4DECF240C66E}"/>
    <cellStyle name="40% - Accent6 2 3 4 3" xfId="5836" xr:uid="{00000000-0005-0000-0000-000017070000}"/>
    <cellStyle name="40% - Accent6 2 3 4 3 2" xfId="15162" xr:uid="{A5A3B53D-4339-4804-B6C7-5760D6689106}"/>
    <cellStyle name="40% - Accent6 2 3 4 4" xfId="10945" xr:uid="{27DCFC09-73C7-4BCA-AC67-E7C90FFFB7B2}"/>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2C255FD0-5C68-4BCC-AA11-5D8BB525B9EC}"/>
    <cellStyle name="40% - Accent6 2 3 5 2 3" xfId="13503" xr:uid="{EEA7A386-F467-4964-9D21-5D77E7502D20}"/>
    <cellStyle name="40% - Accent6 2 3 5 3" xfId="6249" xr:uid="{00000000-0005-0000-0000-00001B070000}"/>
    <cellStyle name="40% - Accent6 2 3 5 3 2" xfId="15575" xr:uid="{ACC8DBEE-B4CC-402F-B2FA-B3352AD0B65F}"/>
    <cellStyle name="40% - Accent6 2 3 5 4" xfId="11358" xr:uid="{528B20A2-65E9-4A83-840B-3C54A5A1256E}"/>
    <cellStyle name="40% - Accent6 2 3 6" xfId="2356" xr:uid="{00000000-0005-0000-0000-00001C070000}"/>
    <cellStyle name="40% - Accent6 2 3 6 2" xfId="6662" xr:uid="{00000000-0005-0000-0000-00001D070000}"/>
    <cellStyle name="40% - Accent6 2 3 6 2 2" xfId="15988" xr:uid="{C1532FD0-F1A7-476A-AFE7-E205290ECB8B}"/>
    <cellStyle name="40% - Accent6 2 3 6 3" xfId="11771" xr:uid="{134203B6-CF03-479E-B857-1AD4CCE63F8F}"/>
    <cellStyle name="40% - Accent6 2 3 7" xfId="4596" xr:uid="{00000000-0005-0000-0000-00001E070000}"/>
    <cellStyle name="40% - Accent6 2 3 7 2" xfId="13922" xr:uid="{F45D542A-A777-453D-8C2A-CC6EAC8C45E1}"/>
    <cellStyle name="40% - Accent6 2 3 8" xfId="9010" xr:uid="{63E1B5F8-FE5F-441F-B768-94B1D98CB2B1}"/>
    <cellStyle name="40% - Accent6 2 3 9" xfId="9705" xr:uid="{3F5EA803-2B43-4C18-8A40-7DDD9CE66F63}"/>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8B793B00-D70E-495C-9091-FF722FD50C7E}"/>
    <cellStyle name="40% - Accent6 2 4 2 3" xfId="12261" xr:uid="{D8C460A7-A739-4C89-AFFB-241FF08CC140}"/>
    <cellStyle name="40% - Accent6 2 4 3" xfId="5007" xr:uid="{00000000-0005-0000-0000-000022070000}"/>
    <cellStyle name="40% - Accent6 2 4 3 2" xfId="14333" xr:uid="{A69AF0AD-259B-4F79-9260-03C303750904}"/>
    <cellStyle name="40% - Accent6 2 4 4" xfId="9227" xr:uid="{61BC3AC1-FAE9-47DF-8143-7EECE05FF8D3}"/>
    <cellStyle name="40% - Accent6 2 4 5" xfId="10116" xr:uid="{28B38076-A069-4FCD-8886-948D07AF054B}"/>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8B424427-E733-4CAD-B5F4-FDA697891D01}"/>
    <cellStyle name="40% - Accent6 2 5 2 3" xfId="12674" xr:uid="{D01A2AEC-A0B2-4AA5-A27C-009EAD479C16}"/>
    <cellStyle name="40% - Accent6 2 5 3" xfId="5420" xr:uid="{00000000-0005-0000-0000-000026070000}"/>
    <cellStyle name="40% - Accent6 2 5 3 2" xfId="14746" xr:uid="{D3D7FC2A-C03A-45E8-ADBC-C1DB274C6B26}"/>
    <cellStyle name="40% - Accent6 2 5 4" xfId="10529" xr:uid="{CC141249-A330-4F80-82FD-398A66FD636D}"/>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338CD556-F188-404D-B3A7-ECDB827E7333}"/>
    <cellStyle name="40% - Accent6 2 6 2 3" xfId="13087" xr:uid="{687B7C10-FF33-430E-9757-EA2C3136553B}"/>
    <cellStyle name="40% - Accent6 2 6 3" xfId="5833" xr:uid="{00000000-0005-0000-0000-00002A070000}"/>
    <cellStyle name="40% - Accent6 2 6 3 2" xfId="15159" xr:uid="{891B2988-8BFF-4996-9AD0-3BAF545E2085}"/>
    <cellStyle name="40% - Accent6 2 6 4" xfId="10942" xr:uid="{7F5FB75B-7640-4ED3-8043-55EFB82B4502}"/>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36FA0C8A-AD65-4267-901F-31FAEA8665DE}"/>
    <cellStyle name="40% - Accent6 2 7 2 3" xfId="13500" xr:uid="{FB4FAB4C-88CA-48A0-A72F-1EE4B59192E0}"/>
    <cellStyle name="40% - Accent6 2 7 3" xfId="6246" xr:uid="{00000000-0005-0000-0000-00002E070000}"/>
    <cellStyle name="40% - Accent6 2 7 3 2" xfId="15572" xr:uid="{59A41D55-4040-4904-A93F-F0D9A7278258}"/>
    <cellStyle name="40% - Accent6 2 7 4" xfId="11355" xr:uid="{9A60ABCD-9607-482C-9830-E16B756E1D6F}"/>
    <cellStyle name="40% - Accent6 2 8" xfId="2353" xr:uid="{00000000-0005-0000-0000-00002F070000}"/>
    <cellStyle name="40% - Accent6 2 8 2" xfId="6659" xr:uid="{00000000-0005-0000-0000-000030070000}"/>
    <cellStyle name="40% - Accent6 2 8 2 2" xfId="15985" xr:uid="{483859C7-527D-4EBF-A516-5E583183B725}"/>
    <cellStyle name="40% - Accent6 2 8 3" xfId="11768" xr:uid="{E49C29B4-B7E6-420C-A6C0-09FF8BB28C0C}"/>
    <cellStyle name="40% - Accent6 2 9" xfId="4593" xr:uid="{00000000-0005-0000-0000-000031070000}"/>
    <cellStyle name="40% - Accent6 2 9 2" xfId="13919" xr:uid="{D8259C16-138A-42DA-8B4A-4E688E531510}"/>
    <cellStyle name="40% - Accent6 3" xfId="94" xr:uid="{00000000-0005-0000-0000-000032070000}"/>
    <cellStyle name="40% - Accent6 3 10" xfId="9706" xr:uid="{C9B2BFEE-9DEF-4BDE-828A-6195888335AE}"/>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4B4C309C-F289-49FB-9C95-CE649AD301AD}"/>
    <cellStyle name="40% - Accent6 3 2 2 2 3" xfId="12266" xr:uid="{7DECBAC8-1C1F-4599-9402-0BD21C464EA2}"/>
    <cellStyle name="40% - Accent6 3 2 2 3" xfId="5012" xr:uid="{00000000-0005-0000-0000-000037070000}"/>
    <cellStyle name="40% - Accent6 3 2 2 3 2" xfId="14338" xr:uid="{1CA64579-8D25-43C0-8E0C-97C62C20A5B7}"/>
    <cellStyle name="40% - Accent6 3 2 2 4" xfId="9504" xr:uid="{23E46585-FD8F-4BA3-8B65-284D6884E4FD}"/>
    <cellStyle name="40% - Accent6 3 2 2 5" xfId="10121" xr:uid="{5537ADA1-F687-45BA-AD18-ACD60914B527}"/>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710F1E3E-C206-476F-8BF6-70BE987174AA}"/>
    <cellStyle name="40% - Accent6 3 2 3 2 3" xfId="12679" xr:uid="{980EBEC9-BCA5-495B-A6D8-DBC2DEC06CC0}"/>
    <cellStyle name="40% - Accent6 3 2 3 3" xfId="5425" xr:uid="{00000000-0005-0000-0000-00003B070000}"/>
    <cellStyle name="40% - Accent6 3 2 3 3 2" xfId="14751" xr:uid="{332C228A-AC1B-438C-AC07-0106CBC3D9E9}"/>
    <cellStyle name="40% - Accent6 3 2 3 4" xfId="10534" xr:uid="{966C41BF-E6C1-4340-898F-D50612C7BFE0}"/>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2D00D4D6-F2D8-44FD-8E0C-F17D47998E9E}"/>
    <cellStyle name="40% - Accent6 3 2 4 2 3" xfId="13092" xr:uid="{8EBB56A9-3481-4E36-8D4E-49D7CD95EAF2}"/>
    <cellStyle name="40% - Accent6 3 2 4 3" xfId="5838" xr:uid="{00000000-0005-0000-0000-00003F070000}"/>
    <cellStyle name="40% - Accent6 3 2 4 3 2" xfId="15164" xr:uid="{3CF16583-18F3-4BA4-AC65-3BC8FDC70C87}"/>
    <cellStyle name="40% - Accent6 3 2 4 4" xfId="10947" xr:uid="{15B7D6F0-4206-4AA1-BE40-B63DF1DA1D1B}"/>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F9F1CB81-FF3D-43A9-8055-EA31ED873B60}"/>
    <cellStyle name="40% - Accent6 3 2 5 2 3" xfId="13505" xr:uid="{60680CB5-055D-4D05-B668-5B3CAD506453}"/>
    <cellStyle name="40% - Accent6 3 2 5 3" xfId="6251" xr:uid="{00000000-0005-0000-0000-000043070000}"/>
    <cellStyle name="40% - Accent6 3 2 5 3 2" xfId="15577" xr:uid="{BBA311D1-89E6-42E7-873B-926B23EDA2F4}"/>
    <cellStyle name="40% - Accent6 3 2 5 4" xfId="11360" xr:uid="{528B4EE4-AC1E-4802-964F-3DDD4FD901D3}"/>
    <cellStyle name="40% - Accent6 3 2 6" xfId="2358" xr:uid="{00000000-0005-0000-0000-000044070000}"/>
    <cellStyle name="40% - Accent6 3 2 6 2" xfId="6664" xr:uid="{00000000-0005-0000-0000-000045070000}"/>
    <cellStyle name="40% - Accent6 3 2 6 2 2" xfId="15990" xr:uid="{D635C98A-AAA0-43AC-B4AD-AF03DE4EF761}"/>
    <cellStyle name="40% - Accent6 3 2 6 3" xfId="11773" xr:uid="{FF0A9158-4D7A-43A3-98C9-0453AABB4CDC}"/>
    <cellStyle name="40% - Accent6 3 2 7" xfId="4598" xr:uid="{00000000-0005-0000-0000-000046070000}"/>
    <cellStyle name="40% - Accent6 3 2 7 2" xfId="13924" xr:uid="{FA436CF1-1B4A-4921-A6DA-B729EDF311CC}"/>
    <cellStyle name="40% - Accent6 3 2 8" xfId="9079" xr:uid="{7FA93E2E-699F-4676-8533-A3CC5F80D807}"/>
    <cellStyle name="40% - Accent6 3 2 9" xfId="9707" xr:uid="{F0637D64-39C0-4E8C-9F79-BBB4F5ADA8C1}"/>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3669024C-6E95-4461-A455-4A0E7BA75B0C}"/>
    <cellStyle name="40% - Accent6 3 3 2 3" xfId="12265" xr:uid="{92C3AE7A-06A3-4D52-9917-E7DE5B6BE134}"/>
    <cellStyle name="40% - Accent6 3 3 3" xfId="5011" xr:uid="{00000000-0005-0000-0000-00004A070000}"/>
    <cellStyle name="40% - Accent6 3 3 3 2" xfId="14337" xr:uid="{44F747BB-6DA9-468C-A0A7-7FD81EEEA71D}"/>
    <cellStyle name="40% - Accent6 3 3 4" xfId="9297" xr:uid="{1226E28F-09E7-4580-8D19-7F14AC1CB4B3}"/>
    <cellStyle name="40% - Accent6 3 3 5" xfId="10120" xr:uid="{A6AEB56A-A5BC-48EA-9532-9E9ECD11E37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599A343F-7A14-4EA6-9283-D567341CBE5A}"/>
    <cellStyle name="40% - Accent6 3 4 2 3" xfId="12678" xr:uid="{8D9485C8-1CD5-487A-A7C7-7E7A94A3113D}"/>
    <cellStyle name="40% - Accent6 3 4 3" xfId="5424" xr:uid="{00000000-0005-0000-0000-00004E070000}"/>
    <cellStyle name="40% - Accent6 3 4 3 2" xfId="14750" xr:uid="{3B2D8C45-A652-4BBA-BD39-C3923111A2AA}"/>
    <cellStyle name="40% - Accent6 3 4 4" xfId="10533" xr:uid="{9A824F28-5109-467A-B339-76C1653F2DF2}"/>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DA39A85B-1D8C-4B3D-AC87-3D68BF57FCDC}"/>
    <cellStyle name="40% - Accent6 3 5 2 3" xfId="13091" xr:uid="{DED4F049-5165-4C8A-964C-B47F477BACA9}"/>
    <cellStyle name="40% - Accent6 3 5 3" xfId="5837" xr:uid="{00000000-0005-0000-0000-000052070000}"/>
    <cellStyle name="40% - Accent6 3 5 3 2" xfId="15163" xr:uid="{9F4806C3-2724-4455-BD5B-31CF94DB30F8}"/>
    <cellStyle name="40% - Accent6 3 5 4" xfId="10946" xr:uid="{44CC9BE6-95CD-4010-A8B8-80A194D04FA6}"/>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F0AEA7C2-24DC-4901-AAEA-659869C3BFB5}"/>
    <cellStyle name="40% - Accent6 3 6 2 3" xfId="13504" xr:uid="{B5BE109C-9416-4024-8EE0-E02B8E295A16}"/>
    <cellStyle name="40% - Accent6 3 6 3" xfId="6250" xr:uid="{00000000-0005-0000-0000-000056070000}"/>
    <cellStyle name="40% - Accent6 3 6 3 2" xfId="15576" xr:uid="{E19E27F0-01BE-4C23-9D70-484716EEA0A0}"/>
    <cellStyle name="40% - Accent6 3 6 4" xfId="11359" xr:uid="{9DB76485-D278-41D6-AFBD-5FE79688B277}"/>
    <cellStyle name="40% - Accent6 3 7" xfId="2357" xr:uid="{00000000-0005-0000-0000-000057070000}"/>
    <cellStyle name="40% - Accent6 3 7 2" xfId="6663" xr:uid="{00000000-0005-0000-0000-000058070000}"/>
    <cellStyle name="40% - Accent6 3 7 2 2" xfId="15989" xr:uid="{805AD355-EF35-4E2F-9E4B-3A3C42C44481}"/>
    <cellStyle name="40% - Accent6 3 7 3" xfId="11772" xr:uid="{86E3173C-48F8-45C9-A4B4-E2894A5A733B}"/>
    <cellStyle name="40% - Accent6 3 8" xfId="4597" xr:uid="{00000000-0005-0000-0000-000059070000}"/>
    <cellStyle name="40% - Accent6 3 8 2" xfId="13923" xr:uid="{F29EDB69-75B9-4B4A-9A03-6146B4358975}"/>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6771F43F-38CF-4150-AE59-489F8A02625F}"/>
    <cellStyle name="40% - Accent6 4 2 2 3" xfId="12267" xr:uid="{2DFDD379-DD0F-4E88-979E-E22CD398FA03}"/>
    <cellStyle name="40% - Accent6 4 2 3" xfId="5013" xr:uid="{00000000-0005-0000-0000-00005E070000}"/>
    <cellStyle name="40% - Accent6 4 2 3 2" xfId="14339" xr:uid="{07A6CC45-0960-42F9-B6D6-B258B71B3F78}"/>
    <cellStyle name="40% - Accent6 4 2 4" xfId="9383" xr:uid="{07C7426F-B517-4815-A0BF-2BAE02B26B53}"/>
    <cellStyle name="40% - Accent6 4 2 5" xfId="10122" xr:uid="{42544D82-7D7E-4EC6-8732-F7F77C322C8A}"/>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ACA1DF84-A31B-4B1F-9C49-6C2EB3F84037}"/>
    <cellStyle name="40% - Accent6 4 3 2 3" xfId="12680" xr:uid="{CDC3F430-7048-4F9A-8E10-5E01AD5F4895}"/>
    <cellStyle name="40% - Accent6 4 3 3" xfId="5426" xr:uid="{00000000-0005-0000-0000-000062070000}"/>
    <cellStyle name="40% - Accent6 4 3 3 2" xfId="14752" xr:uid="{1DC9B5BA-E4CE-430A-B71B-7036747D00DB}"/>
    <cellStyle name="40% - Accent6 4 3 4" xfId="10535" xr:uid="{4B2068CA-0CC7-4BCB-AEB6-4E449AFF0F41}"/>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2762371B-8B69-4254-8CB0-F05DA08ED04E}"/>
    <cellStyle name="40% - Accent6 4 4 2 3" xfId="13093" xr:uid="{F07D31BC-5B12-4804-8CF7-5FD8ECF744B0}"/>
    <cellStyle name="40% - Accent6 4 4 3" xfId="5839" xr:uid="{00000000-0005-0000-0000-000066070000}"/>
    <cellStyle name="40% - Accent6 4 4 3 2" xfId="15165" xr:uid="{EA2F4FC1-BC97-4958-B24A-FFDA92C1A199}"/>
    <cellStyle name="40% - Accent6 4 4 4" xfId="10948" xr:uid="{05A1302B-3DA5-4FDB-9005-EAAA20E55089}"/>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920208BA-9D82-455F-A6CF-A2436CE143E6}"/>
    <cellStyle name="40% - Accent6 4 5 2 3" xfId="13506" xr:uid="{74BA65D1-8A2D-410D-BF00-E2E978965C34}"/>
    <cellStyle name="40% - Accent6 4 5 3" xfId="6252" xr:uid="{00000000-0005-0000-0000-00006A070000}"/>
    <cellStyle name="40% - Accent6 4 5 3 2" xfId="15578" xr:uid="{C23AF84C-D924-4C6A-B141-DD5FD20AC2B0}"/>
    <cellStyle name="40% - Accent6 4 5 4" xfId="11361" xr:uid="{CFA3AE1D-9C16-435F-80F8-1E38B0A016BE}"/>
    <cellStyle name="40% - Accent6 4 6" xfId="2359" xr:uid="{00000000-0005-0000-0000-00006B070000}"/>
    <cellStyle name="40% - Accent6 4 6 2" xfId="6665" xr:uid="{00000000-0005-0000-0000-00006C070000}"/>
    <cellStyle name="40% - Accent6 4 6 2 2" xfId="15991" xr:uid="{15ED19FB-DE00-4197-B1A1-84BA325413B2}"/>
    <cellStyle name="40% - Accent6 4 6 3" xfId="11774" xr:uid="{C4E65230-56BB-45E1-85D6-CBF5A4204959}"/>
    <cellStyle name="40% - Accent6 4 7" xfId="4599" xr:uid="{00000000-0005-0000-0000-00006D070000}"/>
    <cellStyle name="40% - Accent6 4 7 2" xfId="13925" xr:uid="{06035C48-0291-4139-9921-9C283D8739C7}"/>
    <cellStyle name="40% - Accent6 4 8" xfId="8958" xr:uid="{058203D5-6D6D-4106-8D68-93F66B236239}"/>
    <cellStyle name="40% - Accent6 4 9" xfId="9708" xr:uid="{37066ACC-3E87-4457-AF2F-E702B3F36E69}"/>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6E40FA39-6BA2-4FC4-8A8B-90D036E5F981}"/>
    <cellStyle name="40% - Accent6 5 2 3" xfId="12260" xr:uid="{327E9C96-DDF2-4E06-B0C3-983862BF5ACF}"/>
    <cellStyle name="40% - Accent6 5 3" xfId="5006" xr:uid="{00000000-0005-0000-0000-000071070000}"/>
    <cellStyle name="40% - Accent6 5 3 2" xfId="14332" xr:uid="{00D43B11-7BB5-4D8C-B972-788D43DBF716}"/>
    <cellStyle name="40% - Accent6 5 4" xfId="9192" xr:uid="{19661A88-B46A-4EF9-A9F3-4BCF8E242108}"/>
    <cellStyle name="40% - Accent6 5 5" xfId="10115" xr:uid="{0FFF966D-C9E3-4D69-B5A5-ADEA81FA6A44}"/>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E56EDBFC-7D77-411E-AF10-00D8C68D514C}"/>
    <cellStyle name="40% - Accent6 6 2 3" xfId="12673" xr:uid="{64A89DB2-BCBB-46E3-849D-D17078E89E83}"/>
    <cellStyle name="40% - Accent6 6 3" xfId="5419" xr:uid="{00000000-0005-0000-0000-000075070000}"/>
    <cellStyle name="40% - Accent6 6 3 2" xfId="14745" xr:uid="{E62D5FC0-06B6-4D75-8FD0-62327F31E9FB}"/>
    <cellStyle name="40% - Accent6 6 4" xfId="10528" xr:uid="{6CB0DCDD-900E-44A9-907C-8BC1A6A159F5}"/>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A569DB77-57EA-41C2-B340-CB559D036FD3}"/>
    <cellStyle name="40% - Accent6 7 2 3" xfId="13086" xr:uid="{44AF42BB-295E-4EC4-BCF4-2746845E6B21}"/>
    <cellStyle name="40% - Accent6 7 3" xfId="5832" xr:uid="{00000000-0005-0000-0000-000079070000}"/>
    <cellStyle name="40% - Accent6 7 3 2" xfId="15158" xr:uid="{0B5FB8B6-0E90-4A66-9014-B240D6DBB08C}"/>
    <cellStyle name="40% - Accent6 7 4" xfId="10941" xr:uid="{5FA8CF4F-3906-4A93-A77D-B1FF4AF6B55C}"/>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32919789-8975-468B-BA3F-CC7A7CFF577C}"/>
    <cellStyle name="40% - Accent6 8 2 3" xfId="13499" xr:uid="{47CCDCA1-EBB6-414D-BDF0-48D00F7BFD8E}"/>
    <cellStyle name="40% - Accent6 8 3" xfId="6245" xr:uid="{00000000-0005-0000-0000-00007D070000}"/>
    <cellStyle name="40% - Accent6 8 3 2" xfId="15571" xr:uid="{15B96DFB-CCD2-464D-B8DA-099B81B7D3B8}"/>
    <cellStyle name="40% - Accent6 8 4" xfId="11354" xr:uid="{F130E879-F190-45F8-91E1-A679B5096539}"/>
    <cellStyle name="40% - Accent6 9" xfId="2352" xr:uid="{00000000-0005-0000-0000-00007E070000}"/>
    <cellStyle name="40% - Accent6 9 2" xfId="6658" xr:uid="{00000000-0005-0000-0000-00007F070000}"/>
    <cellStyle name="40% - Accent6 9 2 2" xfId="15984" xr:uid="{CEC8F31A-481B-4B05-BD13-4327563C75C1}"/>
    <cellStyle name="40% - Accent6 9 3" xfId="11767" xr:uid="{77711815-8D50-409B-B216-20609BDB9FBF}"/>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91112C47-C3E1-408F-AFE2-49151F53D3F4}"/>
    <cellStyle name="Comma 4 2 2 2 10 3" xfId="12092" xr:uid="{5AC2502C-FB73-4888-84D8-5FC3EDAED363}"/>
    <cellStyle name="Comma 4 2 2 2 11" xfId="4600" xr:uid="{00000000-0005-0000-0000-0000A3070000}"/>
    <cellStyle name="Comma 4 2 2 2 11 2" xfId="13926" xr:uid="{C37E7A51-6DD1-4A49-9503-8327AE2D4130}"/>
    <cellStyle name="Comma 4 2 2 2 12" xfId="8806" xr:uid="{6C773D0B-D2E3-4A8C-B041-8DA2843B9E25}"/>
    <cellStyle name="Comma 4 2 2 2 13" xfId="9709" xr:uid="{E64BDDD1-DBF9-4EA8-9BBC-A0017991F644}"/>
    <cellStyle name="Comma 4 2 2 2 2" xfId="129" xr:uid="{00000000-0005-0000-0000-0000A4070000}"/>
    <cellStyle name="Comma 4 2 2 2 2 10" xfId="4601" xr:uid="{00000000-0005-0000-0000-0000A5070000}"/>
    <cellStyle name="Comma 4 2 2 2 2 10 2" xfId="13927" xr:uid="{1F169875-E304-4905-8536-A367E0CDA2F9}"/>
    <cellStyle name="Comma 4 2 2 2 2 11" xfId="8909" xr:uid="{477FCE05-1F49-4658-A03C-A8A5E7983C47}"/>
    <cellStyle name="Comma 4 2 2 2 2 12" xfId="9710" xr:uid="{6E0FF3A2-DBAD-472B-B818-F6EFE3A84C44}"/>
    <cellStyle name="Comma 4 2 2 2 2 2" xfId="130" xr:uid="{00000000-0005-0000-0000-0000A6070000}"/>
    <cellStyle name="Comma 4 2 2 2 2 2 10" xfId="9116" xr:uid="{7A07505D-6B4C-4086-90B5-B5D345FB7611}"/>
    <cellStyle name="Comma 4 2 2 2 2 2 11" xfId="9711" xr:uid="{8636E4BB-06BC-4D0E-94A8-9E2B7D087197}"/>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751E1863-5996-4088-89F6-C881C344C3E0}"/>
    <cellStyle name="Comma 4 2 2 2 2 2 2 2 3" xfId="12270" xr:uid="{A8F17011-5F9C-4DA0-8AD1-39F263FBAE94}"/>
    <cellStyle name="Comma 4 2 2 2 2 2 2 3" xfId="5016" xr:uid="{00000000-0005-0000-0000-0000AA070000}"/>
    <cellStyle name="Comma 4 2 2 2 2 2 2 3 2" xfId="14342" xr:uid="{A784649F-841D-4FD2-B215-7EB7BA325981}"/>
    <cellStyle name="Comma 4 2 2 2 2 2 2 4" xfId="9541" xr:uid="{21DC771E-83A2-48BA-BE40-3E9E8454DE28}"/>
    <cellStyle name="Comma 4 2 2 2 2 2 2 5" xfId="10125" xr:uid="{FEA73E5F-806B-4F58-A327-947558D6DCC2}"/>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77986B33-F93F-4D8D-A779-119DF307B11D}"/>
    <cellStyle name="Comma 4 2 2 2 2 2 3 2 3" xfId="12683" xr:uid="{0679A146-1213-473C-9D15-2F35141FD251}"/>
    <cellStyle name="Comma 4 2 2 2 2 2 3 3" xfId="5429" xr:uid="{00000000-0005-0000-0000-0000AE070000}"/>
    <cellStyle name="Comma 4 2 2 2 2 2 3 3 2" xfId="14755" xr:uid="{1903FD0D-DAA4-4A20-A2B5-9F0A01EC27A5}"/>
    <cellStyle name="Comma 4 2 2 2 2 2 3 4" xfId="10538" xr:uid="{52FF4E41-1395-4B38-9DD7-2FF738C1596A}"/>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C9023CDE-32F0-4F98-8ECA-D2322BB7C6D2}"/>
    <cellStyle name="Comma 4 2 2 2 2 2 4 2 3" xfId="13096" xr:uid="{3A51FEB1-3A19-4BA1-B95B-EAE1D2D06707}"/>
    <cellStyle name="Comma 4 2 2 2 2 2 4 3" xfId="5842" xr:uid="{00000000-0005-0000-0000-0000B2070000}"/>
    <cellStyle name="Comma 4 2 2 2 2 2 4 3 2" xfId="15168" xr:uid="{7CA016E0-6277-4F85-B487-D7F0822D47E4}"/>
    <cellStyle name="Comma 4 2 2 2 2 2 4 4" xfId="10951" xr:uid="{A36A3AC1-2DD2-47A8-859B-80D478849CD5}"/>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2358FDF3-A862-4195-9B4A-4280B1E8F49B}"/>
    <cellStyle name="Comma 4 2 2 2 2 2 5 2 3" xfId="13509" xr:uid="{28B766B5-F237-4D92-9429-C54D3629D84C}"/>
    <cellStyle name="Comma 4 2 2 2 2 2 5 3" xfId="6255" xr:uid="{00000000-0005-0000-0000-0000B6070000}"/>
    <cellStyle name="Comma 4 2 2 2 2 2 5 3 2" xfId="15581" xr:uid="{4C716036-5A0C-4398-A348-39427AEA1C33}"/>
    <cellStyle name="Comma 4 2 2 2 2 2 5 4" xfId="11364" xr:uid="{91C92571-EA3D-435F-91DB-3351F3C72ADB}"/>
    <cellStyle name="Comma 4 2 2 2 2 2 6" xfId="2384" xr:uid="{00000000-0005-0000-0000-0000B7070000}"/>
    <cellStyle name="Comma 4 2 2 2 2 2 6 2" xfId="6668" xr:uid="{00000000-0005-0000-0000-0000B8070000}"/>
    <cellStyle name="Comma 4 2 2 2 2 2 6 2 2" xfId="15994" xr:uid="{F5C558F3-8F19-4B4D-8FA8-F4D610ADA078}"/>
    <cellStyle name="Comma 4 2 2 2 2 2 6 3" xfId="11777" xr:uid="{0BF6B11E-720B-4728-8739-5DDE5A364E0D}"/>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8923F006-C749-4614-A9D2-F07619DE2FE8}"/>
    <cellStyle name="Comma 4 2 2 2 2 2 8 3" xfId="12094" xr:uid="{AC47E7FA-DFFF-4F9F-9367-7055E99FDA22}"/>
    <cellStyle name="Comma 4 2 2 2 2 2 9" xfId="4602" xr:uid="{00000000-0005-0000-0000-0000BC070000}"/>
    <cellStyle name="Comma 4 2 2 2 2 2 9 2" xfId="13928" xr:uid="{4D0839B2-0B49-4650-B59C-AF9F20974CF8}"/>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01349B19-78DA-41EF-AAFC-83815CCE4F71}"/>
    <cellStyle name="Comma 4 2 2 2 2 3 2 3" xfId="12269" xr:uid="{6309C7D1-4145-4183-A0D9-C254C7E91640}"/>
    <cellStyle name="Comma 4 2 2 2 2 3 3" xfId="5015" xr:uid="{00000000-0005-0000-0000-0000C0070000}"/>
    <cellStyle name="Comma 4 2 2 2 2 3 3 2" xfId="14341" xr:uid="{6D177349-9378-41D9-91C1-BE6142975EEE}"/>
    <cellStyle name="Comma 4 2 2 2 2 3 4" xfId="9334" xr:uid="{50E8807F-6450-4082-BD30-0A86C2E78D0E}"/>
    <cellStyle name="Comma 4 2 2 2 2 3 5" xfId="10124" xr:uid="{02437AA4-6D89-498D-99B3-C47AA827BDEA}"/>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EAA74598-5FF9-4629-96A6-9B19149E7B51}"/>
    <cellStyle name="Comma 4 2 2 2 2 4 2 3" xfId="12682" xr:uid="{7A261AFF-E792-4EFC-8CFC-70A0579437FF}"/>
    <cellStyle name="Comma 4 2 2 2 2 4 3" xfId="5428" xr:uid="{00000000-0005-0000-0000-0000C4070000}"/>
    <cellStyle name="Comma 4 2 2 2 2 4 3 2" xfId="14754" xr:uid="{2BAD9E36-A091-4491-B771-88DBA4817E0E}"/>
    <cellStyle name="Comma 4 2 2 2 2 4 4" xfId="10537" xr:uid="{D5CCAC85-F533-4FF9-A1B4-9D96421FC8C1}"/>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A820F480-8F0B-4FDC-8E28-FB5D3CF76083}"/>
    <cellStyle name="Comma 4 2 2 2 2 5 2 3" xfId="13095" xr:uid="{5B885E7A-F50F-43A2-997C-0A5465EAF73A}"/>
    <cellStyle name="Comma 4 2 2 2 2 5 3" xfId="5841" xr:uid="{00000000-0005-0000-0000-0000C8070000}"/>
    <cellStyle name="Comma 4 2 2 2 2 5 3 2" xfId="15167" xr:uid="{8CB90D94-AAC9-4F2E-89B8-683E3CEDD432}"/>
    <cellStyle name="Comma 4 2 2 2 2 5 4" xfId="10950" xr:uid="{D60652AB-C445-4311-979C-7863A9C6D70F}"/>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D8378D5F-C50F-47A6-9D1B-4BCCAC1CC734}"/>
    <cellStyle name="Comma 4 2 2 2 2 6 2 3" xfId="13508" xr:uid="{D70E7266-157C-4006-9B8F-26BADD4FBF29}"/>
    <cellStyle name="Comma 4 2 2 2 2 6 3" xfId="6254" xr:uid="{00000000-0005-0000-0000-0000CC070000}"/>
    <cellStyle name="Comma 4 2 2 2 2 6 3 2" xfId="15580" xr:uid="{31A95012-640E-4383-9AE6-3AA3FEFB2F38}"/>
    <cellStyle name="Comma 4 2 2 2 2 6 4" xfId="11363" xr:uid="{1A9A6739-3CA8-4FDC-8EB3-E015C0500234}"/>
    <cellStyle name="Comma 4 2 2 2 2 7" xfId="2383" xr:uid="{00000000-0005-0000-0000-0000CD070000}"/>
    <cellStyle name="Comma 4 2 2 2 2 7 2" xfId="6667" xr:uid="{00000000-0005-0000-0000-0000CE070000}"/>
    <cellStyle name="Comma 4 2 2 2 2 7 2 2" xfId="15993" xr:uid="{01C30EE9-F6D6-4DAA-8339-04927FE587DE}"/>
    <cellStyle name="Comma 4 2 2 2 2 7 3" xfId="11776" xr:uid="{488FE589-2522-400E-A506-5447E429F4C2}"/>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449F5302-BE58-489E-A8D9-939347B7A804}"/>
    <cellStyle name="Comma 4 2 2 2 2 9 3" xfId="12093" xr:uid="{4A555080-49F9-48C7-8C26-CE4A6E0CD22E}"/>
    <cellStyle name="Comma 4 2 2 2 3" xfId="131" xr:uid="{00000000-0005-0000-0000-0000D2070000}"/>
    <cellStyle name="Comma 4 2 2 2 3 10" xfId="9013" xr:uid="{D7491CA1-A7A0-4099-A659-9FB418CDDACA}"/>
    <cellStyle name="Comma 4 2 2 2 3 11" xfId="9712" xr:uid="{E5B2A1BB-A955-4A32-A420-1B7C24D8B41F}"/>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5C98C986-7337-4A73-9BFB-FA9FD2D65373}"/>
    <cellStyle name="Comma 4 2 2 2 3 2 2 3" xfId="12271" xr:uid="{CF235559-DFE4-4E76-9FCD-70871F371BF1}"/>
    <cellStyle name="Comma 4 2 2 2 3 2 3" xfId="5017" xr:uid="{00000000-0005-0000-0000-0000D6070000}"/>
    <cellStyle name="Comma 4 2 2 2 3 2 3 2" xfId="14343" xr:uid="{2A348C8F-4D2D-43A4-A903-77FABF3B5ADA}"/>
    <cellStyle name="Comma 4 2 2 2 3 2 4" xfId="9438" xr:uid="{8E9C4341-814A-43D1-8D35-8CCC512A2E32}"/>
    <cellStyle name="Comma 4 2 2 2 3 2 5" xfId="10126" xr:uid="{E9FFF47C-57F3-4B23-B271-E1D2DDB61728}"/>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A4C22D0D-D24A-4361-8719-477E4AA449D5}"/>
    <cellStyle name="Comma 4 2 2 2 3 3 2 3" xfId="12684" xr:uid="{CE8C6396-9ED5-48A8-90AB-A03022DAF8E7}"/>
    <cellStyle name="Comma 4 2 2 2 3 3 3" xfId="5430" xr:uid="{00000000-0005-0000-0000-0000DA070000}"/>
    <cellStyle name="Comma 4 2 2 2 3 3 3 2" xfId="14756" xr:uid="{D861C57B-A2CB-480E-8D19-D3E118EADE85}"/>
    <cellStyle name="Comma 4 2 2 2 3 3 4" xfId="10539" xr:uid="{2B0132D5-1652-40A6-8562-77EC7A058E61}"/>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7A8E51EC-D793-4F54-834A-28875E6D4EC7}"/>
    <cellStyle name="Comma 4 2 2 2 3 4 2 3" xfId="13097" xr:uid="{00C647EC-909E-41D8-AB2B-1EF74412CEC1}"/>
    <cellStyle name="Comma 4 2 2 2 3 4 3" xfId="5843" xr:uid="{00000000-0005-0000-0000-0000DE070000}"/>
    <cellStyle name="Comma 4 2 2 2 3 4 3 2" xfId="15169" xr:uid="{5E1FD5CD-F7C8-492F-BA90-D622C101FF21}"/>
    <cellStyle name="Comma 4 2 2 2 3 4 4" xfId="10952" xr:uid="{D9C17D74-737A-4E3C-849D-2A0CB3A5E2C4}"/>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FE3E992D-6790-4DD3-A046-39AE1A9F9EE5}"/>
    <cellStyle name="Comma 4 2 2 2 3 5 2 3" xfId="13510" xr:uid="{EC2D0C3D-79CA-4C76-B36C-88BAB4848C47}"/>
    <cellStyle name="Comma 4 2 2 2 3 5 3" xfId="6256" xr:uid="{00000000-0005-0000-0000-0000E2070000}"/>
    <cellStyle name="Comma 4 2 2 2 3 5 3 2" xfId="15582" xr:uid="{03DFD285-3731-4FF6-B20D-6E80D1727907}"/>
    <cellStyle name="Comma 4 2 2 2 3 5 4" xfId="11365" xr:uid="{31B12645-8AF1-4276-A62B-3F83A10D82DC}"/>
    <cellStyle name="Comma 4 2 2 2 3 6" xfId="2385" xr:uid="{00000000-0005-0000-0000-0000E3070000}"/>
    <cellStyle name="Comma 4 2 2 2 3 6 2" xfId="6669" xr:uid="{00000000-0005-0000-0000-0000E4070000}"/>
    <cellStyle name="Comma 4 2 2 2 3 6 2 2" xfId="15995" xr:uid="{C650B0BC-1805-4CD5-B807-0B3239EAB9B0}"/>
    <cellStyle name="Comma 4 2 2 2 3 6 3" xfId="11778" xr:uid="{9DF0EC6B-AEC0-497C-9E5F-2BCA6804D15F}"/>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C388AC12-8FE5-42CA-8FE7-16D912D192F2}"/>
    <cellStyle name="Comma 4 2 2 2 3 8 3" xfId="12095" xr:uid="{50E9A5D6-2663-426B-940A-66BB0F64BC51}"/>
    <cellStyle name="Comma 4 2 2 2 3 9" xfId="4603" xr:uid="{00000000-0005-0000-0000-0000E8070000}"/>
    <cellStyle name="Comma 4 2 2 2 3 9 2" xfId="13929" xr:uid="{3B3A5137-1EE7-42E9-A19C-DD7620F3A329}"/>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22D21D11-232B-479D-8207-AFE02F18A72B}"/>
    <cellStyle name="Comma 4 2 2 2 4 2 3" xfId="12268" xr:uid="{A51A209B-6B4A-42B4-B942-77553A809155}"/>
    <cellStyle name="Comma 4 2 2 2 4 3" xfId="5014" xr:uid="{00000000-0005-0000-0000-0000EC070000}"/>
    <cellStyle name="Comma 4 2 2 2 4 3 2" xfId="14340" xr:uid="{EEADD535-9D6A-4274-A460-76F8EEBBFCDB}"/>
    <cellStyle name="Comma 4 2 2 2 4 4" xfId="9231" xr:uid="{31DAC97A-9492-467B-9850-183797A56FBE}"/>
    <cellStyle name="Comma 4 2 2 2 4 5" xfId="10123" xr:uid="{F7F03095-6CFE-4149-932E-B55D70D499FB}"/>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F4D7B347-ECF1-469F-8BBD-C009576570CF}"/>
    <cellStyle name="Comma 4 2 2 2 5 2 3" xfId="12681" xr:uid="{E78BD9B4-B85C-4FCF-BB89-5C626C12189E}"/>
    <cellStyle name="Comma 4 2 2 2 5 3" xfId="5427" xr:uid="{00000000-0005-0000-0000-0000F0070000}"/>
    <cellStyle name="Comma 4 2 2 2 5 3 2" xfId="14753" xr:uid="{81153314-AA65-465E-81AD-48921923EAE8}"/>
    <cellStyle name="Comma 4 2 2 2 5 4" xfId="10536" xr:uid="{1AB99413-B592-4CE8-83DB-218BDA12C24D}"/>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7FEFE2C6-7716-432D-9AF8-617E151B3FCA}"/>
    <cellStyle name="Comma 4 2 2 2 6 2 3" xfId="13094" xr:uid="{E3FF3B22-23B6-4C25-A32E-DA823D77298E}"/>
    <cellStyle name="Comma 4 2 2 2 6 3" xfId="5840" xr:uid="{00000000-0005-0000-0000-0000F4070000}"/>
    <cellStyle name="Comma 4 2 2 2 6 3 2" xfId="15166" xr:uid="{63A23A5D-2BA4-48CA-8BBA-12109BB796F5}"/>
    <cellStyle name="Comma 4 2 2 2 6 4" xfId="10949" xr:uid="{5221379F-0ACC-47E0-9E36-6F4744408C71}"/>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974046BF-AD49-43C7-AFFA-22D77981E7FE}"/>
    <cellStyle name="Comma 4 2 2 2 7 2 3" xfId="13507" xr:uid="{633B72FB-2943-40D0-86B2-144DF1CED71D}"/>
    <cellStyle name="Comma 4 2 2 2 7 3" xfId="6253" xr:uid="{00000000-0005-0000-0000-0000F8070000}"/>
    <cellStyle name="Comma 4 2 2 2 7 3 2" xfId="15579" xr:uid="{2AB224C3-33B2-4F46-8E92-6D03AFB698F8}"/>
    <cellStyle name="Comma 4 2 2 2 7 4" xfId="11362" xr:uid="{6DC95AEE-AE05-4459-A2C7-9BF24C5071E2}"/>
    <cellStyle name="Comma 4 2 2 2 8" xfId="2382" xr:uid="{00000000-0005-0000-0000-0000F9070000}"/>
    <cellStyle name="Comma 4 2 2 2 8 2" xfId="6666" xr:uid="{00000000-0005-0000-0000-0000FA070000}"/>
    <cellStyle name="Comma 4 2 2 2 8 2 2" xfId="15992" xr:uid="{524F8165-8ADA-43CB-A969-739F464E0F12}"/>
    <cellStyle name="Comma 4 2 2 2 8 3" xfId="11775" xr:uid="{6B66485E-167F-4157-9143-722F3CAC096B}"/>
    <cellStyle name="Comma 4 2 2 2 9" xfId="2381" xr:uid="{00000000-0005-0000-0000-0000FB070000}"/>
    <cellStyle name="Comma 4 2 2 3" xfId="132" xr:uid="{00000000-0005-0000-0000-0000FC070000}"/>
    <cellStyle name="Comma 4 2 2 3 10" xfId="4604" xr:uid="{00000000-0005-0000-0000-0000FD070000}"/>
    <cellStyle name="Comma 4 2 2 3 10 2" xfId="13930" xr:uid="{6A879B1F-A121-4A35-9C0C-595D87576474}"/>
    <cellStyle name="Comma 4 2 2 3 11" xfId="8889" xr:uid="{93813409-C042-4436-8561-B0237A135E7D}"/>
    <cellStyle name="Comma 4 2 2 3 12" xfId="9713" xr:uid="{9F09AAE6-50FA-4810-9B84-EB5E9CFDDA36}"/>
    <cellStyle name="Comma 4 2 2 3 2" xfId="133" xr:uid="{00000000-0005-0000-0000-0000FE070000}"/>
    <cellStyle name="Comma 4 2 2 3 2 10" xfId="9096" xr:uid="{C395B6CC-7E3E-452B-B5AB-BBF992A45CEB}"/>
    <cellStyle name="Comma 4 2 2 3 2 11" xfId="9714" xr:uid="{3EE058B2-23D7-4305-9AF6-3643E74F1F19}"/>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5ACD7DC1-0707-47B2-A96F-0074B8AB4D4B}"/>
    <cellStyle name="Comma 4 2 2 3 2 2 2 3" xfId="12273" xr:uid="{D79A31F5-1D68-44B3-B7B4-477E785741F8}"/>
    <cellStyle name="Comma 4 2 2 3 2 2 3" xfId="5019" xr:uid="{00000000-0005-0000-0000-000002080000}"/>
    <cellStyle name="Comma 4 2 2 3 2 2 3 2" xfId="14345" xr:uid="{93EE8664-B31B-40E5-A443-8119CA361251}"/>
    <cellStyle name="Comma 4 2 2 3 2 2 4" xfId="9521" xr:uid="{8F14F654-C711-4E70-8A06-71F68E70E2E0}"/>
    <cellStyle name="Comma 4 2 2 3 2 2 5" xfId="10128" xr:uid="{47F30757-379D-41F4-A2BF-EE0449ABA13F}"/>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D6EF9F02-B5C7-41E8-8699-3BB8D3AF4302}"/>
    <cellStyle name="Comma 4 2 2 3 2 3 2 3" xfId="12686" xr:uid="{7050720D-1D2A-4585-96AB-FDAE7F9E4F78}"/>
    <cellStyle name="Comma 4 2 2 3 2 3 3" xfId="5432" xr:uid="{00000000-0005-0000-0000-000006080000}"/>
    <cellStyle name="Comma 4 2 2 3 2 3 3 2" xfId="14758" xr:uid="{FDDEB83B-C3EE-4649-ADE4-8273A578B887}"/>
    <cellStyle name="Comma 4 2 2 3 2 3 4" xfId="10541" xr:uid="{10FC46CD-DC23-4455-81C1-AD7C071659EF}"/>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45AD81C8-0D1C-419A-9F15-A4E50C67C594}"/>
    <cellStyle name="Comma 4 2 2 3 2 4 2 3" xfId="13099" xr:uid="{5686CE11-6015-4EBC-ADEC-A2BC44ACB14E}"/>
    <cellStyle name="Comma 4 2 2 3 2 4 3" xfId="5845" xr:uid="{00000000-0005-0000-0000-00000A080000}"/>
    <cellStyle name="Comma 4 2 2 3 2 4 3 2" xfId="15171" xr:uid="{78A1CF7A-2A29-499E-BD90-BC71D08027E9}"/>
    <cellStyle name="Comma 4 2 2 3 2 4 4" xfId="10954" xr:uid="{11D9252A-3086-49D9-8106-30A88A851E2F}"/>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E4A0D004-EEE0-4E35-8C13-EDB42D93D586}"/>
    <cellStyle name="Comma 4 2 2 3 2 5 2 3" xfId="13512" xr:uid="{A94BADD1-DA95-47A6-B273-88B118CD305E}"/>
    <cellStyle name="Comma 4 2 2 3 2 5 3" xfId="6258" xr:uid="{00000000-0005-0000-0000-00000E080000}"/>
    <cellStyle name="Comma 4 2 2 3 2 5 3 2" xfId="15584" xr:uid="{DC9214D8-1137-4CAE-9259-BCE7099AC597}"/>
    <cellStyle name="Comma 4 2 2 3 2 5 4" xfId="11367" xr:uid="{80624A7D-3421-4EE3-8DBD-DA708591047F}"/>
    <cellStyle name="Comma 4 2 2 3 2 6" xfId="2387" xr:uid="{00000000-0005-0000-0000-00000F080000}"/>
    <cellStyle name="Comma 4 2 2 3 2 6 2" xfId="6671" xr:uid="{00000000-0005-0000-0000-000010080000}"/>
    <cellStyle name="Comma 4 2 2 3 2 6 2 2" xfId="15997" xr:uid="{F59DB911-EA44-49B1-832A-88A98E5E5F93}"/>
    <cellStyle name="Comma 4 2 2 3 2 6 3" xfId="11780" xr:uid="{1B584FE1-1BBD-465E-90B8-8C55932182B7}"/>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C34E55AE-0E5D-4D48-AE99-76B4C17B5C6E}"/>
    <cellStyle name="Comma 4 2 2 3 2 8 3" xfId="12097" xr:uid="{675B5961-B591-45E1-9EF5-72237B93F01A}"/>
    <cellStyle name="Comma 4 2 2 3 2 9" xfId="4605" xr:uid="{00000000-0005-0000-0000-000014080000}"/>
    <cellStyle name="Comma 4 2 2 3 2 9 2" xfId="13931" xr:uid="{DF1DC720-1F55-4FA8-91B9-9B9975D6F2C2}"/>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CF514AC7-EA09-4EE0-A5AA-5B7F4584D9D5}"/>
    <cellStyle name="Comma 4 2 2 3 3 2 3" xfId="12272" xr:uid="{1C3BF245-1947-43BA-8AB1-C22D0ADED557}"/>
    <cellStyle name="Comma 4 2 2 3 3 3" xfId="5018" xr:uid="{00000000-0005-0000-0000-000018080000}"/>
    <cellStyle name="Comma 4 2 2 3 3 3 2" xfId="14344" xr:uid="{51561348-0591-4512-BA52-2C7A4E1593A7}"/>
    <cellStyle name="Comma 4 2 2 3 3 4" xfId="9314" xr:uid="{A74197AE-1229-40FC-8212-8FB289D74FF6}"/>
    <cellStyle name="Comma 4 2 2 3 3 5" xfId="10127" xr:uid="{3D553AE2-B341-425F-84B4-65D9137C54A6}"/>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E812D7AA-CF64-4A9E-A757-BFCA04AA9DE1}"/>
    <cellStyle name="Comma 4 2 2 3 4 2 3" xfId="12685" xr:uid="{2794C52F-4692-4081-97F6-289B57D345A3}"/>
    <cellStyle name="Comma 4 2 2 3 4 3" xfId="5431" xr:uid="{00000000-0005-0000-0000-00001C080000}"/>
    <cellStyle name="Comma 4 2 2 3 4 3 2" xfId="14757" xr:uid="{6C950253-7F6C-49CD-9DC6-92F420530AE3}"/>
    <cellStyle name="Comma 4 2 2 3 4 4" xfId="10540" xr:uid="{4980BBF8-A572-40E1-9EAE-CF343C6E2D2A}"/>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62C405EA-DDBC-4E31-9EF7-B8BB8FAA3CC4}"/>
    <cellStyle name="Comma 4 2 2 3 5 2 3" xfId="13098" xr:uid="{F8690418-8A28-4F43-8034-C20F62038BF0}"/>
    <cellStyle name="Comma 4 2 2 3 5 3" xfId="5844" xr:uid="{00000000-0005-0000-0000-000020080000}"/>
    <cellStyle name="Comma 4 2 2 3 5 3 2" xfId="15170" xr:uid="{A0ACF627-0E11-47C7-8313-5734C5340C9F}"/>
    <cellStyle name="Comma 4 2 2 3 5 4" xfId="10953" xr:uid="{2D8A31AE-2DEC-4DED-99C5-6C3DD8E65FF3}"/>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43DC9525-BAB8-44D4-863F-89DEC26B920A}"/>
    <cellStyle name="Comma 4 2 2 3 6 2 3" xfId="13511" xr:uid="{9D99B445-64AC-4707-8324-D4E40BFB0E5B}"/>
    <cellStyle name="Comma 4 2 2 3 6 3" xfId="6257" xr:uid="{00000000-0005-0000-0000-000024080000}"/>
    <cellStyle name="Comma 4 2 2 3 6 3 2" xfId="15583" xr:uid="{5FC0B92E-5724-4553-8FE1-6692001E6730}"/>
    <cellStyle name="Comma 4 2 2 3 6 4" xfId="11366" xr:uid="{434F96D6-FAB9-4150-87C3-E45337347D6F}"/>
    <cellStyle name="Comma 4 2 2 3 7" xfId="2386" xr:uid="{00000000-0005-0000-0000-000025080000}"/>
    <cellStyle name="Comma 4 2 2 3 7 2" xfId="6670" xr:uid="{00000000-0005-0000-0000-000026080000}"/>
    <cellStyle name="Comma 4 2 2 3 7 2 2" xfId="15996" xr:uid="{5DAB7DDA-CD5A-40CB-B754-02FB7C583258}"/>
    <cellStyle name="Comma 4 2 2 3 7 3" xfId="11779" xr:uid="{D2963B33-83DD-420F-B147-EAF374F86924}"/>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1FAE5163-6521-44B5-84F0-F01ECB78FE04}"/>
    <cellStyle name="Comma 4 2 2 3 9 3" xfId="12096" xr:uid="{B436D510-C50F-44C2-92E2-4DA5E3F15450}"/>
    <cellStyle name="Comma 4 2 2 4" xfId="134" xr:uid="{00000000-0005-0000-0000-00002A080000}"/>
    <cellStyle name="Comma 4 2 2 4 10" xfId="8993" xr:uid="{2969CB69-37C4-4C43-BC9D-87F92556F829}"/>
    <cellStyle name="Comma 4 2 2 4 11" xfId="9715" xr:uid="{33FAC655-340D-43AA-A43B-F3B9185AAE22}"/>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EE2DEE46-575C-4BFC-85C5-9B817247786C}"/>
    <cellStyle name="Comma 4 2 2 4 2 2 3" xfId="12274" xr:uid="{685B62D9-DEAA-4188-9F22-616D19FAF2ED}"/>
    <cellStyle name="Comma 4 2 2 4 2 3" xfId="5020" xr:uid="{00000000-0005-0000-0000-00002E080000}"/>
    <cellStyle name="Comma 4 2 2 4 2 3 2" xfId="14346" xr:uid="{3F409A2F-2374-4B1E-A221-BE495995C175}"/>
    <cellStyle name="Comma 4 2 2 4 2 4" xfId="9418" xr:uid="{F2EB07B7-2227-485D-9411-A8F75EC2F9DA}"/>
    <cellStyle name="Comma 4 2 2 4 2 5" xfId="10129" xr:uid="{5DF4437B-E182-46A6-83DB-53450B6CABC7}"/>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86A75DDC-8864-4B3F-B74C-6E20BB3A1754}"/>
    <cellStyle name="Comma 4 2 2 4 3 2 3" xfId="12687" xr:uid="{07054298-DDD9-474D-BA3A-DC7F37009A07}"/>
    <cellStyle name="Comma 4 2 2 4 3 3" xfId="5433" xr:uid="{00000000-0005-0000-0000-000032080000}"/>
    <cellStyle name="Comma 4 2 2 4 3 3 2" xfId="14759" xr:uid="{B6085C95-FA45-40C4-A0A5-080C33F347F4}"/>
    <cellStyle name="Comma 4 2 2 4 3 4" xfId="10542" xr:uid="{529E282E-1DC6-4EBF-83D3-A6C2EAC2CC1A}"/>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4059CF84-B514-4F92-8C7F-06B84A40CC58}"/>
    <cellStyle name="Comma 4 2 2 4 4 2 3" xfId="13100" xr:uid="{8CD1628C-256D-4D83-A38C-3D44F130325E}"/>
    <cellStyle name="Comma 4 2 2 4 4 3" xfId="5846" xr:uid="{00000000-0005-0000-0000-000036080000}"/>
    <cellStyle name="Comma 4 2 2 4 4 3 2" xfId="15172" xr:uid="{DDC1069A-09A7-4F95-9BCE-B1933E3255DF}"/>
    <cellStyle name="Comma 4 2 2 4 4 4" xfId="10955" xr:uid="{C44FE708-CEDF-4D52-92C2-E8E6BF29CDE6}"/>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7404EEBD-E6FC-4E69-8977-7FB638BC6C90}"/>
    <cellStyle name="Comma 4 2 2 4 5 2 3" xfId="13513" xr:uid="{8BF92DB5-EA35-4EB8-86C7-389B3A334BED}"/>
    <cellStyle name="Comma 4 2 2 4 5 3" xfId="6259" xr:uid="{00000000-0005-0000-0000-00003A080000}"/>
    <cellStyle name="Comma 4 2 2 4 5 3 2" xfId="15585" xr:uid="{54AE88F3-DE31-42DF-8754-0004FC0E8D6A}"/>
    <cellStyle name="Comma 4 2 2 4 5 4" xfId="11368" xr:uid="{25F55163-4A4C-4930-9B7E-7742BA83670B}"/>
    <cellStyle name="Comma 4 2 2 4 6" xfId="2388" xr:uid="{00000000-0005-0000-0000-00003B080000}"/>
    <cellStyle name="Comma 4 2 2 4 6 2" xfId="6672" xr:uid="{00000000-0005-0000-0000-00003C080000}"/>
    <cellStyle name="Comma 4 2 2 4 6 2 2" xfId="15998" xr:uid="{B4D99A12-404A-45FA-A43D-B93B481EB6DD}"/>
    <cellStyle name="Comma 4 2 2 4 6 3" xfId="11781" xr:uid="{6C671EB7-1EF4-4B3C-AE71-AF3ACDC30D8C}"/>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134955EA-7AFE-4543-84F0-C589CAE2A596}"/>
    <cellStyle name="Comma 4 2 2 4 8 3" xfId="12098" xr:uid="{D2CD81F2-740A-46DE-904D-CC507FBAA79D}"/>
    <cellStyle name="Comma 4 2 2 4 9" xfId="4606" xr:uid="{00000000-0005-0000-0000-000040080000}"/>
    <cellStyle name="Comma 4 2 2 4 9 2" xfId="13932" xr:uid="{FA2FCCA2-D5BC-4CF0-945E-F103218D4E03}"/>
    <cellStyle name="Comma 4 2 2 5" xfId="135" xr:uid="{00000000-0005-0000-0000-000041080000}"/>
    <cellStyle name="Comma 4 2 2 5 10" xfId="9210" xr:uid="{C1F9418B-EF96-4063-883D-A983E131C6A4}"/>
    <cellStyle name="Comma 4 2 2 5 11" xfId="9716" xr:uid="{DDA6A163-8DFC-46B8-95D1-9C54B34CBE40}"/>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221CF7C6-9381-491C-8B24-80F5B722CF28}"/>
    <cellStyle name="Comma 4 2 2 5 2 2 3" xfId="12275" xr:uid="{903F439C-531B-431C-BEB6-948A6938F668}"/>
    <cellStyle name="Comma 4 2 2 5 2 3" xfId="5021" xr:uid="{00000000-0005-0000-0000-000045080000}"/>
    <cellStyle name="Comma 4 2 2 5 2 3 2" xfId="14347" xr:uid="{8D663BC7-CF03-4D1C-A0EC-58FB90CD7E57}"/>
    <cellStyle name="Comma 4 2 2 5 2 4" xfId="9593" xr:uid="{3B41C66E-2108-4CBE-9776-211459781E55}"/>
    <cellStyle name="Comma 4 2 2 5 2 5" xfId="10130" xr:uid="{A3019B57-454D-4D6E-A9A0-3B376701352B}"/>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E5421136-116A-4E72-A081-8FEF7C520A86}"/>
    <cellStyle name="Comma 4 2 2 5 3 2 3" xfId="12688" xr:uid="{EE921919-AEC8-45D0-BC12-7D0F0517EBDB}"/>
    <cellStyle name="Comma 4 2 2 5 3 3" xfId="5434" xr:uid="{00000000-0005-0000-0000-000049080000}"/>
    <cellStyle name="Comma 4 2 2 5 3 3 2" xfId="14760" xr:uid="{A6463DB3-BA42-4377-94A2-4C3322112E55}"/>
    <cellStyle name="Comma 4 2 2 5 3 4" xfId="10543" xr:uid="{5ABAE498-EC22-4099-A91F-E376B8907E1A}"/>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E21FC8A6-A7D5-4C24-882C-A52068AD1134}"/>
    <cellStyle name="Comma 4 2 2 5 4 2 3" xfId="13101" xr:uid="{6BD6A131-3792-4F25-AA9C-9AE6FFAA43B8}"/>
    <cellStyle name="Comma 4 2 2 5 4 3" xfId="5847" xr:uid="{00000000-0005-0000-0000-00004D080000}"/>
    <cellStyle name="Comma 4 2 2 5 4 3 2" xfId="15173" xr:uid="{CF54C351-D0E9-4A23-A1F6-F4C0DB06794A}"/>
    <cellStyle name="Comma 4 2 2 5 4 4" xfId="10956" xr:uid="{05C8A809-E382-4663-B550-F72B38C6A797}"/>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900951EE-84C5-45B0-B94A-070868DF911C}"/>
    <cellStyle name="Comma 4 2 2 5 5 2 3" xfId="13514" xr:uid="{8F9171C6-4E57-45CA-983B-18AA6C7C1F71}"/>
    <cellStyle name="Comma 4 2 2 5 5 3" xfId="6260" xr:uid="{00000000-0005-0000-0000-000051080000}"/>
    <cellStyle name="Comma 4 2 2 5 5 3 2" xfId="15586" xr:uid="{C7FFB90B-6216-40CD-8199-D4BC133BCCB8}"/>
    <cellStyle name="Comma 4 2 2 5 5 4" xfId="11369" xr:uid="{35533186-8988-4695-B61B-81B6B433C28B}"/>
    <cellStyle name="Comma 4 2 2 5 6" xfId="2389" xr:uid="{00000000-0005-0000-0000-000052080000}"/>
    <cellStyle name="Comma 4 2 2 5 6 2" xfId="6673" xr:uid="{00000000-0005-0000-0000-000053080000}"/>
    <cellStyle name="Comma 4 2 2 5 6 2 2" xfId="15999" xr:uid="{60A42C10-2E6A-44AB-BD09-B4293C1BE413}"/>
    <cellStyle name="Comma 4 2 2 5 6 3" xfId="11782" xr:uid="{CFCCE50A-47BA-4EB2-AE8C-FF83E885D20C}"/>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66BC022E-A3DB-486A-B852-8656EE02AD3F}"/>
    <cellStyle name="Comma 4 2 2 5 8 3" xfId="12099" xr:uid="{D23DBC95-2E6F-41A0-AAD5-218D04716225}"/>
    <cellStyle name="Comma 4 2 2 5 9" xfId="4607" xr:uid="{00000000-0005-0000-0000-000057080000}"/>
    <cellStyle name="Comma 4 2 2 5 9 2" xfId="13933" xr:uid="{60B0E595-0406-4A01-B208-39B850CAD3A9}"/>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F4AB7F1F-284C-4E33-A63C-DC8E61C6173D}"/>
    <cellStyle name="Comma 4 2 3 10 3" xfId="12100" xr:uid="{4C075753-7DF1-4DFB-8B64-FDB6377C30B8}"/>
    <cellStyle name="Comma 4 2 3 11" xfId="4608" xr:uid="{00000000-0005-0000-0000-00005B080000}"/>
    <cellStyle name="Comma 4 2 3 11 2" xfId="13934" xr:uid="{891F2BDC-D490-4985-8FE8-636D29738BD2}"/>
    <cellStyle name="Comma 4 2 3 12" xfId="8805" xr:uid="{C45527F6-07B7-4887-BAF3-A6424444BA3B}"/>
    <cellStyle name="Comma 4 2 3 13" xfId="9717" xr:uid="{97076C57-7F5B-406B-80F8-AEEAFCC95762}"/>
    <cellStyle name="Comma 4 2 3 2" xfId="137" xr:uid="{00000000-0005-0000-0000-00005C080000}"/>
    <cellStyle name="Comma 4 2 3 2 10" xfId="4609" xr:uid="{00000000-0005-0000-0000-00005D080000}"/>
    <cellStyle name="Comma 4 2 3 2 10 2" xfId="13935" xr:uid="{A604F733-B0D6-4D18-AECC-DB8905D45677}"/>
    <cellStyle name="Comma 4 2 3 2 11" xfId="8908" xr:uid="{E7021C11-E6EB-4392-A0AD-2A78F42B4BB7}"/>
    <cellStyle name="Comma 4 2 3 2 12" xfId="9718" xr:uid="{BEE9844A-6AF2-43B9-BE5F-2C34D0FE494B}"/>
    <cellStyle name="Comma 4 2 3 2 2" xfId="138" xr:uid="{00000000-0005-0000-0000-00005E080000}"/>
    <cellStyle name="Comma 4 2 3 2 2 10" xfId="9115" xr:uid="{1A31CCC4-B2C0-4E0C-B714-855521500FE8}"/>
    <cellStyle name="Comma 4 2 3 2 2 11" xfId="9719" xr:uid="{72EBCE55-DCE3-4F10-87CC-B9A7B5A19C7C}"/>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67CC0AA9-5DFC-42A8-BD71-ABCF1B73A349}"/>
    <cellStyle name="Comma 4 2 3 2 2 2 2 3" xfId="12278" xr:uid="{34393842-4926-4BCE-BC02-7E0CEA9F3535}"/>
    <cellStyle name="Comma 4 2 3 2 2 2 3" xfId="5024" xr:uid="{00000000-0005-0000-0000-000062080000}"/>
    <cellStyle name="Comma 4 2 3 2 2 2 3 2" xfId="14350" xr:uid="{722F105D-C189-420F-91D7-6B38E62974F4}"/>
    <cellStyle name="Comma 4 2 3 2 2 2 4" xfId="9540" xr:uid="{F922DD27-FEAE-4DB6-894F-26CD58815668}"/>
    <cellStyle name="Comma 4 2 3 2 2 2 5" xfId="10133" xr:uid="{DEBB14C9-5B45-4B18-BB57-0B07036CBB54}"/>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317269E6-9B80-43CD-8C6F-6DB42FD25F7A}"/>
    <cellStyle name="Comma 4 2 3 2 2 3 2 3" xfId="12691" xr:uid="{285F56C1-DF8A-441F-BC76-36DE83DF20D7}"/>
    <cellStyle name="Comma 4 2 3 2 2 3 3" xfId="5437" xr:uid="{00000000-0005-0000-0000-000066080000}"/>
    <cellStyle name="Comma 4 2 3 2 2 3 3 2" xfId="14763" xr:uid="{B95E1D6E-CA5A-4ADC-9333-6CD153B8801B}"/>
    <cellStyle name="Comma 4 2 3 2 2 3 4" xfId="10546" xr:uid="{195CA864-0E0A-4243-B2A3-763A53C04088}"/>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5C308478-5A63-4877-8696-1A784EA1343B}"/>
    <cellStyle name="Comma 4 2 3 2 2 4 2 3" xfId="13104" xr:uid="{480A2A0E-A65D-4800-A2C7-37FFF9A34E13}"/>
    <cellStyle name="Comma 4 2 3 2 2 4 3" xfId="5850" xr:uid="{00000000-0005-0000-0000-00006A080000}"/>
    <cellStyle name="Comma 4 2 3 2 2 4 3 2" xfId="15176" xr:uid="{DE3FC638-6A90-412C-9FB1-FB190462C65C}"/>
    <cellStyle name="Comma 4 2 3 2 2 4 4" xfId="10959" xr:uid="{BB8E9825-8ED2-42C0-BC1C-D9E75170C54F}"/>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3D6045AB-C1E2-4936-9C77-45C05A7AE373}"/>
    <cellStyle name="Comma 4 2 3 2 2 5 2 3" xfId="13517" xr:uid="{4D740152-E183-430E-827E-43AF423AE9EB}"/>
    <cellStyle name="Comma 4 2 3 2 2 5 3" xfId="6263" xr:uid="{00000000-0005-0000-0000-00006E080000}"/>
    <cellStyle name="Comma 4 2 3 2 2 5 3 2" xfId="15589" xr:uid="{4B3AE8DD-4413-4592-9BF2-35E5018FD05F}"/>
    <cellStyle name="Comma 4 2 3 2 2 5 4" xfId="11372" xr:uid="{A973ABB3-7005-41E3-90BB-C593BF462933}"/>
    <cellStyle name="Comma 4 2 3 2 2 6" xfId="2392" xr:uid="{00000000-0005-0000-0000-00006F080000}"/>
    <cellStyle name="Comma 4 2 3 2 2 6 2" xfId="6676" xr:uid="{00000000-0005-0000-0000-000070080000}"/>
    <cellStyle name="Comma 4 2 3 2 2 6 2 2" xfId="16002" xr:uid="{F1718D6C-F19C-4EB2-AAAC-CB170C1BAAC6}"/>
    <cellStyle name="Comma 4 2 3 2 2 6 3" xfId="11785" xr:uid="{1D0DB57A-18DC-4243-94D8-E8B509D1156B}"/>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A589B544-8DE1-4716-BA74-386C6FCA8A00}"/>
    <cellStyle name="Comma 4 2 3 2 2 8 3" xfId="12102" xr:uid="{B62ABDDD-99B7-4579-BE8A-0CC86BA43659}"/>
    <cellStyle name="Comma 4 2 3 2 2 9" xfId="4610" xr:uid="{00000000-0005-0000-0000-000074080000}"/>
    <cellStyle name="Comma 4 2 3 2 2 9 2" xfId="13936" xr:uid="{49755896-D851-47C6-9EE3-9F3C11F39A62}"/>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BE30888D-A219-43F9-B17A-65CE8C8B9CD6}"/>
    <cellStyle name="Comma 4 2 3 2 3 2 3" xfId="12277" xr:uid="{63A2FB83-5A62-4C63-9FB6-E8283F3373B3}"/>
    <cellStyle name="Comma 4 2 3 2 3 3" xfId="5023" xr:uid="{00000000-0005-0000-0000-000078080000}"/>
    <cellStyle name="Comma 4 2 3 2 3 3 2" xfId="14349" xr:uid="{4E036373-1658-4B3E-8105-7E7B10C3DDFF}"/>
    <cellStyle name="Comma 4 2 3 2 3 4" xfId="9333" xr:uid="{5C974796-1B06-4FA8-AB2A-F6B34628ACD4}"/>
    <cellStyle name="Comma 4 2 3 2 3 5" xfId="10132" xr:uid="{9B717742-3C3D-4247-A35B-EC082D771D25}"/>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41DEC19F-77FB-4B13-B7A1-A5BF8C71AEDA}"/>
    <cellStyle name="Comma 4 2 3 2 4 2 3" xfId="12690" xr:uid="{2331B714-68FC-4B93-8C38-38E7FB9913D8}"/>
    <cellStyle name="Comma 4 2 3 2 4 3" xfId="5436" xr:uid="{00000000-0005-0000-0000-00007C080000}"/>
    <cellStyle name="Comma 4 2 3 2 4 3 2" xfId="14762" xr:uid="{5683670F-C87A-49E8-B181-DB161F6670F3}"/>
    <cellStyle name="Comma 4 2 3 2 4 4" xfId="10545" xr:uid="{245759DB-32DB-4F0B-BACC-742AAF1109C9}"/>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C3DD9129-81A6-41BA-9A29-17699A4B3365}"/>
    <cellStyle name="Comma 4 2 3 2 5 2 3" xfId="13103" xr:uid="{06FEA1A4-8591-4310-B060-97CD860B5514}"/>
    <cellStyle name="Comma 4 2 3 2 5 3" xfId="5849" xr:uid="{00000000-0005-0000-0000-000080080000}"/>
    <cellStyle name="Comma 4 2 3 2 5 3 2" xfId="15175" xr:uid="{2C53E254-F3C3-4ECE-BC86-F3A74ACCBDE1}"/>
    <cellStyle name="Comma 4 2 3 2 5 4" xfId="10958" xr:uid="{7CA4BA71-1A59-430D-B8B8-F51172D486BF}"/>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7DC68505-194F-4104-B494-954A45CDB8F6}"/>
    <cellStyle name="Comma 4 2 3 2 6 2 3" xfId="13516" xr:uid="{B338E66B-1322-48E7-ABD8-A75DBD4045B1}"/>
    <cellStyle name="Comma 4 2 3 2 6 3" xfId="6262" xr:uid="{00000000-0005-0000-0000-000084080000}"/>
    <cellStyle name="Comma 4 2 3 2 6 3 2" xfId="15588" xr:uid="{FBDE22FE-AB53-4DB0-BA7D-69AFBAB54685}"/>
    <cellStyle name="Comma 4 2 3 2 6 4" xfId="11371" xr:uid="{642F61C7-34AD-435E-A761-E7055B29541D}"/>
    <cellStyle name="Comma 4 2 3 2 7" xfId="2391" xr:uid="{00000000-0005-0000-0000-000085080000}"/>
    <cellStyle name="Comma 4 2 3 2 7 2" xfId="6675" xr:uid="{00000000-0005-0000-0000-000086080000}"/>
    <cellStyle name="Comma 4 2 3 2 7 2 2" xfId="16001" xr:uid="{4E7F1186-48F6-468D-84AF-F35C9BC80775}"/>
    <cellStyle name="Comma 4 2 3 2 7 3" xfId="11784" xr:uid="{B34ED77C-4158-4424-9750-016171897F33}"/>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3355960F-11FB-4A70-A11B-232FFB4009D6}"/>
    <cellStyle name="Comma 4 2 3 2 9 3" xfId="12101" xr:uid="{93196E24-BAE3-4EEE-A9AF-D7259F74A611}"/>
    <cellStyle name="Comma 4 2 3 3" xfId="139" xr:uid="{00000000-0005-0000-0000-00008A080000}"/>
    <cellStyle name="Comma 4 2 3 3 10" xfId="9012" xr:uid="{61C0F117-76A9-43CA-B381-88B2CFF6294C}"/>
    <cellStyle name="Comma 4 2 3 3 11" xfId="9720" xr:uid="{918F65B4-BB13-4F64-B118-A27643E3BF82}"/>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432211D5-FCA3-43F7-9317-036E5F764F8C}"/>
    <cellStyle name="Comma 4 2 3 3 2 2 3" xfId="12279" xr:uid="{FFBC68F7-CF2F-4DA6-9B0F-F5A72CE40ED5}"/>
    <cellStyle name="Comma 4 2 3 3 2 3" xfId="5025" xr:uid="{00000000-0005-0000-0000-00008E080000}"/>
    <cellStyle name="Comma 4 2 3 3 2 3 2" xfId="14351" xr:uid="{E002E630-2609-42AA-9CDE-3FDE6D03385E}"/>
    <cellStyle name="Comma 4 2 3 3 2 4" xfId="9437" xr:uid="{35C6809B-E49F-4A7F-8CB1-650474E72B0A}"/>
    <cellStyle name="Comma 4 2 3 3 2 5" xfId="10134" xr:uid="{EDB9A8D7-7FDF-4FA2-B6D7-797E6C77AC41}"/>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F149A81F-71E5-4E15-83A9-12568C862EFC}"/>
    <cellStyle name="Comma 4 2 3 3 3 2 3" xfId="12692" xr:uid="{0E65C1A0-1EFF-467B-9AB5-38BD0B6F3940}"/>
    <cellStyle name="Comma 4 2 3 3 3 3" xfId="5438" xr:uid="{00000000-0005-0000-0000-000092080000}"/>
    <cellStyle name="Comma 4 2 3 3 3 3 2" xfId="14764" xr:uid="{AA1142E8-3293-4CCD-A501-5D97293E6947}"/>
    <cellStyle name="Comma 4 2 3 3 3 4" xfId="10547" xr:uid="{F29CB421-34F5-410A-B6FE-1CB71039C5D8}"/>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EA589E6F-038C-4EF4-A4FB-F438F4E14FA5}"/>
    <cellStyle name="Comma 4 2 3 3 4 2 3" xfId="13105" xr:uid="{3671F859-B750-4AC0-9ED3-5F6E7644D83A}"/>
    <cellStyle name="Comma 4 2 3 3 4 3" xfId="5851" xr:uid="{00000000-0005-0000-0000-000096080000}"/>
    <cellStyle name="Comma 4 2 3 3 4 3 2" xfId="15177" xr:uid="{0E9D6EA9-14C4-4DB6-A581-E4C990035731}"/>
    <cellStyle name="Comma 4 2 3 3 4 4" xfId="10960" xr:uid="{68BE4FE0-209A-4879-BA0F-48873568E1AA}"/>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37AC129F-EE44-408A-A964-2F63AF1063AE}"/>
    <cellStyle name="Comma 4 2 3 3 5 2 3" xfId="13518" xr:uid="{8757481B-AB5C-43CF-AABD-892BD645DF44}"/>
    <cellStyle name="Comma 4 2 3 3 5 3" xfId="6264" xr:uid="{00000000-0005-0000-0000-00009A080000}"/>
    <cellStyle name="Comma 4 2 3 3 5 3 2" xfId="15590" xr:uid="{F60F79A9-1C57-4AD8-84B0-645173341958}"/>
    <cellStyle name="Comma 4 2 3 3 5 4" xfId="11373" xr:uid="{802992A6-EB38-4A84-89C4-A2005F78F67C}"/>
    <cellStyle name="Comma 4 2 3 3 6" xfId="2393" xr:uid="{00000000-0005-0000-0000-00009B080000}"/>
    <cellStyle name="Comma 4 2 3 3 6 2" xfId="6677" xr:uid="{00000000-0005-0000-0000-00009C080000}"/>
    <cellStyle name="Comma 4 2 3 3 6 2 2" xfId="16003" xr:uid="{66EDE3AC-E625-4286-B434-4765CD936AD8}"/>
    <cellStyle name="Comma 4 2 3 3 6 3" xfId="11786" xr:uid="{7AD5573F-DDDB-4B0F-B645-FF3C9AACE1A1}"/>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3943BB1D-0DBE-489C-9BC2-FE6DF710EA1B}"/>
    <cellStyle name="Comma 4 2 3 3 8 3" xfId="12103" xr:uid="{244482F6-C1AB-4E57-97CE-A639795B38B2}"/>
    <cellStyle name="Comma 4 2 3 3 9" xfId="4611" xr:uid="{00000000-0005-0000-0000-0000A0080000}"/>
    <cellStyle name="Comma 4 2 3 3 9 2" xfId="13937" xr:uid="{FC404729-D7AF-42FA-A412-DA4150B270D4}"/>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97A3633B-C7B2-4203-B0BC-8552A6F610E3}"/>
    <cellStyle name="Comma 4 2 3 4 2 3" xfId="12276" xr:uid="{25C1A61F-5237-410E-A05A-35DE1DED0729}"/>
    <cellStyle name="Comma 4 2 3 4 3" xfId="5022" xr:uid="{00000000-0005-0000-0000-0000A4080000}"/>
    <cellStyle name="Comma 4 2 3 4 3 2" xfId="14348" xr:uid="{CC974153-270A-4FB3-89D0-7972578969B0}"/>
    <cellStyle name="Comma 4 2 3 4 4" xfId="9230" xr:uid="{24B6B749-023F-4009-8785-C6CFE1098E24}"/>
    <cellStyle name="Comma 4 2 3 4 5" xfId="10131" xr:uid="{12C9FC40-C548-4F35-B9F1-9C4A0F538C4C}"/>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08400DFB-688C-42DF-84A1-01E77421CC6C}"/>
    <cellStyle name="Comma 4 2 3 5 2 3" xfId="12689" xr:uid="{605C2B98-4A13-4FB7-9624-466AA317919E}"/>
    <cellStyle name="Comma 4 2 3 5 3" xfId="5435" xr:uid="{00000000-0005-0000-0000-0000A8080000}"/>
    <cellStyle name="Comma 4 2 3 5 3 2" xfId="14761" xr:uid="{31B0D772-E817-482D-9C28-4C7BC3F8EC9E}"/>
    <cellStyle name="Comma 4 2 3 5 4" xfId="10544" xr:uid="{714FC9D7-5E85-4632-A296-D7F3DC16957A}"/>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756F4AFF-F848-4D02-9039-1D1694FFC705}"/>
    <cellStyle name="Comma 4 2 3 6 2 3" xfId="13102" xr:uid="{500F8907-FE8D-4173-8F25-5BAC04F3915B}"/>
    <cellStyle name="Comma 4 2 3 6 3" xfId="5848" xr:uid="{00000000-0005-0000-0000-0000AC080000}"/>
    <cellStyle name="Comma 4 2 3 6 3 2" xfId="15174" xr:uid="{8C845743-8775-447D-B22B-C65F5EEB1699}"/>
    <cellStyle name="Comma 4 2 3 6 4" xfId="10957" xr:uid="{47D79DFD-26BB-4A92-BA66-C90096342B88}"/>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E2425216-AA6B-433F-8EEF-E6283C9E9E2A}"/>
    <cellStyle name="Comma 4 2 3 7 2 3" xfId="13515" xr:uid="{14C6DBC8-0E24-425F-B4DF-8C5861563E10}"/>
    <cellStyle name="Comma 4 2 3 7 3" xfId="6261" xr:uid="{00000000-0005-0000-0000-0000B0080000}"/>
    <cellStyle name="Comma 4 2 3 7 3 2" xfId="15587" xr:uid="{404F3A3E-9B76-44FB-B470-B9B465CF1814}"/>
    <cellStyle name="Comma 4 2 3 7 4" xfId="11370" xr:uid="{F3C8EE46-60A2-4536-8485-1321139580EA}"/>
    <cellStyle name="Comma 4 2 3 8" xfId="2390" xr:uid="{00000000-0005-0000-0000-0000B1080000}"/>
    <cellStyle name="Comma 4 2 3 8 2" xfId="6674" xr:uid="{00000000-0005-0000-0000-0000B2080000}"/>
    <cellStyle name="Comma 4 2 3 8 2 2" xfId="16000" xr:uid="{2BAFF7B3-738B-4778-B8CD-6F608F978167}"/>
    <cellStyle name="Comma 4 2 3 8 3" xfId="11783" xr:uid="{F252211B-890B-49FC-B375-F53C3FC2F64C}"/>
    <cellStyle name="Comma 4 2 3 9" xfId="2373" xr:uid="{00000000-0005-0000-0000-0000B3080000}"/>
    <cellStyle name="Comma 4 2 4" xfId="140" xr:uid="{00000000-0005-0000-0000-0000B4080000}"/>
    <cellStyle name="Comma 4 2 4 10" xfId="4612" xr:uid="{00000000-0005-0000-0000-0000B5080000}"/>
    <cellStyle name="Comma 4 2 4 10 2" xfId="13938" xr:uid="{4FC83E0F-11C0-437F-9545-CD4A3F89987A}"/>
    <cellStyle name="Comma 4 2 4 11" xfId="8858" xr:uid="{B6A00C95-D04C-44B2-B8AF-67540882256C}"/>
    <cellStyle name="Comma 4 2 4 12" xfId="9721" xr:uid="{3D1615B4-CC06-4E83-B6AC-45BC50EBA6EB}"/>
    <cellStyle name="Comma 4 2 4 2" xfId="141" xr:uid="{00000000-0005-0000-0000-0000B6080000}"/>
    <cellStyle name="Comma 4 2 4 2 10" xfId="9065" xr:uid="{961AA06A-D943-447E-AADB-49B440E7E7CE}"/>
    <cellStyle name="Comma 4 2 4 2 11" xfId="9722" xr:uid="{0C269199-78B6-44A5-BB40-B57122B521E9}"/>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285282A9-F3BB-44D0-BD34-B5DB346B7FAD}"/>
    <cellStyle name="Comma 4 2 4 2 2 2 3" xfId="12281" xr:uid="{97EA1BD3-0F42-4A92-AFA3-82E2F6FBBA4D}"/>
    <cellStyle name="Comma 4 2 4 2 2 3" xfId="5027" xr:uid="{00000000-0005-0000-0000-0000BA080000}"/>
    <cellStyle name="Comma 4 2 4 2 2 3 2" xfId="14353" xr:uid="{0D498522-6ECE-4291-B2A5-F3BD4626AFB9}"/>
    <cellStyle name="Comma 4 2 4 2 2 4" xfId="9490" xr:uid="{2FAEB1E6-7B41-437B-B2A9-4352AB4F4B98}"/>
    <cellStyle name="Comma 4 2 4 2 2 5" xfId="10136" xr:uid="{54387357-8879-41F1-9CF1-99ADC594F64D}"/>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64A8D522-9686-4389-BBF8-23CF8720CE3D}"/>
    <cellStyle name="Comma 4 2 4 2 3 2 3" xfId="12694" xr:uid="{2F269F8B-96E4-4ECC-A40E-FEE5D0303EF7}"/>
    <cellStyle name="Comma 4 2 4 2 3 3" xfId="5440" xr:uid="{00000000-0005-0000-0000-0000BE080000}"/>
    <cellStyle name="Comma 4 2 4 2 3 3 2" xfId="14766" xr:uid="{23BC6B96-4076-4A04-9872-6746B191B39B}"/>
    <cellStyle name="Comma 4 2 4 2 3 4" xfId="10549" xr:uid="{6F14B77C-18FD-4BC0-B476-8B32E413A1BE}"/>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974D2008-FADC-4E85-9081-2632A082EBC5}"/>
    <cellStyle name="Comma 4 2 4 2 4 2 3" xfId="13107" xr:uid="{7ABF9010-4111-4C90-AB0E-DF81375E1D5E}"/>
    <cellStyle name="Comma 4 2 4 2 4 3" xfId="5853" xr:uid="{00000000-0005-0000-0000-0000C2080000}"/>
    <cellStyle name="Comma 4 2 4 2 4 3 2" xfId="15179" xr:uid="{7C983BEF-221D-486D-933F-E04BCA9687D6}"/>
    <cellStyle name="Comma 4 2 4 2 4 4" xfId="10962" xr:uid="{E5002C80-8CF2-4CC5-89D2-AFB259DBEEBE}"/>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FD41CEE2-7A7A-4345-9F03-9DCFE55213ED}"/>
    <cellStyle name="Comma 4 2 4 2 5 2 3" xfId="13520" xr:uid="{237F4FAE-2DDD-4BEE-A326-EC0C94E401F5}"/>
    <cellStyle name="Comma 4 2 4 2 5 3" xfId="6266" xr:uid="{00000000-0005-0000-0000-0000C6080000}"/>
    <cellStyle name="Comma 4 2 4 2 5 3 2" xfId="15592" xr:uid="{B7CAA736-E654-4729-BFCB-94AC5039D2EA}"/>
    <cellStyle name="Comma 4 2 4 2 5 4" xfId="11375" xr:uid="{69CD3AAC-7AFC-4D13-A6AA-AFB81A67F07D}"/>
    <cellStyle name="Comma 4 2 4 2 6" xfId="2395" xr:uid="{00000000-0005-0000-0000-0000C7080000}"/>
    <cellStyle name="Comma 4 2 4 2 6 2" xfId="6679" xr:uid="{00000000-0005-0000-0000-0000C8080000}"/>
    <cellStyle name="Comma 4 2 4 2 6 2 2" xfId="16005" xr:uid="{53EB1509-D5A4-4DDB-9322-9C6A7D9936D2}"/>
    <cellStyle name="Comma 4 2 4 2 6 3" xfId="11788" xr:uid="{32EC6BE8-4A88-4736-A497-93AD35649BD1}"/>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89D72B91-83EE-472C-AEE5-84F1260672ED}"/>
    <cellStyle name="Comma 4 2 4 2 8 3" xfId="12105" xr:uid="{E00942F9-48E7-44A3-A8AE-6763ED4F7C36}"/>
    <cellStyle name="Comma 4 2 4 2 9" xfId="4613" xr:uid="{00000000-0005-0000-0000-0000CC080000}"/>
    <cellStyle name="Comma 4 2 4 2 9 2" xfId="13939" xr:uid="{AF458877-6139-44CF-AEE5-49D151CB15AD}"/>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5BC3858E-33BC-4E35-A924-47872BE44171}"/>
    <cellStyle name="Comma 4 2 4 3 2 3" xfId="12280" xr:uid="{0993327E-D797-49E7-A197-A12B19228A6E}"/>
    <cellStyle name="Comma 4 2 4 3 3" xfId="5026" xr:uid="{00000000-0005-0000-0000-0000D0080000}"/>
    <cellStyle name="Comma 4 2 4 3 3 2" xfId="14352" xr:uid="{45B1C3C2-CE03-4261-B2CF-39F4D0F866AC}"/>
    <cellStyle name="Comma 4 2 4 3 4" xfId="9283" xr:uid="{7E46ED3C-A8F4-4512-93D9-5F41F1AC397C}"/>
    <cellStyle name="Comma 4 2 4 3 5" xfId="10135" xr:uid="{DA16C59B-C60A-4B11-91E1-D28F45FDC83B}"/>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0D5411A6-F31E-4848-9373-31D1F23738FD}"/>
    <cellStyle name="Comma 4 2 4 4 2 3" xfId="12693" xr:uid="{BD410673-5BBF-479A-8C53-3EEEECA4C6F7}"/>
    <cellStyle name="Comma 4 2 4 4 3" xfId="5439" xr:uid="{00000000-0005-0000-0000-0000D4080000}"/>
    <cellStyle name="Comma 4 2 4 4 3 2" xfId="14765" xr:uid="{A0A79C55-4BED-4A80-A10A-443F5BBB35B3}"/>
    <cellStyle name="Comma 4 2 4 4 4" xfId="10548" xr:uid="{3C0C0EA9-D2C4-40C6-8A48-D1F6DAAB77F6}"/>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4BDE9E06-B0AE-4DB4-B7D6-35A6C2301376}"/>
    <cellStyle name="Comma 4 2 4 5 2 3" xfId="13106" xr:uid="{6ADF1FF0-49C9-463E-83B8-D3463F9E6B0B}"/>
    <cellStyle name="Comma 4 2 4 5 3" xfId="5852" xr:uid="{00000000-0005-0000-0000-0000D8080000}"/>
    <cellStyle name="Comma 4 2 4 5 3 2" xfId="15178" xr:uid="{DDA74666-B458-4165-99B1-5C1AFD3EAB00}"/>
    <cellStyle name="Comma 4 2 4 5 4" xfId="10961" xr:uid="{4FFE21AE-F1C9-4565-A9F3-57AC0338BB01}"/>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E7ADB0E2-3138-4B46-A3C2-2B2BD97C4D91}"/>
    <cellStyle name="Comma 4 2 4 6 2 3" xfId="13519" xr:uid="{202912AE-B78B-4275-93BD-2177DDD49689}"/>
    <cellStyle name="Comma 4 2 4 6 3" xfId="6265" xr:uid="{00000000-0005-0000-0000-0000DC080000}"/>
    <cellStyle name="Comma 4 2 4 6 3 2" xfId="15591" xr:uid="{EBD56CDE-FB10-4ECD-8BE2-A6DAA8D201F9}"/>
    <cellStyle name="Comma 4 2 4 6 4" xfId="11374" xr:uid="{98162F9A-AC9C-496A-9CF4-47FF31710AB4}"/>
    <cellStyle name="Comma 4 2 4 7" xfId="2394" xr:uid="{00000000-0005-0000-0000-0000DD080000}"/>
    <cellStyle name="Comma 4 2 4 7 2" xfId="6678" xr:uid="{00000000-0005-0000-0000-0000DE080000}"/>
    <cellStyle name="Comma 4 2 4 7 2 2" xfId="16004" xr:uid="{B1CA2A40-FA48-4B3D-A085-8348878BE646}"/>
    <cellStyle name="Comma 4 2 4 7 3" xfId="11787" xr:uid="{087C778A-6B26-49A6-8980-F6783F36C28A}"/>
    <cellStyle name="Comma 4 2 4 8" xfId="2369" xr:uid="{00000000-0005-0000-0000-0000DF080000}"/>
    <cellStyle name="Comma 4 2 4 9" xfId="2772" xr:uid="{00000000-0005-0000-0000-0000E0080000}"/>
    <cellStyle name="Comma 4 2 4 9 2" xfId="6995" xr:uid="{00000000-0005-0000-0000-0000E1080000}"/>
    <cellStyle name="Comma 4 2 4 9 2 2" xfId="16321" xr:uid="{55B1A5FA-A10C-46D0-BC27-D53E4B34F2D4}"/>
    <cellStyle name="Comma 4 2 4 9 3" xfId="12104" xr:uid="{ED7109A6-55CD-4C23-951F-B8D21FDBECD5}"/>
    <cellStyle name="Comma 4 2 5" xfId="142" xr:uid="{00000000-0005-0000-0000-0000E2080000}"/>
    <cellStyle name="Comma 4 2 5 10" xfId="8974" xr:uid="{86B0C89A-8A2D-4755-B15D-84E412E1D380}"/>
    <cellStyle name="Comma 4 2 5 11" xfId="9723" xr:uid="{C25DBE49-08A1-486B-9350-CC684FDA9132}"/>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F01F1B78-AC7A-40FD-AA97-6CA70E893C7E}"/>
    <cellStyle name="Comma 4 2 5 2 2 3" xfId="12282" xr:uid="{0738017A-154F-4F92-B515-CB2AD4952E17}"/>
    <cellStyle name="Comma 4 2 5 2 3" xfId="5028" xr:uid="{00000000-0005-0000-0000-0000E6080000}"/>
    <cellStyle name="Comma 4 2 5 2 3 2" xfId="14354" xr:uid="{254785AE-6D61-4757-ADAC-56D49D4F699F}"/>
    <cellStyle name="Comma 4 2 5 2 4" xfId="9399" xr:uid="{1B388BC7-1FC6-4DC3-B345-755F61B57864}"/>
    <cellStyle name="Comma 4 2 5 2 5" xfId="10137" xr:uid="{A4D717B7-4959-42E2-B1CD-C18A841B0E44}"/>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06668407-28BE-4B15-8B0A-0B641C9F3022}"/>
    <cellStyle name="Comma 4 2 5 3 2 3" xfId="12695" xr:uid="{F935444D-885D-4B76-A866-CC5DBCEEBF63}"/>
    <cellStyle name="Comma 4 2 5 3 3" xfId="5441" xr:uid="{00000000-0005-0000-0000-0000EA080000}"/>
    <cellStyle name="Comma 4 2 5 3 3 2" xfId="14767" xr:uid="{8AC3543D-CF52-4A45-8432-68858393FBF1}"/>
    <cellStyle name="Comma 4 2 5 3 4" xfId="10550" xr:uid="{14F184A3-A7A6-4471-8FD3-832977B3907F}"/>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D3E24DE2-1C60-4424-98EB-BFB9DC59C4FE}"/>
    <cellStyle name="Comma 4 2 5 4 2 3" xfId="13108" xr:uid="{B37256AF-7D95-4E0C-A66C-5948809453DC}"/>
    <cellStyle name="Comma 4 2 5 4 3" xfId="5854" xr:uid="{00000000-0005-0000-0000-0000EE080000}"/>
    <cellStyle name="Comma 4 2 5 4 3 2" xfId="15180" xr:uid="{5C736BD2-E18A-4716-8C2C-9E5892C3AEAD}"/>
    <cellStyle name="Comma 4 2 5 4 4" xfId="10963" xr:uid="{0C803AF3-D8E8-4CA9-B976-872DEF9A9EFE}"/>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236FA2B8-9C67-4926-9307-8A57EE072F42}"/>
    <cellStyle name="Comma 4 2 5 5 2 3" xfId="13521" xr:uid="{E08AB220-30AB-47B5-A18F-DF39D5F850B6}"/>
    <cellStyle name="Comma 4 2 5 5 3" xfId="6267" xr:uid="{00000000-0005-0000-0000-0000F2080000}"/>
    <cellStyle name="Comma 4 2 5 5 3 2" xfId="15593" xr:uid="{336D002F-4445-49D4-960B-B94110660580}"/>
    <cellStyle name="Comma 4 2 5 5 4" xfId="11376" xr:uid="{49A6E5A7-5B23-4B4F-8030-3B9359F1347C}"/>
    <cellStyle name="Comma 4 2 5 6" xfId="2396" xr:uid="{00000000-0005-0000-0000-0000F3080000}"/>
    <cellStyle name="Comma 4 2 5 6 2" xfId="6680" xr:uid="{00000000-0005-0000-0000-0000F4080000}"/>
    <cellStyle name="Comma 4 2 5 6 2 2" xfId="16006" xr:uid="{71990E29-4A12-4B4E-B0B6-17220FE396F3}"/>
    <cellStyle name="Comma 4 2 5 6 3" xfId="11789" xr:uid="{5D624657-4E4C-47FE-933A-69D3F0B0030A}"/>
    <cellStyle name="Comma 4 2 5 7" xfId="2367" xr:uid="{00000000-0005-0000-0000-0000F5080000}"/>
    <cellStyle name="Comma 4 2 5 8" xfId="2774" xr:uid="{00000000-0005-0000-0000-0000F6080000}"/>
    <cellStyle name="Comma 4 2 5 8 2" xfId="6997" xr:uid="{00000000-0005-0000-0000-0000F7080000}"/>
    <cellStyle name="Comma 4 2 5 8 2 2" xfId="16323" xr:uid="{A8564B3E-E162-46D4-88B7-FE8C6E6921BF}"/>
    <cellStyle name="Comma 4 2 5 8 3" xfId="12106" xr:uid="{3D183433-A9B8-4866-98C5-9E451FCE821A}"/>
    <cellStyle name="Comma 4 2 5 9" xfId="4614" xr:uid="{00000000-0005-0000-0000-0000F8080000}"/>
    <cellStyle name="Comma 4 2 5 9 2" xfId="13940" xr:uid="{97EF86AF-A5BD-47C9-B8F3-39774D87628B}"/>
    <cellStyle name="Comma 4 2 6" xfId="143" xr:uid="{00000000-0005-0000-0000-0000F9080000}"/>
    <cellStyle name="Comma 4 2 6 10" xfId="9177" xr:uid="{A20A3B72-7630-464F-8E57-DA2B9D6E44FB}"/>
    <cellStyle name="Comma 4 2 6 11" xfId="9724" xr:uid="{5E12B940-7A11-4A0E-897C-636A8BE77AC0}"/>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2A44BD39-F4E8-4442-89B8-B9FEF2283BCB}"/>
    <cellStyle name="Comma 4 2 6 2 2 3" xfId="12283" xr:uid="{9894B723-1D6B-44CE-AB81-EFF37E4065BC}"/>
    <cellStyle name="Comma 4 2 6 2 3" xfId="5029" xr:uid="{00000000-0005-0000-0000-0000FD080000}"/>
    <cellStyle name="Comma 4 2 6 2 3 2" xfId="14355" xr:uid="{EB7B4354-ABC2-4498-8225-59F133DE34B3}"/>
    <cellStyle name="Comma 4 2 6 2 4" xfId="9594" xr:uid="{CCB8D3FE-19FC-4F7F-9966-44FD23A1A32A}"/>
    <cellStyle name="Comma 4 2 6 2 5" xfId="10138" xr:uid="{D3AB6C6D-5371-4441-A478-17FFE6DF3A71}"/>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189C271B-5E04-40B4-846A-D2AEC4CACCF9}"/>
    <cellStyle name="Comma 4 2 6 3 2 3" xfId="12696" xr:uid="{A55AB9DD-AAA7-4FB8-ABBE-ACEB26EA8C2C}"/>
    <cellStyle name="Comma 4 2 6 3 3" xfId="5442" xr:uid="{00000000-0005-0000-0000-000001090000}"/>
    <cellStyle name="Comma 4 2 6 3 3 2" xfId="14768" xr:uid="{9BB2B456-1C16-4397-8A73-79426746FDC4}"/>
    <cellStyle name="Comma 4 2 6 3 4" xfId="10551" xr:uid="{826E42DF-4BFE-405B-BF80-3F78A3967C95}"/>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B55F7215-093F-4308-921C-DE829D5F80A6}"/>
    <cellStyle name="Comma 4 2 6 4 2 3" xfId="13109" xr:uid="{8E82E0D6-EEB3-456B-86E0-24FAEE07B88D}"/>
    <cellStyle name="Comma 4 2 6 4 3" xfId="5855" xr:uid="{00000000-0005-0000-0000-000005090000}"/>
    <cellStyle name="Comma 4 2 6 4 3 2" xfId="15181" xr:uid="{62F07C40-BA23-454A-98FD-D98B6F35F7D4}"/>
    <cellStyle name="Comma 4 2 6 4 4" xfId="10964" xr:uid="{79A97022-61B8-4159-90E6-771F64AB11D6}"/>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337E5DD1-4185-4052-8157-2DAA7D624940}"/>
    <cellStyle name="Comma 4 2 6 5 2 3" xfId="13522" xr:uid="{FD9A407F-60D1-4431-A74C-DC27C3ADCD84}"/>
    <cellStyle name="Comma 4 2 6 5 3" xfId="6268" xr:uid="{00000000-0005-0000-0000-000009090000}"/>
    <cellStyle name="Comma 4 2 6 5 3 2" xfId="15594" xr:uid="{84346417-5459-42AF-B713-C0FDFEB6429D}"/>
    <cellStyle name="Comma 4 2 6 5 4" xfId="11377" xr:uid="{5EC528CF-0674-4508-89BC-0F176E6AFE09}"/>
    <cellStyle name="Comma 4 2 6 6" xfId="2397" xr:uid="{00000000-0005-0000-0000-00000A090000}"/>
    <cellStyle name="Comma 4 2 6 6 2" xfId="6681" xr:uid="{00000000-0005-0000-0000-00000B090000}"/>
    <cellStyle name="Comma 4 2 6 6 2 2" xfId="16007" xr:uid="{4B30FE6F-4F6C-4164-ABC3-FB91759AC9D3}"/>
    <cellStyle name="Comma 4 2 6 6 3" xfId="11790" xr:uid="{862F7AAE-482B-4ECB-9F24-E8EC9D142FD9}"/>
    <cellStyle name="Comma 4 2 6 7" xfId="2366" xr:uid="{00000000-0005-0000-0000-00000C090000}"/>
    <cellStyle name="Comma 4 2 6 8" xfId="2775" xr:uid="{00000000-0005-0000-0000-00000D090000}"/>
    <cellStyle name="Comma 4 2 6 8 2" xfId="6998" xr:uid="{00000000-0005-0000-0000-00000E090000}"/>
    <cellStyle name="Comma 4 2 6 8 2 2" xfId="16324" xr:uid="{85A7D5C8-8A92-4690-B3DE-225C8C7E4F8F}"/>
    <cellStyle name="Comma 4 2 6 8 3" xfId="12107" xr:uid="{B2B2C041-D11D-4D69-8CC2-7A5C267F9496}"/>
    <cellStyle name="Comma 4 2 6 9" xfId="4615" xr:uid="{00000000-0005-0000-0000-00000F090000}"/>
    <cellStyle name="Comma 4 2 6 9 2" xfId="13941" xr:uid="{EDD43D33-9082-4AFF-B053-D97AF5E958A6}"/>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AF17DB12-DF9F-4536-9DE9-B8A0227F7473}"/>
    <cellStyle name="Comma 4 3 2 10 3" xfId="12108" xr:uid="{5D2C5905-C536-4F4E-B115-C7CB2C912019}"/>
    <cellStyle name="Comma 4 3 2 11" xfId="4616" xr:uid="{00000000-0005-0000-0000-000014090000}"/>
    <cellStyle name="Comma 4 3 2 11 2" xfId="13942" xr:uid="{24785C89-B057-485A-9257-63954CECBC30}"/>
    <cellStyle name="Comma 4 3 2 12" xfId="8807" xr:uid="{5C5EF314-D0DB-425B-AE7D-D52FEEE90EC1}"/>
    <cellStyle name="Comma 4 3 2 13" xfId="9725" xr:uid="{64047E0B-DFF9-486F-844C-98B6ECF3DCC4}"/>
    <cellStyle name="Comma 4 3 2 2" xfId="146" xr:uid="{00000000-0005-0000-0000-000015090000}"/>
    <cellStyle name="Comma 4 3 2 2 10" xfId="4617" xr:uid="{00000000-0005-0000-0000-000016090000}"/>
    <cellStyle name="Comma 4 3 2 2 10 2" xfId="13943" xr:uid="{20F9C7E4-450B-4D8F-B1A2-4562E2AAE968}"/>
    <cellStyle name="Comma 4 3 2 2 11" xfId="8910" xr:uid="{15019DD0-71A0-438D-B796-68DE42B22692}"/>
    <cellStyle name="Comma 4 3 2 2 12" xfId="9726" xr:uid="{35BB2809-CF22-423B-853F-84BD4CC3327A}"/>
    <cellStyle name="Comma 4 3 2 2 2" xfId="147" xr:uid="{00000000-0005-0000-0000-000017090000}"/>
    <cellStyle name="Comma 4 3 2 2 2 10" xfId="9117" xr:uid="{1409F531-DBF2-41E0-9C74-F9317358BA15}"/>
    <cellStyle name="Comma 4 3 2 2 2 11" xfId="9727" xr:uid="{3BB6B545-5F64-43D8-8C29-E055EDB8EA02}"/>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BF080805-3E92-4D13-AA64-38E096AF6E89}"/>
    <cellStyle name="Comma 4 3 2 2 2 2 2 3" xfId="12286" xr:uid="{3384BD84-BAE5-44F3-BFD0-8B06768D1512}"/>
    <cellStyle name="Comma 4 3 2 2 2 2 3" xfId="5032" xr:uid="{00000000-0005-0000-0000-00001B090000}"/>
    <cellStyle name="Comma 4 3 2 2 2 2 3 2" xfId="14358" xr:uid="{D9A01264-CDF5-4C31-855B-B8E678A0EDE5}"/>
    <cellStyle name="Comma 4 3 2 2 2 2 4" xfId="9542" xr:uid="{26CD77CC-F017-4839-8245-BBF245D45E53}"/>
    <cellStyle name="Comma 4 3 2 2 2 2 5" xfId="10141" xr:uid="{06C1E3F8-006F-433B-85DD-33CCD2972060}"/>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25C0063A-B25F-426D-956E-258F1C8177A0}"/>
    <cellStyle name="Comma 4 3 2 2 2 3 2 3" xfId="12699" xr:uid="{F654F5A8-9718-43FB-86CC-32A20BD93588}"/>
    <cellStyle name="Comma 4 3 2 2 2 3 3" xfId="5445" xr:uid="{00000000-0005-0000-0000-00001F090000}"/>
    <cellStyle name="Comma 4 3 2 2 2 3 3 2" xfId="14771" xr:uid="{D2FF8185-0DC3-454E-8943-E08F5C62BD2B}"/>
    <cellStyle name="Comma 4 3 2 2 2 3 4" xfId="10554" xr:uid="{4D6F62BE-B701-405C-A7F4-070E0230D230}"/>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5E261D49-FE3B-4201-9DD9-261D3A3BF29F}"/>
    <cellStyle name="Comma 4 3 2 2 2 4 2 3" xfId="13112" xr:uid="{D7D9878E-A6C4-4CDA-9951-70C62FA43E31}"/>
    <cellStyle name="Comma 4 3 2 2 2 4 3" xfId="5858" xr:uid="{00000000-0005-0000-0000-000023090000}"/>
    <cellStyle name="Comma 4 3 2 2 2 4 3 2" xfId="15184" xr:uid="{E77B5530-AF5C-415B-914E-0FE7A9DE74A0}"/>
    <cellStyle name="Comma 4 3 2 2 2 4 4" xfId="10967" xr:uid="{ADBB2CDE-C859-46C8-810B-95309EDB84E2}"/>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C67B6DDA-E7A2-4BE9-8510-FD16B30AAAC8}"/>
    <cellStyle name="Comma 4 3 2 2 2 5 2 3" xfId="13525" xr:uid="{1AA1DF75-AC5D-4701-B632-D92390EEF2AD}"/>
    <cellStyle name="Comma 4 3 2 2 2 5 3" xfId="6271" xr:uid="{00000000-0005-0000-0000-000027090000}"/>
    <cellStyle name="Comma 4 3 2 2 2 5 3 2" xfId="15597" xr:uid="{0A9532BB-35F8-4BF8-9850-572E1F4CDEF5}"/>
    <cellStyle name="Comma 4 3 2 2 2 5 4" xfId="11380" xr:uid="{DCB7ED3E-FA38-4F4C-A192-BDA4B869750B}"/>
    <cellStyle name="Comma 4 3 2 2 2 6" xfId="2400" xr:uid="{00000000-0005-0000-0000-000028090000}"/>
    <cellStyle name="Comma 4 3 2 2 2 6 2" xfId="6684" xr:uid="{00000000-0005-0000-0000-000029090000}"/>
    <cellStyle name="Comma 4 3 2 2 2 6 2 2" xfId="16010" xr:uid="{969CE250-E9C4-4BA0-B8A7-0B816CE8B2D8}"/>
    <cellStyle name="Comma 4 3 2 2 2 6 3" xfId="11793" xr:uid="{C4A76185-C740-4E84-A21E-ABE4A3849D04}"/>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8F9F808A-A246-492D-BBAB-4A6C74E72F6C}"/>
    <cellStyle name="Comma 4 3 2 2 2 8 3" xfId="12110" xr:uid="{0CBEE439-7014-4D96-B9B6-245A102F6B40}"/>
    <cellStyle name="Comma 4 3 2 2 2 9" xfId="4618" xr:uid="{00000000-0005-0000-0000-00002D090000}"/>
    <cellStyle name="Comma 4 3 2 2 2 9 2" xfId="13944" xr:uid="{7420F00F-EBCC-4F62-8A4A-A3E81E1787DE}"/>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4A3F6B85-1558-4607-8B85-888B83B5116B}"/>
    <cellStyle name="Comma 4 3 2 2 3 2 3" xfId="12285" xr:uid="{315F296D-553E-49D7-A2C5-36FB06B68108}"/>
    <cellStyle name="Comma 4 3 2 2 3 3" xfId="5031" xr:uid="{00000000-0005-0000-0000-000031090000}"/>
    <cellStyle name="Comma 4 3 2 2 3 3 2" xfId="14357" xr:uid="{650992E0-F4AC-49FF-B325-BC051E2A3A4F}"/>
    <cellStyle name="Comma 4 3 2 2 3 4" xfId="9335" xr:uid="{BACD532B-C811-4076-B107-03E74D1B7113}"/>
    <cellStyle name="Comma 4 3 2 2 3 5" xfId="10140" xr:uid="{7F626AD4-C3D6-446C-B143-CE14FA89A1A7}"/>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1B47EF22-EEB3-4C46-B77F-31635ED155EA}"/>
    <cellStyle name="Comma 4 3 2 2 4 2 3" xfId="12698" xr:uid="{0E6451E2-04A0-4E37-8BA8-29683FCB8A7B}"/>
    <cellStyle name="Comma 4 3 2 2 4 3" xfId="5444" xr:uid="{00000000-0005-0000-0000-000035090000}"/>
    <cellStyle name="Comma 4 3 2 2 4 3 2" xfId="14770" xr:uid="{7A4A001B-5969-4B10-9374-D4CEBD44107F}"/>
    <cellStyle name="Comma 4 3 2 2 4 4" xfId="10553" xr:uid="{084618DC-2E63-488E-A82D-AF6C56CD176D}"/>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130CC757-EF95-4B77-99AE-3C53AC3B5B52}"/>
    <cellStyle name="Comma 4 3 2 2 5 2 3" xfId="13111" xr:uid="{40B72F80-F428-44C2-8295-D7622E88BF60}"/>
    <cellStyle name="Comma 4 3 2 2 5 3" xfId="5857" xr:uid="{00000000-0005-0000-0000-000039090000}"/>
    <cellStyle name="Comma 4 3 2 2 5 3 2" xfId="15183" xr:uid="{689ADFA4-B7FC-4EBC-9B23-27A8AE4CF1CF}"/>
    <cellStyle name="Comma 4 3 2 2 5 4" xfId="10966" xr:uid="{1F07A772-6F4B-4A72-ADD3-FDC230AF5A87}"/>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30C27AA6-0D2B-4AD1-97A4-68A041DC3F3B}"/>
    <cellStyle name="Comma 4 3 2 2 6 2 3" xfId="13524" xr:uid="{C60D0B2F-4F21-4904-85D7-533B18350CC9}"/>
    <cellStyle name="Comma 4 3 2 2 6 3" xfId="6270" xr:uid="{00000000-0005-0000-0000-00003D090000}"/>
    <cellStyle name="Comma 4 3 2 2 6 3 2" xfId="15596" xr:uid="{DA58DBEB-90D9-4BBE-B520-9AA2A7C06839}"/>
    <cellStyle name="Comma 4 3 2 2 6 4" xfId="11379" xr:uid="{C45C2EE3-4847-45EB-89DA-A5A77F229619}"/>
    <cellStyle name="Comma 4 3 2 2 7" xfId="2399" xr:uid="{00000000-0005-0000-0000-00003E090000}"/>
    <cellStyle name="Comma 4 3 2 2 7 2" xfId="6683" xr:uid="{00000000-0005-0000-0000-00003F090000}"/>
    <cellStyle name="Comma 4 3 2 2 7 2 2" xfId="16009" xr:uid="{CB15C04C-6D41-4489-89D5-E0704C2E5F18}"/>
    <cellStyle name="Comma 4 3 2 2 7 3" xfId="11792" xr:uid="{055ECE15-AD70-415A-95B1-E5F8B0675222}"/>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523F039A-1B6E-47D2-9944-516438F26A71}"/>
    <cellStyle name="Comma 4 3 2 2 9 3" xfId="12109" xr:uid="{DB6C72D2-5D3E-444F-B2DE-CAB639A187D8}"/>
    <cellStyle name="Comma 4 3 2 3" xfId="148" xr:uid="{00000000-0005-0000-0000-000043090000}"/>
    <cellStyle name="Comma 4 3 2 3 10" xfId="9014" xr:uid="{46568903-2C47-4BC3-8E78-5A47F62B319C}"/>
    <cellStyle name="Comma 4 3 2 3 11" xfId="9728" xr:uid="{B30A370F-FF5D-44F5-8D60-50A736C65DA8}"/>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63BFBDCC-D9BE-4F43-A3E5-FB47037DD6F6}"/>
    <cellStyle name="Comma 4 3 2 3 2 2 3" xfId="12287" xr:uid="{C54E9777-31AE-4C0E-8B6A-FBC191F7C716}"/>
    <cellStyle name="Comma 4 3 2 3 2 3" xfId="5033" xr:uid="{00000000-0005-0000-0000-000047090000}"/>
    <cellStyle name="Comma 4 3 2 3 2 3 2" xfId="14359" xr:uid="{A9BACB67-6B54-4847-924F-9513EDB2489A}"/>
    <cellStyle name="Comma 4 3 2 3 2 4" xfId="9439" xr:uid="{2FD116B5-6902-4630-AFC5-CC8B06C5F457}"/>
    <cellStyle name="Comma 4 3 2 3 2 5" xfId="10142" xr:uid="{1AFA587D-E855-4E86-A12B-1072BC4B60DC}"/>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E4C43BAF-A144-40E9-8EFB-ECC651A61778}"/>
    <cellStyle name="Comma 4 3 2 3 3 2 3" xfId="12700" xr:uid="{AD234C1B-28C2-445D-AC37-7CA5272DA2E5}"/>
    <cellStyle name="Comma 4 3 2 3 3 3" xfId="5446" xr:uid="{00000000-0005-0000-0000-00004B090000}"/>
    <cellStyle name="Comma 4 3 2 3 3 3 2" xfId="14772" xr:uid="{895A48A7-7764-4E69-8E59-490129138C4D}"/>
    <cellStyle name="Comma 4 3 2 3 3 4" xfId="10555" xr:uid="{10E34966-5600-40FB-944C-335F2D83DBF6}"/>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07BB7887-0E64-463E-AC2A-52CA2A872FC4}"/>
    <cellStyle name="Comma 4 3 2 3 4 2 3" xfId="13113" xr:uid="{875C85CB-329C-488F-ABE4-E5FE05980B7E}"/>
    <cellStyle name="Comma 4 3 2 3 4 3" xfId="5859" xr:uid="{00000000-0005-0000-0000-00004F090000}"/>
    <cellStyle name="Comma 4 3 2 3 4 3 2" xfId="15185" xr:uid="{1E14BB5C-65D3-4BA3-BA58-BA28EF9D7A05}"/>
    <cellStyle name="Comma 4 3 2 3 4 4" xfId="10968" xr:uid="{58C62DE1-CFF4-4D21-9C24-A33E7B55D237}"/>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3F616BA6-0B2D-41D4-A25C-9DED7E2B7C6D}"/>
    <cellStyle name="Comma 4 3 2 3 5 2 3" xfId="13526" xr:uid="{BF8FDBAC-88A7-4C5B-83AF-C7C0C688775A}"/>
    <cellStyle name="Comma 4 3 2 3 5 3" xfId="6272" xr:uid="{00000000-0005-0000-0000-000053090000}"/>
    <cellStyle name="Comma 4 3 2 3 5 3 2" xfId="15598" xr:uid="{02C7C1DA-3702-4C4C-B7A9-3310458EC6EB}"/>
    <cellStyle name="Comma 4 3 2 3 5 4" xfId="11381" xr:uid="{7F8F6313-07B9-4B9A-A517-11FB9072C167}"/>
    <cellStyle name="Comma 4 3 2 3 6" xfId="2401" xr:uid="{00000000-0005-0000-0000-000054090000}"/>
    <cellStyle name="Comma 4 3 2 3 6 2" xfId="6685" xr:uid="{00000000-0005-0000-0000-000055090000}"/>
    <cellStyle name="Comma 4 3 2 3 6 2 2" xfId="16011" xr:uid="{1103F5A1-6CDF-4A3A-BC3C-5F71C7D56809}"/>
    <cellStyle name="Comma 4 3 2 3 6 3" xfId="11794" xr:uid="{A54F4FA8-17EE-4196-972D-63C9CC0ECCEF}"/>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EB201F49-0E79-470E-9337-12185C6FE74A}"/>
    <cellStyle name="Comma 4 3 2 3 8 3" xfId="12111" xr:uid="{CF2A2181-52AC-42C0-80BE-06DF1FF7C8C2}"/>
    <cellStyle name="Comma 4 3 2 3 9" xfId="4619" xr:uid="{00000000-0005-0000-0000-000059090000}"/>
    <cellStyle name="Comma 4 3 2 3 9 2" xfId="13945" xr:uid="{043A6EF8-813B-44DC-84AB-4B4F91E136D0}"/>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0C5EB0F7-0D66-423A-8E8C-E5710FE15A8E}"/>
    <cellStyle name="Comma 4 3 2 4 2 3" xfId="12284" xr:uid="{CCB36D81-8655-41B4-9121-87101114F704}"/>
    <cellStyle name="Comma 4 3 2 4 3" xfId="5030" xr:uid="{00000000-0005-0000-0000-00005D090000}"/>
    <cellStyle name="Comma 4 3 2 4 3 2" xfId="14356" xr:uid="{E23DD1E2-641A-45EF-8A36-6D2BE3A40203}"/>
    <cellStyle name="Comma 4 3 2 4 4" xfId="9232" xr:uid="{8193451B-D8F0-40BD-91ED-34E7041117F6}"/>
    <cellStyle name="Comma 4 3 2 4 5" xfId="10139" xr:uid="{18F89CFD-17A6-445D-9640-2482836AE525}"/>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247C1F7E-755B-4FA1-A55C-D7EA36E27385}"/>
    <cellStyle name="Comma 4 3 2 5 2 3" xfId="12697" xr:uid="{FE0DDCC9-E044-4CE0-8C7C-54835AC762D0}"/>
    <cellStyle name="Comma 4 3 2 5 3" xfId="5443" xr:uid="{00000000-0005-0000-0000-000061090000}"/>
    <cellStyle name="Comma 4 3 2 5 3 2" xfId="14769" xr:uid="{D7B8015A-E34C-4311-A4A6-7089CFB82DF5}"/>
    <cellStyle name="Comma 4 3 2 5 4" xfId="10552" xr:uid="{5BF86C0E-C4F7-40A9-94F1-3A183CD63306}"/>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E4D947A3-16B7-40A0-9254-3ACEA4F3BAAA}"/>
    <cellStyle name="Comma 4 3 2 6 2 3" xfId="13110" xr:uid="{FEBD192C-02C5-427C-8395-6805789E7CCC}"/>
    <cellStyle name="Comma 4 3 2 6 3" xfId="5856" xr:uid="{00000000-0005-0000-0000-000065090000}"/>
    <cellStyle name="Comma 4 3 2 6 3 2" xfId="15182" xr:uid="{92B18B06-43EA-42A3-B983-5F5F0060CF6A}"/>
    <cellStyle name="Comma 4 3 2 6 4" xfId="10965" xr:uid="{D2507048-8600-47EE-BAA8-6542B71A22CE}"/>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CDC1587D-C543-4D91-812B-7690DCBEFAB6}"/>
    <cellStyle name="Comma 4 3 2 7 2 3" xfId="13523" xr:uid="{B3F48BC2-5639-460F-83DE-7FA8A896EF6D}"/>
    <cellStyle name="Comma 4 3 2 7 3" xfId="6269" xr:uid="{00000000-0005-0000-0000-000069090000}"/>
    <cellStyle name="Comma 4 3 2 7 3 2" xfId="15595" xr:uid="{681E2754-9586-4E87-9BEB-84E3A1A8BA6D}"/>
    <cellStyle name="Comma 4 3 2 7 4" xfId="11378" xr:uid="{0ADA3FFD-C457-4864-9202-1FB71EABBD64}"/>
    <cellStyle name="Comma 4 3 2 8" xfId="2398" xr:uid="{00000000-0005-0000-0000-00006A090000}"/>
    <cellStyle name="Comma 4 3 2 8 2" xfId="6682" xr:uid="{00000000-0005-0000-0000-00006B090000}"/>
    <cellStyle name="Comma 4 3 2 8 2 2" xfId="16008" xr:uid="{8A8D0105-4691-48EB-925E-BF61375AB845}"/>
    <cellStyle name="Comma 4 3 2 8 3" xfId="11791" xr:uid="{83023A70-E12E-496B-B520-5E1559FF6F40}"/>
    <cellStyle name="Comma 4 3 2 9" xfId="2365" xr:uid="{00000000-0005-0000-0000-00006C090000}"/>
    <cellStyle name="Comma 4 3 3" xfId="149" xr:uid="{00000000-0005-0000-0000-00006D090000}"/>
    <cellStyle name="Comma 4 3 3 10" xfId="4620" xr:uid="{00000000-0005-0000-0000-00006E090000}"/>
    <cellStyle name="Comma 4 3 3 10 2" xfId="13946" xr:uid="{9ECFB332-9744-40EF-9F74-CD43AF0705B7}"/>
    <cellStyle name="Comma 4 3 3 11" xfId="8881" xr:uid="{ACA3BC7C-CED7-49C2-9DC3-E2A3989962E9}"/>
    <cellStyle name="Comma 4 3 3 12" xfId="9729" xr:uid="{7B2E2702-DEA8-42E8-8C4C-964CED65BFEB}"/>
    <cellStyle name="Comma 4 3 3 2" xfId="150" xr:uid="{00000000-0005-0000-0000-00006F090000}"/>
    <cellStyle name="Comma 4 3 3 2 10" xfId="9088" xr:uid="{D40CFC42-DEA3-4A4C-8532-2B6CFC29229D}"/>
    <cellStyle name="Comma 4 3 3 2 11" xfId="9730" xr:uid="{84F1A8AB-5913-4BF6-BE8D-219D76E1EB33}"/>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4DA68A47-0BD7-4381-B53A-69C897711C76}"/>
    <cellStyle name="Comma 4 3 3 2 2 2 3" xfId="12289" xr:uid="{CB2BF9F2-4DE6-49B5-ADAF-3DDFB4C4FDB3}"/>
    <cellStyle name="Comma 4 3 3 2 2 3" xfId="5035" xr:uid="{00000000-0005-0000-0000-000073090000}"/>
    <cellStyle name="Comma 4 3 3 2 2 3 2" xfId="14361" xr:uid="{6318AE4E-2E9F-48FA-8D93-223435C5CC76}"/>
    <cellStyle name="Comma 4 3 3 2 2 4" xfId="9513" xr:uid="{986E0DAD-8ABC-4DAC-9C56-EF87B6B3B829}"/>
    <cellStyle name="Comma 4 3 3 2 2 5" xfId="10144" xr:uid="{4A0B4151-94BC-480B-9563-0C3331F92AD3}"/>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F5826FCB-AD26-4E65-9E41-147022FE701D}"/>
    <cellStyle name="Comma 4 3 3 2 3 2 3" xfId="12702" xr:uid="{383C9F22-D884-40A0-AF38-76C5A98B2301}"/>
    <cellStyle name="Comma 4 3 3 2 3 3" xfId="5448" xr:uid="{00000000-0005-0000-0000-000077090000}"/>
    <cellStyle name="Comma 4 3 3 2 3 3 2" xfId="14774" xr:uid="{E26BE2B2-E84E-43FE-805F-CB8C5E37AB92}"/>
    <cellStyle name="Comma 4 3 3 2 3 4" xfId="10557" xr:uid="{F1C26D6D-F20F-4EEA-B2EB-0C91FB99DFF5}"/>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47086EFA-1CA2-4709-B73C-EE130CF52F2B}"/>
    <cellStyle name="Comma 4 3 3 2 4 2 3" xfId="13115" xr:uid="{24779B95-9C1C-40EA-9F04-3E4C47000C69}"/>
    <cellStyle name="Comma 4 3 3 2 4 3" xfId="5861" xr:uid="{00000000-0005-0000-0000-00007B090000}"/>
    <cellStyle name="Comma 4 3 3 2 4 3 2" xfId="15187" xr:uid="{5A3AC4CC-80C6-4B86-85D2-0ED889BDC875}"/>
    <cellStyle name="Comma 4 3 3 2 4 4" xfId="10970" xr:uid="{C57B6105-B5E8-4F6A-921F-7F9341F05FA6}"/>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FBCAA0DA-DFBF-4523-8488-C60C653F0937}"/>
    <cellStyle name="Comma 4 3 3 2 5 2 3" xfId="13528" xr:uid="{DACE8122-B8D1-4902-B5B2-19A71008EF47}"/>
    <cellStyle name="Comma 4 3 3 2 5 3" xfId="6274" xr:uid="{00000000-0005-0000-0000-00007F090000}"/>
    <cellStyle name="Comma 4 3 3 2 5 3 2" xfId="15600" xr:uid="{F3DA22F2-473A-4B58-8F9D-6F6DEFF2D797}"/>
    <cellStyle name="Comma 4 3 3 2 5 4" xfId="11383" xr:uid="{6878A884-9097-46CE-8D66-2BDB292923EF}"/>
    <cellStyle name="Comma 4 3 3 2 6" xfId="2403" xr:uid="{00000000-0005-0000-0000-000080090000}"/>
    <cellStyle name="Comma 4 3 3 2 6 2" xfId="6687" xr:uid="{00000000-0005-0000-0000-000081090000}"/>
    <cellStyle name="Comma 4 3 3 2 6 2 2" xfId="16013" xr:uid="{FB2999DD-8D9A-45D9-A2EC-3F6215BAE893}"/>
    <cellStyle name="Comma 4 3 3 2 6 3" xfId="11796" xr:uid="{7D6082F9-C703-4FF5-80D5-D86FFCE6AEE9}"/>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AECE75F6-5AED-4A9F-A3A9-56F41E06C8FE}"/>
    <cellStyle name="Comma 4 3 3 2 8 3" xfId="12113" xr:uid="{968B9620-BAE2-4214-9EA4-8030935E4D18}"/>
    <cellStyle name="Comma 4 3 3 2 9" xfId="4621" xr:uid="{00000000-0005-0000-0000-000085090000}"/>
    <cellStyle name="Comma 4 3 3 2 9 2" xfId="13947" xr:uid="{DC2B55CE-1112-44DD-B384-C9DBCF5E0437}"/>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7F7F30EE-7AC5-4258-988B-FB20554A78E6}"/>
    <cellStyle name="Comma 4 3 3 3 2 3" xfId="12288" xr:uid="{2B379DCB-AA25-42C5-BE6D-CC50B69D4320}"/>
    <cellStyle name="Comma 4 3 3 3 3" xfId="5034" xr:uid="{00000000-0005-0000-0000-000089090000}"/>
    <cellStyle name="Comma 4 3 3 3 3 2" xfId="14360" xr:uid="{49B0779E-1C08-4B43-8A3D-AB11033EBB5A}"/>
    <cellStyle name="Comma 4 3 3 3 4" xfId="9306" xr:uid="{6AC2749B-EC1D-4760-AD4B-F36381A669B6}"/>
    <cellStyle name="Comma 4 3 3 3 5" xfId="10143" xr:uid="{294415D2-395F-45D4-854C-7AE9D7354E8E}"/>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8A16FBE6-032D-4A40-A884-3BF05F2DAA85}"/>
    <cellStyle name="Comma 4 3 3 4 2 3" xfId="12701" xr:uid="{7C914CDB-1D52-4B50-AF84-851EF23A5415}"/>
    <cellStyle name="Comma 4 3 3 4 3" xfId="5447" xr:uid="{00000000-0005-0000-0000-00008D090000}"/>
    <cellStyle name="Comma 4 3 3 4 3 2" xfId="14773" xr:uid="{E465C81F-EFFF-46B7-8EA7-B90BA73FC32D}"/>
    <cellStyle name="Comma 4 3 3 4 4" xfId="10556" xr:uid="{7A467F2B-ADE1-4437-83BB-171F7687025D}"/>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53DE7E72-55D6-4F68-937A-BD27DC5810B3}"/>
    <cellStyle name="Comma 4 3 3 5 2 3" xfId="13114" xr:uid="{78CDF04C-91F9-4E42-A1D9-DA3EEABBDF9E}"/>
    <cellStyle name="Comma 4 3 3 5 3" xfId="5860" xr:uid="{00000000-0005-0000-0000-000091090000}"/>
    <cellStyle name="Comma 4 3 3 5 3 2" xfId="15186" xr:uid="{50AA802D-8AB3-49BA-A658-F3CB3465EAD0}"/>
    <cellStyle name="Comma 4 3 3 5 4" xfId="10969" xr:uid="{86D63E60-F6C8-45B9-B43C-0B88D922F479}"/>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BD8F890E-C024-43F9-9BBD-A3C63448D2B0}"/>
    <cellStyle name="Comma 4 3 3 6 2 3" xfId="13527" xr:uid="{8E7130E2-66D3-4BC9-B208-2830538E0EFD}"/>
    <cellStyle name="Comma 4 3 3 6 3" xfId="6273" xr:uid="{00000000-0005-0000-0000-000095090000}"/>
    <cellStyle name="Comma 4 3 3 6 3 2" xfId="15599" xr:uid="{9D4B77F0-78E8-4CB6-A368-BA43B7D4D82A}"/>
    <cellStyle name="Comma 4 3 3 6 4" xfId="11382" xr:uid="{336A9B65-CC7B-480E-9CF3-4DC1EF516F96}"/>
    <cellStyle name="Comma 4 3 3 7" xfId="2402" xr:uid="{00000000-0005-0000-0000-000096090000}"/>
    <cellStyle name="Comma 4 3 3 7 2" xfId="6686" xr:uid="{00000000-0005-0000-0000-000097090000}"/>
    <cellStyle name="Comma 4 3 3 7 2 2" xfId="16012" xr:uid="{BF74DE74-4826-4688-8B77-BB2F7BFC5540}"/>
    <cellStyle name="Comma 4 3 3 7 3" xfId="11795" xr:uid="{33B3D912-4A89-4E0F-89A9-CF7A37C8FD60}"/>
    <cellStyle name="Comma 4 3 3 8" xfId="2361" xr:uid="{00000000-0005-0000-0000-000098090000}"/>
    <cellStyle name="Comma 4 3 3 9" xfId="2780" xr:uid="{00000000-0005-0000-0000-000099090000}"/>
    <cellStyle name="Comma 4 3 3 9 2" xfId="7003" xr:uid="{00000000-0005-0000-0000-00009A090000}"/>
    <cellStyle name="Comma 4 3 3 9 2 2" xfId="16329" xr:uid="{4C226C05-3B02-4985-B23F-BB523B4E1C7C}"/>
    <cellStyle name="Comma 4 3 3 9 3" xfId="12112" xr:uid="{E8FAB510-63D0-4177-96D4-1EA4B1456DDF}"/>
    <cellStyle name="Comma 4 3 4" xfId="151" xr:uid="{00000000-0005-0000-0000-00009B090000}"/>
    <cellStyle name="Comma 4 3 4 10" xfId="8985" xr:uid="{E965CEC1-A932-4F91-9E18-794CBF7DC7FC}"/>
    <cellStyle name="Comma 4 3 4 11" xfId="9731" xr:uid="{E4D5689B-9D21-4EE8-9EC4-21EF53A5F8C5}"/>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AB1970AF-18EF-4443-9DFF-37CC47BC031E}"/>
    <cellStyle name="Comma 4 3 4 2 2 3" xfId="12290" xr:uid="{C5F26CD3-6C99-45A2-8452-BBFFFED4CA99}"/>
    <cellStyle name="Comma 4 3 4 2 3" xfId="5036" xr:uid="{00000000-0005-0000-0000-00009F090000}"/>
    <cellStyle name="Comma 4 3 4 2 3 2" xfId="14362" xr:uid="{6E87193F-69A8-4FD0-AEC6-7F4D48CF42EE}"/>
    <cellStyle name="Comma 4 3 4 2 4" xfId="9410" xr:uid="{54DEC146-6204-4AAF-A15F-BAC0A12B5984}"/>
    <cellStyle name="Comma 4 3 4 2 5" xfId="10145" xr:uid="{6B2EE813-41BF-4920-8EC2-2E5AD00806F6}"/>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51B76CC9-BDB9-42CA-AF83-84A15D78FDE9}"/>
    <cellStyle name="Comma 4 3 4 3 2 3" xfId="12703" xr:uid="{425DA32A-8307-43E5-BE67-FF3CE429EDFE}"/>
    <cellStyle name="Comma 4 3 4 3 3" xfId="5449" xr:uid="{00000000-0005-0000-0000-0000A3090000}"/>
    <cellStyle name="Comma 4 3 4 3 3 2" xfId="14775" xr:uid="{831DEAE3-B8FD-42C0-94F9-311057928E50}"/>
    <cellStyle name="Comma 4 3 4 3 4" xfId="10558" xr:uid="{F1A984CC-7FCD-4C19-9806-411FE96294E3}"/>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74D0991B-53B3-447C-88DE-2A3C0182599B}"/>
    <cellStyle name="Comma 4 3 4 4 2 3" xfId="13116" xr:uid="{E9949105-0795-4FC0-B7D3-2308E6BDA597}"/>
    <cellStyle name="Comma 4 3 4 4 3" xfId="5862" xr:uid="{00000000-0005-0000-0000-0000A7090000}"/>
    <cellStyle name="Comma 4 3 4 4 3 2" xfId="15188" xr:uid="{9BB5FB7B-F7D4-4935-9721-C63BFA6637EA}"/>
    <cellStyle name="Comma 4 3 4 4 4" xfId="10971" xr:uid="{983AAE19-300B-463B-9FEF-B9D51A7644A5}"/>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D6840829-FAFE-45F7-9091-F6B91898297D}"/>
    <cellStyle name="Comma 4 3 4 5 2 3" xfId="13529" xr:uid="{0EABA6B3-66B1-4D25-AFC8-B07C94E9D9A0}"/>
    <cellStyle name="Comma 4 3 4 5 3" xfId="6275" xr:uid="{00000000-0005-0000-0000-0000AB090000}"/>
    <cellStyle name="Comma 4 3 4 5 3 2" xfId="15601" xr:uid="{23023174-8AB8-4F05-8464-2F04CDEF8049}"/>
    <cellStyle name="Comma 4 3 4 5 4" xfId="11384" xr:uid="{CDBE1A2D-FDB9-4795-8E29-F9B3FBF2CEA5}"/>
    <cellStyle name="Comma 4 3 4 6" xfId="2404" xr:uid="{00000000-0005-0000-0000-0000AC090000}"/>
    <cellStyle name="Comma 4 3 4 6 2" xfId="6688" xr:uid="{00000000-0005-0000-0000-0000AD090000}"/>
    <cellStyle name="Comma 4 3 4 6 2 2" xfId="16014" xr:uid="{AC742128-73F6-44C3-ADA8-E11F22BF74E0}"/>
    <cellStyle name="Comma 4 3 4 6 3" xfId="11797" xr:uid="{85DCD31F-F40F-4E19-8167-8564019A7C1E}"/>
    <cellStyle name="Comma 4 3 4 7" xfId="2700" xr:uid="{00000000-0005-0000-0000-0000AE090000}"/>
    <cellStyle name="Comma 4 3 4 8" xfId="2782" xr:uid="{00000000-0005-0000-0000-0000AF090000}"/>
    <cellStyle name="Comma 4 3 4 8 2" xfId="7005" xr:uid="{00000000-0005-0000-0000-0000B0090000}"/>
    <cellStyle name="Comma 4 3 4 8 2 2" xfId="16331" xr:uid="{0F7AC96C-7A62-4DC9-A278-3D232E321BC5}"/>
    <cellStyle name="Comma 4 3 4 8 3" xfId="12114" xr:uid="{11797DDD-E8AA-442B-B6A3-14B938D8FDDF}"/>
    <cellStyle name="Comma 4 3 4 9" xfId="4622" xr:uid="{00000000-0005-0000-0000-0000B1090000}"/>
    <cellStyle name="Comma 4 3 4 9 2" xfId="13948" xr:uid="{F14DB411-6834-4F8D-82C5-8D44C0BA328C}"/>
    <cellStyle name="Comma 4 3 5" xfId="152" xr:uid="{00000000-0005-0000-0000-0000B2090000}"/>
    <cellStyle name="Comma 4 3 5 10" xfId="9202" xr:uid="{BF5456DA-E11C-47BD-8210-21F45D9E5F79}"/>
    <cellStyle name="Comma 4 3 5 11" xfId="9732" xr:uid="{FAE4A646-F182-46CC-B6A1-73BA2904D717}"/>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CD76F328-5EEE-45D0-A96D-AE2FA86A92FA}"/>
    <cellStyle name="Comma 4 3 5 2 2 3" xfId="12291" xr:uid="{A6C72AAD-31FE-49A0-AEF5-333406A10920}"/>
    <cellStyle name="Comma 4 3 5 2 3" xfId="5037" xr:uid="{00000000-0005-0000-0000-0000B6090000}"/>
    <cellStyle name="Comma 4 3 5 2 3 2" xfId="14363" xr:uid="{2D4C6D23-132A-4F67-B5ED-CC9E8748581B}"/>
    <cellStyle name="Comma 4 3 5 2 4" xfId="9595" xr:uid="{3E6BF710-D2EA-4AFB-83F1-C6BF1C2192FF}"/>
    <cellStyle name="Comma 4 3 5 2 5" xfId="10146" xr:uid="{BDE85109-2E4E-4EE6-A7FA-E5A50D5AF5C1}"/>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BB128D82-69B7-48A2-B4FE-62CF7F6A1D84}"/>
    <cellStyle name="Comma 4 3 5 3 2 3" xfId="12704" xr:uid="{181F150C-22F8-44F4-B5F6-3859ABBBD82B}"/>
    <cellStyle name="Comma 4 3 5 3 3" xfId="5450" xr:uid="{00000000-0005-0000-0000-0000BA090000}"/>
    <cellStyle name="Comma 4 3 5 3 3 2" xfId="14776" xr:uid="{6907E53B-0182-473A-BFF6-90AEC0829CAB}"/>
    <cellStyle name="Comma 4 3 5 3 4" xfId="10559" xr:uid="{D39B10C9-2363-466F-8A45-45442DD32A03}"/>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B1249218-B690-49D7-8B12-B6EFAD9EC518}"/>
    <cellStyle name="Comma 4 3 5 4 2 3" xfId="13117" xr:uid="{B5B30BC7-5794-4106-A4F1-3FC34ECC0FC8}"/>
    <cellStyle name="Comma 4 3 5 4 3" xfId="5863" xr:uid="{00000000-0005-0000-0000-0000BE090000}"/>
    <cellStyle name="Comma 4 3 5 4 3 2" xfId="15189" xr:uid="{FE72970B-2701-41B2-A519-30F0A0C863BF}"/>
    <cellStyle name="Comma 4 3 5 4 4" xfId="10972" xr:uid="{C2BFDA40-D03B-4C60-875B-1BD91CA5C9F5}"/>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6EEB3F5D-29C1-4E50-9CBC-AF5E08ECCA3A}"/>
    <cellStyle name="Comma 4 3 5 5 2 3" xfId="13530" xr:uid="{D036D9FD-4B62-4243-9664-06F67154A456}"/>
    <cellStyle name="Comma 4 3 5 5 3" xfId="6276" xr:uid="{00000000-0005-0000-0000-0000C2090000}"/>
    <cellStyle name="Comma 4 3 5 5 3 2" xfId="15602" xr:uid="{EBF43C94-90BB-4696-87F7-89D2198938AE}"/>
    <cellStyle name="Comma 4 3 5 5 4" xfId="11385" xr:uid="{C6DDAB3B-B19C-4B26-9658-3D99B9B2151C}"/>
    <cellStyle name="Comma 4 3 5 6" xfId="2405" xr:uid="{00000000-0005-0000-0000-0000C3090000}"/>
    <cellStyle name="Comma 4 3 5 6 2" xfId="6689" xr:uid="{00000000-0005-0000-0000-0000C4090000}"/>
    <cellStyle name="Comma 4 3 5 6 2 2" xfId="16015" xr:uid="{20A58711-5326-412C-BA71-717870FDA195}"/>
    <cellStyle name="Comma 4 3 5 6 3" xfId="11798" xr:uid="{31C1C53E-8FC8-47CA-93E5-6CF39E6B4608}"/>
    <cellStyle name="Comma 4 3 5 7" xfId="2701" xr:uid="{00000000-0005-0000-0000-0000C5090000}"/>
    <cellStyle name="Comma 4 3 5 8" xfId="2783" xr:uid="{00000000-0005-0000-0000-0000C6090000}"/>
    <cellStyle name="Comma 4 3 5 8 2" xfId="7006" xr:uid="{00000000-0005-0000-0000-0000C7090000}"/>
    <cellStyle name="Comma 4 3 5 8 2 2" xfId="16332" xr:uid="{8801AAB0-B5C1-4055-AFF4-4D77EEB43A06}"/>
    <cellStyle name="Comma 4 3 5 8 3" xfId="12115" xr:uid="{008A7383-DA38-418E-B9E2-0EB52F84FF25}"/>
    <cellStyle name="Comma 4 3 5 9" xfId="4623" xr:uid="{00000000-0005-0000-0000-0000C8090000}"/>
    <cellStyle name="Comma 4 3 5 9 2" xfId="13949" xr:uid="{E13BE7BC-AA3C-493D-96BD-22CBF7022049}"/>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8077FA25-F29E-48CD-9A89-CAD7158D2827}"/>
    <cellStyle name="Comma 4 4 10 3" xfId="12116" xr:uid="{3208EF73-DCE6-419C-B878-2052A6C12149}"/>
    <cellStyle name="Comma 4 4 11" xfId="4624" xr:uid="{00000000-0005-0000-0000-0000CC090000}"/>
    <cellStyle name="Comma 4 4 11 2" xfId="13950" xr:uid="{AF8308AB-3549-4F20-8DF5-B6DE3C1B8E78}"/>
    <cellStyle name="Comma 4 4 12" xfId="8804" xr:uid="{A2BB6322-7771-45CD-845C-77E2FE03AC7A}"/>
    <cellStyle name="Comma 4 4 13" xfId="9733" xr:uid="{7D0CED09-CC68-4661-A6B8-0A6ED58BCEC9}"/>
    <cellStyle name="Comma 4 4 2" xfId="154" xr:uid="{00000000-0005-0000-0000-0000CD090000}"/>
    <cellStyle name="Comma 4 4 2 10" xfId="4625" xr:uid="{00000000-0005-0000-0000-0000CE090000}"/>
    <cellStyle name="Comma 4 4 2 10 2" xfId="13951" xr:uid="{FCABBFFA-5358-4B3C-ABEA-A51FCEA32601}"/>
    <cellStyle name="Comma 4 4 2 11" xfId="8907" xr:uid="{F9F87618-3BA1-4211-A686-62CF5BBA5770}"/>
    <cellStyle name="Comma 4 4 2 12" xfId="9734" xr:uid="{3B020DF3-7DAC-4C41-8347-59CFED2E762C}"/>
    <cellStyle name="Comma 4 4 2 2" xfId="155" xr:uid="{00000000-0005-0000-0000-0000CF090000}"/>
    <cellStyle name="Comma 4 4 2 2 10" xfId="9114" xr:uid="{871FAC03-A44E-4C24-806C-3CC0605FD124}"/>
    <cellStyle name="Comma 4 4 2 2 11" xfId="9735" xr:uid="{53390B69-1325-4C8A-9E7B-1B2B0FEF0380}"/>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A05AA36F-0CC2-4F02-AC78-12828DF24F2F}"/>
    <cellStyle name="Comma 4 4 2 2 2 2 3" xfId="12294" xr:uid="{42EAE07E-5DAD-4146-82F7-E7EEE86FF07D}"/>
    <cellStyle name="Comma 4 4 2 2 2 3" xfId="5040" xr:uid="{00000000-0005-0000-0000-0000D3090000}"/>
    <cellStyle name="Comma 4 4 2 2 2 3 2" xfId="14366" xr:uid="{E5DC3FD8-8305-48B9-923B-F276E06B7BA4}"/>
    <cellStyle name="Comma 4 4 2 2 2 4" xfId="9539" xr:uid="{6209A471-8158-46C6-9ADA-C828BB6621B2}"/>
    <cellStyle name="Comma 4 4 2 2 2 5" xfId="10149" xr:uid="{D5486CCA-531E-4C39-B58E-AAC87F58A63A}"/>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2173F8AB-9464-4357-8E59-5F12BCB52AE2}"/>
    <cellStyle name="Comma 4 4 2 2 3 2 3" xfId="12707" xr:uid="{C89EF53F-0AA1-4859-9F5B-955384536EAB}"/>
    <cellStyle name="Comma 4 4 2 2 3 3" xfId="5453" xr:uid="{00000000-0005-0000-0000-0000D7090000}"/>
    <cellStyle name="Comma 4 4 2 2 3 3 2" xfId="14779" xr:uid="{BEB74C87-BDC3-4052-96B4-CB8D1A654320}"/>
    <cellStyle name="Comma 4 4 2 2 3 4" xfId="10562" xr:uid="{580DA307-67F3-405A-B1D5-21D21338575D}"/>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FF801D1A-AF49-4C9A-9741-C0F5D9E1A4CB}"/>
    <cellStyle name="Comma 4 4 2 2 4 2 3" xfId="13120" xr:uid="{11E3C127-A450-4703-BEF4-87F27D4233DB}"/>
    <cellStyle name="Comma 4 4 2 2 4 3" xfId="5866" xr:uid="{00000000-0005-0000-0000-0000DB090000}"/>
    <cellStyle name="Comma 4 4 2 2 4 3 2" xfId="15192" xr:uid="{C69A0D10-915A-4914-A4E4-540F5226374F}"/>
    <cellStyle name="Comma 4 4 2 2 4 4" xfId="10975" xr:uid="{8078AEC5-3AC6-421B-B765-ADF558C6A9B2}"/>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7F44B6F1-F431-47F5-B4B6-AF84D80E33E8}"/>
    <cellStyle name="Comma 4 4 2 2 5 2 3" xfId="13533" xr:uid="{C0BD54E4-6356-4DE6-8613-7AA235812D8D}"/>
    <cellStyle name="Comma 4 4 2 2 5 3" xfId="6279" xr:uid="{00000000-0005-0000-0000-0000DF090000}"/>
    <cellStyle name="Comma 4 4 2 2 5 3 2" xfId="15605" xr:uid="{8DE660CE-8C3F-4DFB-9C1F-F832C0B674AB}"/>
    <cellStyle name="Comma 4 4 2 2 5 4" xfId="11388" xr:uid="{B095703D-4612-4EA2-83F0-1CC3FCE5D17E}"/>
    <cellStyle name="Comma 4 4 2 2 6" xfId="2408" xr:uid="{00000000-0005-0000-0000-0000E0090000}"/>
    <cellStyle name="Comma 4 4 2 2 6 2" xfId="6692" xr:uid="{00000000-0005-0000-0000-0000E1090000}"/>
    <cellStyle name="Comma 4 4 2 2 6 2 2" xfId="16018" xr:uid="{6F0C2640-BF66-42A1-8094-B808A64A9AE9}"/>
    <cellStyle name="Comma 4 4 2 2 6 3" xfId="11801" xr:uid="{3E337204-407D-4E7E-A12B-994A6F34AE32}"/>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C03E9E65-3D1D-49EF-B408-9FF6AAE27796}"/>
    <cellStyle name="Comma 4 4 2 2 8 3" xfId="12118" xr:uid="{551F4997-04DE-4440-8F65-EAB2FFB3681E}"/>
    <cellStyle name="Comma 4 4 2 2 9" xfId="4626" xr:uid="{00000000-0005-0000-0000-0000E5090000}"/>
    <cellStyle name="Comma 4 4 2 2 9 2" xfId="13952" xr:uid="{E7310245-AEF3-4793-92AD-835782E2D31E}"/>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2B75EBB0-EF3A-41E6-BB3D-CABB178E0763}"/>
    <cellStyle name="Comma 4 4 2 3 2 3" xfId="12293" xr:uid="{2894883B-F66F-4B54-8AA6-A5321E14D6BA}"/>
    <cellStyle name="Comma 4 4 2 3 3" xfId="5039" xr:uid="{00000000-0005-0000-0000-0000E9090000}"/>
    <cellStyle name="Comma 4 4 2 3 3 2" xfId="14365" xr:uid="{FD1C069C-6E0F-4399-92BB-627DD1C1B2B0}"/>
    <cellStyle name="Comma 4 4 2 3 4" xfId="9332" xr:uid="{00F59ECD-64D7-476B-90FD-CD86F054AE4D}"/>
    <cellStyle name="Comma 4 4 2 3 5" xfId="10148" xr:uid="{7F71F8E4-5D90-488D-953E-599002816BBA}"/>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926E0539-4E8E-47D6-8990-C2EB61577434}"/>
    <cellStyle name="Comma 4 4 2 4 2 3" xfId="12706" xr:uid="{3E23C639-2C71-49CF-AF77-4F6F21BA274E}"/>
    <cellStyle name="Comma 4 4 2 4 3" xfId="5452" xr:uid="{00000000-0005-0000-0000-0000ED090000}"/>
    <cellStyle name="Comma 4 4 2 4 3 2" xfId="14778" xr:uid="{D69B87B3-40E3-45FE-991B-84A7D311CFD3}"/>
    <cellStyle name="Comma 4 4 2 4 4" xfId="10561" xr:uid="{01B6868B-FC98-455A-842A-DBA9229E04F7}"/>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2A89B692-AAF8-475B-8B9E-70C33333BE67}"/>
    <cellStyle name="Comma 4 4 2 5 2 3" xfId="13119" xr:uid="{2DAC332C-52F6-47A7-A8C0-EF7531EB0A61}"/>
    <cellStyle name="Comma 4 4 2 5 3" xfId="5865" xr:uid="{00000000-0005-0000-0000-0000F1090000}"/>
    <cellStyle name="Comma 4 4 2 5 3 2" xfId="15191" xr:uid="{9A1D8BD9-0BA9-4AC3-8354-D8B1598AB890}"/>
    <cellStyle name="Comma 4 4 2 5 4" xfId="10974" xr:uid="{C4ED8EA4-9DEC-4D40-8DE0-B5868A33C6CE}"/>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4C95571A-D204-49D6-BBAD-D5A32703759F}"/>
    <cellStyle name="Comma 4 4 2 6 2 3" xfId="13532" xr:uid="{FBBD370B-25D6-433E-B956-06BCCCA7B50D}"/>
    <cellStyle name="Comma 4 4 2 6 3" xfId="6278" xr:uid="{00000000-0005-0000-0000-0000F5090000}"/>
    <cellStyle name="Comma 4 4 2 6 3 2" xfId="15604" xr:uid="{0C1A4479-42D1-4584-AEC6-FAA86E59FB49}"/>
    <cellStyle name="Comma 4 4 2 6 4" xfId="11387" xr:uid="{7CC86AB3-1914-4092-83BE-FA90A86D7C5F}"/>
    <cellStyle name="Comma 4 4 2 7" xfId="2407" xr:uid="{00000000-0005-0000-0000-0000F6090000}"/>
    <cellStyle name="Comma 4 4 2 7 2" xfId="6691" xr:uid="{00000000-0005-0000-0000-0000F7090000}"/>
    <cellStyle name="Comma 4 4 2 7 2 2" xfId="16017" xr:uid="{41F9995E-8537-4525-9EBA-175F51D38482}"/>
    <cellStyle name="Comma 4 4 2 7 3" xfId="11800" xr:uid="{F1CF6751-6711-40BA-B11A-B7869EDD73EB}"/>
    <cellStyle name="Comma 4 4 2 8" xfId="2703" xr:uid="{00000000-0005-0000-0000-0000F8090000}"/>
    <cellStyle name="Comma 4 4 2 9" xfId="2785" xr:uid="{00000000-0005-0000-0000-0000F9090000}"/>
    <cellStyle name="Comma 4 4 2 9 2" xfId="7008" xr:uid="{00000000-0005-0000-0000-0000FA090000}"/>
    <cellStyle name="Comma 4 4 2 9 2 2" xfId="16334" xr:uid="{2F868E83-A979-4B56-9A14-285CBCDF5854}"/>
    <cellStyle name="Comma 4 4 2 9 3" xfId="12117" xr:uid="{31F031A0-C74F-47D1-A509-A98D96BA9EFB}"/>
    <cellStyle name="Comma 4 4 3" xfId="156" xr:uid="{00000000-0005-0000-0000-0000FB090000}"/>
    <cellStyle name="Comma 4 4 3 10" xfId="9011" xr:uid="{31ED03AD-AB12-49AF-9AD4-B783F0BF7322}"/>
    <cellStyle name="Comma 4 4 3 11" xfId="9736" xr:uid="{D6889DF2-6047-41FA-9743-0467471A1F02}"/>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13324F0D-C001-49B7-8BBD-19E965A1317F}"/>
    <cellStyle name="Comma 4 4 3 2 2 3" xfId="12295" xr:uid="{5DA768DC-842D-4B64-85BC-A977AB7FDE40}"/>
    <cellStyle name="Comma 4 4 3 2 3" xfId="5041" xr:uid="{00000000-0005-0000-0000-0000FF090000}"/>
    <cellStyle name="Comma 4 4 3 2 3 2" xfId="14367" xr:uid="{9157F279-E44E-4962-BBFB-088003CFD91D}"/>
    <cellStyle name="Comma 4 4 3 2 4" xfId="9436" xr:uid="{5B7DDC25-9095-4E8E-BD31-668F46BBD33F}"/>
    <cellStyle name="Comma 4 4 3 2 5" xfId="10150" xr:uid="{3559C8C8-864A-4221-8F4E-4EB3AB2818E2}"/>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EE11E09B-8C75-4876-BD36-1B13F6C8A0F0}"/>
    <cellStyle name="Comma 4 4 3 3 2 3" xfId="12708" xr:uid="{2ACE08A7-AA6B-4764-B430-05C5907CBC54}"/>
    <cellStyle name="Comma 4 4 3 3 3" xfId="5454" xr:uid="{00000000-0005-0000-0000-0000030A0000}"/>
    <cellStyle name="Comma 4 4 3 3 3 2" xfId="14780" xr:uid="{2FA98CE0-8C50-4C46-BE7F-01BC4CA851E3}"/>
    <cellStyle name="Comma 4 4 3 3 4" xfId="10563" xr:uid="{91218A81-769E-424D-B2EC-C1BFFEECFB58}"/>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E4EE461D-8C12-4BD8-9CBF-12E966F1C6AE}"/>
    <cellStyle name="Comma 4 4 3 4 2 3" xfId="13121" xr:uid="{1D72F122-DA06-436C-A570-0B626542D9CD}"/>
    <cellStyle name="Comma 4 4 3 4 3" xfId="5867" xr:uid="{00000000-0005-0000-0000-0000070A0000}"/>
    <cellStyle name="Comma 4 4 3 4 3 2" xfId="15193" xr:uid="{69EB482E-FAD6-4D09-B635-57FE6EB28AA8}"/>
    <cellStyle name="Comma 4 4 3 4 4" xfId="10976" xr:uid="{5EE1067A-0E8D-46D4-A9AC-B85577E3988A}"/>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6B634F9F-5173-4EAB-8D9D-90A11FBC58C2}"/>
    <cellStyle name="Comma 4 4 3 5 2 3" xfId="13534" xr:uid="{D7052106-CA02-495F-B064-CC296B17027C}"/>
    <cellStyle name="Comma 4 4 3 5 3" xfId="6280" xr:uid="{00000000-0005-0000-0000-00000B0A0000}"/>
    <cellStyle name="Comma 4 4 3 5 3 2" xfId="15606" xr:uid="{B8E387D8-1162-4DB7-A4C2-E817AA6A8111}"/>
    <cellStyle name="Comma 4 4 3 5 4" xfId="11389" xr:uid="{C64E31CB-E49B-4372-B563-F65EE379C9C6}"/>
    <cellStyle name="Comma 4 4 3 6" xfId="2409" xr:uid="{00000000-0005-0000-0000-00000C0A0000}"/>
    <cellStyle name="Comma 4 4 3 6 2" xfId="6693" xr:uid="{00000000-0005-0000-0000-00000D0A0000}"/>
    <cellStyle name="Comma 4 4 3 6 2 2" xfId="16019" xr:uid="{CC72F854-F0AF-4A4F-AE14-1F8F8E03A5C9}"/>
    <cellStyle name="Comma 4 4 3 6 3" xfId="11802" xr:uid="{E69595C4-245F-4292-8BA9-849866DEF42B}"/>
    <cellStyle name="Comma 4 4 3 7" xfId="2705" xr:uid="{00000000-0005-0000-0000-00000E0A0000}"/>
    <cellStyle name="Comma 4 4 3 8" xfId="2787" xr:uid="{00000000-0005-0000-0000-00000F0A0000}"/>
    <cellStyle name="Comma 4 4 3 8 2" xfId="7010" xr:uid="{00000000-0005-0000-0000-0000100A0000}"/>
    <cellStyle name="Comma 4 4 3 8 2 2" xfId="16336" xr:uid="{B5708B47-6172-4818-BD75-072EBB1D5407}"/>
    <cellStyle name="Comma 4 4 3 8 3" xfId="12119" xr:uid="{58F10AF5-AADD-4B47-B0C5-9D9DC06F1A88}"/>
    <cellStyle name="Comma 4 4 3 9" xfId="4627" xr:uid="{00000000-0005-0000-0000-0000110A0000}"/>
    <cellStyle name="Comma 4 4 3 9 2" xfId="13953" xr:uid="{E26269BD-92E2-498B-8BA8-4AD944CBBA4E}"/>
    <cellStyle name="Comma 4 4 4" xfId="690" xr:uid="{00000000-0005-0000-0000-0000120A0000}"/>
    <cellStyle name="Comma 4 4 4 2" xfId="2961" xr:uid="{00000000-0005-0000-0000-0000130A0000}"/>
    <cellStyle name="Comma 4 4 4 2 2" xfId="7183" xr:uid="{00000000-0005-0000-0000-0000140A0000}"/>
    <cellStyle name="Comma 4 4 4 2 2 2" xfId="16509" xr:uid="{694EDC3A-295A-444E-8F9A-3C8267BCCD4F}"/>
    <cellStyle name="Comma 4 4 4 2 3" xfId="12292" xr:uid="{605BB12F-354C-4C72-BE32-45D525DB4C35}"/>
    <cellStyle name="Comma 4 4 4 3" xfId="5038" xr:uid="{00000000-0005-0000-0000-0000150A0000}"/>
    <cellStyle name="Comma 4 4 4 3 2" xfId="14364" xr:uid="{B8E65CFA-8CCB-4C18-8D87-A104080D5405}"/>
    <cellStyle name="Comma 4 4 4 4" xfId="9229" xr:uid="{5D655A80-2199-4116-9BF2-7327D5827395}"/>
    <cellStyle name="Comma 4 4 4 5" xfId="10147" xr:uid="{58A7CC76-D24A-4A06-8BB4-EDCCEC65935D}"/>
    <cellStyle name="Comma 4 4 5" xfId="1143" xr:uid="{00000000-0005-0000-0000-0000160A0000}"/>
    <cellStyle name="Comma 4 4 5 2" xfId="3374" xr:uid="{00000000-0005-0000-0000-0000170A0000}"/>
    <cellStyle name="Comma 4 4 5 2 2" xfId="7596" xr:uid="{00000000-0005-0000-0000-0000180A0000}"/>
    <cellStyle name="Comma 4 4 5 2 2 2" xfId="16922" xr:uid="{2471F0C7-5738-4312-A1E7-897088AA3D55}"/>
    <cellStyle name="Comma 4 4 5 2 3" xfId="12705" xr:uid="{214869EE-1854-4082-8D13-0F60D7584402}"/>
    <cellStyle name="Comma 4 4 5 3" xfId="5451" xr:uid="{00000000-0005-0000-0000-0000190A0000}"/>
    <cellStyle name="Comma 4 4 5 3 2" xfId="14777" xr:uid="{F2934EF8-4ABD-4704-84F6-FECF9094CA0F}"/>
    <cellStyle name="Comma 4 4 5 4" xfId="10560" xr:uid="{C2BAE410-518F-4E92-951B-31D109A1B25C}"/>
    <cellStyle name="Comma 4 4 6" xfId="1557" xr:uid="{00000000-0005-0000-0000-00001A0A0000}"/>
    <cellStyle name="Comma 4 4 6 2" xfId="3787" xr:uid="{00000000-0005-0000-0000-00001B0A0000}"/>
    <cellStyle name="Comma 4 4 6 2 2" xfId="8009" xr:uid="{00000000-0005-0000-0000-00001C0A0000}"/>
    <cellStyle name="Comma 4 4 6 2 2 2" xfId="17335" xr:uid="{C537409E-5D56-42D8-88EA-4FA3CF61445C}"/>
    <cellStyle name="Comma 4 4 6 2 3" xfId="13118" xr:uid="{E83AAA5D-A428-4135-9DED-39A27C302FC0}"/>
    <cellStyle name="Comma 4 4 6 3" xfId="5864" xr:uid="{00000000-0005-0000-0000-00001D0A0000}"/>
    <cellStyle name="Comma 4 4 6 3 2" xfId="15190" xr:uid="{44E90067-F84D-4DCD-A693-7626BA38A83A}"/>
    <cellStyle name="Comma 4 4 6 4" xfId="10973" xr:uid="{5B738386-A7A5-470A-90D5-37CDADABFFE8}"/>
    <cellStyle name="Comma 4 4 7" xfId="1971" xr:uid="{00000000-0005-0000-0000-00001E0A0000}"/>
    <cellStyle name="Comma 4 4 7 2" xfId="4200" xr:uid="{00000000-0005-0000-0000-00001F0A0000}"/>
    <cellStyle name="Comma 4 4 7 2 2" xfId="8422" xr:uid="{00000000-0005-0000-0000-0000200A0000}"/>
    <cellStyle name="Comma 4 4 7 2 2 2" xfId="17748" xr:uid="{800AC8C5-5DF6-4E61-BE68-113F32FAE0CA}"/>
    <cellStyle name="Comma 4 4 7 2 3" xfId="13531" xr:uid="{8825A6A9-ACF1-4756-B8DB-F4C706AC9F5C}"/>
    <cellStyle name="Comma 4 4 7 3" xfId="6277" xr:uid="{00000000-0005-0000-0000-0000210A0000}"/>
    <cellStyle name="Comma 4 4 7 3 2" xfId="15603" xr:uid="{BDCB24E1-EA5F-4CB9-B52F-19167BF1CA68}"/>
    <cellStyle name="Comma 4 4 7 4" xfId="11386" xr:uid="{CF6DB4C6-800E-4DC3-A529-5D086248CA39}"/>
    <cellStyle name="Comma 4 4 8" xfId="2406" xr:uid="{00000000-0005-0000-0000-0000220A0000}"/>
    <cellStyle name="Comma 4 4 8 2" xfId="6690" xr:uid="{00000000-0005-0000-0000-0000230A0000}"/>
    <cellStyle name="Comma 4 4 8 2 2" xfId="16016" xr:uid="{3B1B6F46-A4E7-4B7B-A86A-7FB86ADD6219}"/>
    <cellStyle name="Comma 4 4 8 3" xfId="11799" xr:uid="{196A1901-94D5-4E94-AB0D-4ABAC9577F31}"/>
    <cellStyle name="Comma 4 4 9" xfId="2702" xr:uid="{00000000-0005-0000-0000-0000240A0000}"/>
    <cellStyle name="Comma 4 5" xfId="157" xr:uid="{00000000-0005-0000-0000-0000250A0000}"/>
    <cellStyle name="Comma 4 5 10" xfId="4628" xr:uid="{00000000-0005-0000-0000-0000260A0000}"/>
    <cellStyle name="Comma 4 5 10 2" xfId="13954" xr:uid="{905CD6BA-B2EC-439D-81B3-43EC5193FDD1}"/>
    <cellStyle name="Comma 4 5 11" xfId="8849" xr:uid="{344CCE08-63E3-41E8-B38A-00347480820F}"/>
    <cellStyle name="Comma 4 5 12" xfId="9737" xr:uid="{B7A095C1-13AE-43CC-8314-548DAF266CB8}"/>
    <cellStyle name="Comma 4 5 2" xfId="158" xr:uid="{00000000-0005-0000-0000-0000270A0000}"/>
    <cellStyle name="Comma 4 5 2 10" xfId="9056" xr:uid="{C7C2153B-7EAA-4A13-9C28-1151ACD100A8}"/>
    <cellStyle name="Comma 4 5 2 11" xfId="9738" xr:uid="{FE0E278D-5741-4A0F-932A-96A00193D42D}"/>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422E332B-82C1-4BFF-8E7A-89F3081208B3}"/>
    <cellStyle name="Comma 4 5 2 2 2 3" xfId="12297" xr:uid="{1A11BC26-5260-41F0-97F9-5F51B3D8402C}"/>
    <cellStyle name="Comma 4 5 2 2 3" xfId="5043" xr:uid="{00000000-0005-0000-0000-00002B0A0000}"/>
    <cellStyle name="Comma 4 5 2 2 3 2" xfId="14369" xr:uid="{5AF018AB-F65C-48BB-AD7B-29AAB3712B06}"/>
    <cellStyle name="Comma 4 5 2 2 4" xfId="9481" xr:uid="{47C88F6D-21B1-4457-908C-FFAB8FF83BD1}"/>
    <cellStyle name="Comma 4 5 2 2 5" xfId="10152" xr:uid="{5E05E6C8-9843-498B-9270-32006058A3AF}"/>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455780ED-3FBA-4DDB-BA56-2A39CB47AF75}"/>
    <cellStyle name="Comma 4 5 2 3 2 3" xfId="12710" xr:uid="{06FAA56D-68ED-450C-9A51-90A1CB536453}"/>
    <cellStyle name="Comma 4 5 2 3 3" xfId="5456" xr:uid="{00000000-0005-0000-0000-00002F0A0000}"/>
    <cellStyle name="Comma 4 5 2 3 3 2" xfId="14782" xr:uid="{B5D1B37D-BAB6-4B47-A205-B7E7984F5026}"/>
    <cellStyle name="Comma 4 5 2 3 4" xfId="10565" xr:uid="{F71D021A-A8BC-4B0C-B6D3-C788F35893AE}"/>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2B54CA48-C061-4485-93C2-C6B9840FAC42}"/>
    <cellStyle name="Comma 4 5 2 4 2 3" xfId="13123" xr:uid="{28D0961A-8A90-4D63-A1C1-4B6C99BCC90A}"/>
    <cellStyle name="Comma 4 5 2 4 3" xfId="5869" xr:uid="{00000000-0005-0000-0000-0000330A0000}"/>
    <cellStyle name="Comma 4 5 2 4 3 2" xfId="15195" xr:uid="{5F22BA69-00FA-4D32-A2D9-DBBFAE0E0CBD}"/>
    <cellStyle name="Comma 4 5 2 4 4" xfId="10978" xr:uid="{34186D1D-AE4C-45C1-8843-DD1943139ED8}"/>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1B28E631-41DB-421B-8DAC-4AFBD4CC12D4}"/>
    <cellStyle name="Comma 4 5 2 5 2 3" xfId="13536" xr:uid="{583D32E2-442B-4BCC-B085-D41AFE644A73}"/>
    <cellStyle name="Comma 4 5 2 5 3" xfId="6282" xr:uid="{00000000-0005-0000-0000-0000370A0000}"/>
    <cellStyle name="Comma 4 5 2 5 3 2" xfId="15608" xr:uid="{86A7FBA9-F7BE-4CBF-9F0F-C22F794C04D9}"/>
    <cellStyle name="Comma 4 5 2 5 4" xfId="11391" xr:uid="{7C5A7EB7-9DD8-4ABF-A827-546F515DED70}"/>
    <cellStyle name="Comma 4 5 2 6" xfId="2411" xr:uid="{00000000-0005-0000-0000-0000380A0000}"/>
    <cellStyle name="Comma 4 5 2 6 2" xfId="6695" xr:uid="{00000000-0005-0000-0000-0000390A0000}"/>
    <cellStyle name="Comma 4 5 2 6 2 2" xfId="16021" xr:uid="{6AE97781-0AD1-43BC-9CB6-78AEF83B2D24}"/>
    <cellStyle name="Comma 4 5 2 6 3" xfId="11804" xr:uid="{FF632931-7114-407E-9760-6F6733802A3D}"/>
    <cellStyle name="Comma 4 5 2 7" xfId="2707" xr:uid="{00000000-0005-0000-0000-00003A0A0000}"/>
    <cellStyle name="Comma 4 5 2 8" xfId="2789" xr:uid="{00000000-0005-0000-0000-00003B0A0000}"/>
    <cellStyle name="Comma 4 5 2 8 2" xfId="7012" xr:uid="{00000000-0005-0000-0000-00003C0A0000}"/>
    <cellStyle name="Comma 4 5 2 8 2 2" xfId="16338" xr:uid="{8616BA4C-1883-479A-BE90-025C7970101A}"/>
    <cellStyle name="Comma 4 5 2 8 3" xfId="12121" xr:uid="{733285B8-D2EE-465D-9120-FD28D477C298}"/>
    <cellStyle name="Comma 4 5 2 9" xfId="4629" xr:uid="{00000000-0005-0000-0000-00003D0A0000}"/>
    <cellStyle name="Comma 4 5 2 9 2" xfId="13955" xr:uid="{6BA1B437-DA9B-4E39-8865-DF4911DA983A}"/>
    <cellStyle name="Comma 4 5 3" xfId="694" xr:uid="{00000000-0005-0000-0000-00003E0A0000}"/>
    <cellStyle name="Comma 4 5 3 2" xfId="2965" xr:uid="{00000000-0005-0000-0000-00003F0A0000}"/>
    <cellStyle name="Comma 4 5 3 2 2" xfId="7187" xr:uid="{00000000-0005-0000-0000-0000400A0000}"/>
    <cellStyle name="Comma 4 5 3 2 2 2" xfId="16513" xr:uid="{351990DC-023F-4B7C-9808-A1AB0493A2BD}"/>
    <cellStyle name="Comma 4 5 3 2 3" xfId="12296" xr:uid="{08F7F005-A3E9-47E1-A8E1-5F7FD59A5815}"/>
    <cellStyle name="Comma 4 5 3 3" xfId="5042" xr:uid="{00000000-0005-0000-0000-0000410A0000}"/>
    <cellStyle name="Comma 4 5 3 3 2" xfId="14368" xr:uid="{0F9E32F3-34F5-4C8C-ACF3-E1D30F74A1B2}"/>
    <cellStyle name="Comma 4 5 3 4" xfId="9274" xr:uid="{04AC3EF2-4A78-4DC5-BAB4-87936023C7E5}"/>
    <cellStyle name="Comma 4 5 3 5" xfId="10151" xr:uid="{2DDC08DE-68C9-45EC-9C35-F984CE26DD5A}"/>
    <cellStyle name="Comma 4 5 4" xfId="1147" xr:uid="{00000000-0005-0000-0000-0000420A0000}"/>
    <cellStyle name="Comma 4 5 4 2" xfId="3378" xr:uid="{00000000-0005-0000-0000-0000430A0000}"/>
    <cellStyle name="Comma 4 5 4 2 2" xfId="7600" xr:uid="{00000000-0005-0000-0000-0000440A0000}"/>
    <cellStyle name="Comma 4 5 4 2 2 2" xfId="16926" xr:uid="{0A14BA32-E9ED-4F9F-A027-79E4754BB296}"/>
    <cellStyle name="Comma 4 5 4 2 3" xfId="12709" xr:uid="{10DB0D14-C078-4EF4-9235-1AA49A59A577}"/>
    <cellStyle name="Comma 4 5 4 3" xfId="5455" xr:uid="{00000000-0005-0000-0000-0000450A0000}"/>
    <cellStyle name="Comma 4 5 4 3 2" xfId="14781" xr:uid="{7DC084D8-4D25-4C4F-8A72-EA9CE0EC4496}"/>
    <cellStyle name="Comma 4 5 4 4" xfId="10564" xr:uid="{171F2221-0672-4A19-82C2-F5DC0C6E4285}"/>
    <cellStyle name="Comma 4 5 5" xfId="1561" xr:uid="{00000000-0005-0000-0000-0000460A0000}"/>
    <cellStyle name="Comma 4 5 5 2" xfId="3791" xr:uid="{00000000-0005-0000-0000-0000470A0000}"/>
    <cellStyle name="Comma 4 5 5 2 2" xfId="8013" xr:uid="{00000000-0005-0000-0000-0000480A0000}"/>
    <cellStyle name="Comma 4 5 5 2 2 2" xfId="17339" xr:uid="{D2200667-4AA7-401E-A5FA-317F1EAF97F1}"/>
    <cellStyle name="Comma 4 5 5 2 3" xfId="13122" xr:uid="{4709B871-4224-42ED-A325-FDC7C62BEE6A}"/>
    <cellStyle name="Comma 4 5 5 3" xfId="5868" xr:uid="{00000000-0005-0000-0000-0000490A0000}"/>
    <cellStyle name="Comma 4 5 5 3 2" xfId="15194" xr:uid="{A262E9C2-D9C0-4062-96D1-BACFF0166931}"/>
    <cellStyle name="Comma 4 5 5 4" xfId="10977" xr:uid="{C8CA52E5-ADCA-489A-9E8F-8C97C2B548A3}"/>
    <cellStyle name="Comma 4 5 6" xfId="1975" xr:uid="{00000000-0005-0000-0000-00004A0A0000}"/>
    <cellStyle name="Comma 4 5 6 2" xfId="4204" xr:uid="{00000000-0005-0000-0000-00004B0A0000}"/>
    <cellStyle name="Comma 4 5 6 2 2" xfId="8426" xr:uid="{00000000-0005-0000-0000-00004C0A0000}"/>
    <cellStyle name="Comma 4 5 6 2 2 2" xfId="17752" xr:uid="{DF5737DB-1DFE-4BC0-8A7C-42468F294BD3}"/>
    <cellStyle name="Comma 4 5 6 2 3" xfId="13535" xr:uid="{F4C5077C-0BD2-4ACE-8F4B-16B1018F43B5}"/>
    <cellStyle name="Comma 4 5 6 3" xfId="6281" xr:uid="{00000000-0005-0000-0000-00004D0A0000}"/>
    <cellStyle name="Comma 4 5 6 3 2" xfId="15607" xr:uid="{C80672C3-A72F-4CD4-AC96-A92A7AB6E11E}"/>
    <cellStyle name="Comma 4 5 6 4" xfId="11390" xr:uid="{ABE7E8E9-B147-4F23-AC77-3414AE428372}"/>
    <cellStyle name="Comma 4 5 7" xfId="2410" xr:uid="{00000000-0005-0000-0000-00004E0A0000}"/>
    <cellStyle name="Comma 4 5 7 2" xfId="6694" xr:uid="{00000000-0005-0000-0000-00004F0A0000}"/>
    <cellStyle name="Comma 4 5 7 2 2" xfId="16020" xr:uid="{44C8B18C-FD5A-421B-AC98-B5E0A8DFE065}"/>
    <cellStyle name="Comma 4 5 7 3" xfId="11803" xr:uid="{BC5736FD-E938-4B29-8B2C-F7573E179FF1}"/>
    <cellStyle name="Comma 4 5 8" xfId="2706" xr:uid="{00000000-0005-0000-0000-0000500A0000}"/>
    <cellStyle name="Comma 4 5 9" xfId="2788" xr:uid="{00000000-0005-0000-0000-0000510A0000}"/>
    <cellStyle name="Comma 4 5 9 2" xfId="7011" xr:uid="{00000000-0005-0000-0000-0000520A0000}"/>
    <cellStyle name="Comma 4 5 9 2 2" xfId="16337" xr:uid="{85C07267-97BC-4F0C-B485-16AD9CC0DDAB}"/>
    <cellStyle name="Comma 4 5 9 3" xfId="12120" xr:uid="{71CB0AE1-A259-4E41-BF9C-2D7845B783E8}"/>
    <cellStyle name="Comma 4 6" xfId="159" xr:uid="{00000000-0005-0000-0000-0000530A0000}"/>
    <cellStyle name="Comma 4 6 10" xfId="8965" xr:uid="{FDA33E7D-96B8-46F2-87D8-5CB6C30A4CC6}"/>
    <cellStyle name="Comma 4 6 11" xfId="9739" xr:uid="{F054EA3D-74B3-4D56-9F4C-5D2FD40EC63D}"/>
    <cellStyle name="Comma 4 6 2" xfId="696" xr:uid="{00000000-0005-0000-0000-0000540A0000}"/>
    <cellStyle name="Comma 4 6 2 2" xfId="2967" xr:uid="{00000000-0005-0000-0000-0000550A0000}"/>
    <cellStyle name="Comma 4 6 2 2 2" xfId="7189" xr:uid="{00000000-0005-0000-0000-0000560A0000}"/>
    <cellStyle name="Comma 4 6 2 2 2 2" xfId="16515" xr:uid="{AA309638-FA09-4730-A22A-EA8BD7F255C4}"/>
    <cellStyle name="Comma 4 6 2 2 3" xfId="12298" xr:uid="{0867FA3E-475F-4779-BDFA-8A4A8F306D79}"/>
    <cellStyle name="Comma 4 6 2 3" xfId="5044" xr:uid="{00000000-0005-0000-0000-0000570A0000}"/>
    <cellStyle name="Comma 4 6 2 3 2" xfId="14370" xr:uid="{EAB5F9C6-AC47-4C32-AA1C-E6B1BF792A58}"/>
    <cellStyle name="Comma 4 6 2 4" xfId="9390" xr:uid="{F8012948-A58F-476A-B4CF-A63C8F36D5B6}"/>
    <cellStyle name="Comma 4 6 2 5" xfId="10153" xr:uid="{1670E5F0-1B95-4EC2-A66C-D5AB260737CC}"/>
    <cellStyle name="Comma 4 6 3" xfId="1149" xr:uid="{00000000-0005-0000-0000-0000580A0000}"/>
    <cellStyle name="Comma 4 6 3 2" xfId="3380" xr:uid="{00000000-0005-0000-0000-0000590A0000}"/>
    <cellStyle name="Comma 4 6 3 2 2" xfId="7602" xr:uid="{00000000-0005-0000-0000-00005A0A0000}"/>
    <cellStyle name="Comma 4 6 3 2 2 2" xfId="16928" xr:uid="{2EF5F21C-EA5E-4ABC-AFC6-E7D0516C3B92}"/>
    <cellStyle name="Comma 4 6 3 2 3" xfId="12711" xr:uid="{CB11AFEF-DB6F-4222-B72A-59EE9EC57DF1}"/>
    <cellStyle name="Comma 4 6 3 3" xfId="5457" xr:uid="{00000000-0005-0000-0000-00005B0A0000}"/>
    <cellStyle name="Comma 4 6 3 3 2" xfId="14783" xr:uid="{2E1591CE-F75C-4C18-95E1-83F3A5B70003}"/>
    <cellStyle name="Comma 4 6 3 4" xfId="10566" xr:uid="{A8FD7680-EDAF-478F-A393-A871C13D7990}"/>
    <cellStyle name="Comma 4 6 4" xfId="1563" xr:uid="{00000000-0005-0000-0000-00005C0A0000}"/>
    <cellStyle name="Comma 4 6 4 2" xfId="3793" xr:uid="{00000000-0005-0000-0000-00005D0A0000}"/>
    <cellStyle name="Comma 4 6 4 2 2" xfId="8015" xr:uid="{00000000-0005-0000-0000-00005E0A0000}"/>
    <cellStyle name="Comma 4 6 4 2 2 2" xfId="17341" xr:uid="{748BEDD4-6150-4171-AF4A-7B571D6802DF}"/>
    <cellStyle name="Comma 4 6 4 2 3" xfId="13124" xr:uid="{60318BB0-FA8F-46BF-9290-01E3E21777DA}"/>
    <cellStyle name="Comma 4 6 4 3" xfId="5870" xr:uid="{00000000-0005-0000-0000-00005F0A0000}"/>
    <cellStyle name="Comma 4 6 4 3 2" xfId="15196" xr:uid="{80DEDD8F-960B-4ADE-991F-1BCB14B92383}"/>
    <cellStyle name="Comma 4 6 4 4" xfId="10979" xr:uid="{413B3D1C-5FE3-4AF1-A265-05BFA0B5992E}"/>
    <cellStyle name="Comma 4 6 5" xfId="1977" xr:uid="{00000000-0005-0000-0000-0000600A0000}"/>
    <cellStyle name="Comma 4 6 5 2" xfId="4206" xr:uid="{00000000-0005-0000-0000-0000610A0000}"/>
    <cellStyle name="Comma 4 6 5 2 2" xfId="8428" xr:uid="{00000000-0005-0000-0000-0000620A0000}"/>
    <cellStyle name="Comma 4 6 5 2 2 2" xfId="17754" xr:uid="{A2C58721-1FEE-41F7-8111-4DA04E64B011}"/>
    <cellStyle name="Comma 4 6 5 2 3" xfId="13537" xr:uid="{E3B4B5BC-5AF1-407B-A6F4-1C59C3D98380}"/>
    <cellStyle name="Comma 4 6 5 3" xfId="6283" xr:uid="{00000000-0005-0000-0000-0000630A0000}"/>
    <cellStyle name="Comma 4 6 5 3 2" xfId="15609" xr:uid="{A8BE677E-B726-4CED-81F5-701A6B29B5F5}"/>
    <cellStyle name="Comma 4 6 5 4" xfId="11392" xr:uid="{39B25DE6-CE83-443B-BBD0-17F04E544180}"/>
    <cellStyle name="Comma 4 6 6" xfId="2412" xr:uid="{00000000-0005-0000-0000-0000640A0000}"/>
    <cellStyle name="Comma 4 6 6 2" xfId="6696" xr:uid="{00000000-0005-0000-0000-0000650A0000}"/>
    <cellStyle name="Comma 4 6 6 2 2" xfId="16022" xr:uid="{F48AA042-9713-4D60-9196-21AB5AE940D9}"/>
    <cellStyle name="Comma 4 6 6 3" xfId="11805" xr:uid="{86148553-B33A-48DD-83FA-9B0D386C9C77}"/>
    <cellStyle name="Comma 4 6 7" xfId="2708" xr:uid="{00000000-0005-0000-0000-0000660A0000}"/>
    <cellStyle name="Comma 4 6 8" xfId="2790" xr:uid="{00000000-0005-0000-0000-0000670A0000}"/>
    <cellStyle name="Comma 4 6 8 2" xfId="7013" xr:uid="{00000000-0005-0000-0000-0000680A0000}"/>
    <cellStyle name="Comma 4 6 8 2 2" xfId="16339" xr:uid="{63744397-E393-4E33-AEA5-6733A588453A}"/>
    <cellStyle name="Comma 4 6 8 3" xfId="12122" xr:uid="{AC616C8F-5D2C-4239-AE02-7B673BB2763D}"/>
    <cellStyle name="Comma 4 6 9" xfId="4630" xr:uid="{00000000-0005-0000-0000-0000690A0000}"/>
    <cellStyle name="Comma 4 6 9 2" xfId="13956" xr:uid="{BF82ABD7-6C23-4181-8A7A-8E539E9DCD43}"/>
    <cellStyle name="Comma 4 7" xfId="160" xr:uid="{00000000-0005-0000-0000-00006A0A0000}"/>
    <cellStyle name="Comma 4 7 10" xfId="9168" xr:uid="{C5EF0C72-87BD-43A9-8A23-92F9D9423F50}"/>
    <cellStyle name="Comma 4 7 11" xfId="9740" xr:uid="{A5B174E1-17B6-4E82-9EFF-6AC1D620C4AD}"/>
    <cellStyle name="Comma 4 7 2" xfId="697" xr:uid="{00000000-0005-0000-0000-00006B0A0000}"/>
    <cellStyle name="Comma 4 7 2 2" xfId="2968" xr:uid="{00000000-0005-0000-0000-00006C0A0000}"/>
    <cellStyle name="Comma 4 7 2 2 2" xfId="7190" xr:uid="{00000000-0005-0000-0000-00006D0A0000}"/>
    <cellStyle name="Comma 4 7 2 2 2 2" xfId="16516" xr:uid="{CD077F88-705C-490A-A495-62E687A38EA4}"/>
    <cellStyle name="Comma 4 7 2 2 3" xfId="12299" xr:uid="{33A060F9-46D7-4AFE-B25D-C394583E7566}"/>
    <cellStyle name="Comma 4 7 2 3" xfId="5045" xr:uid="{00000000-0005-0000-0000-00006E0A0000}"/>
    <cellStyle name="Comma 4 7 2 3 2" xfId="14371" xr:uid="{6BE63649-B328-4C63-AFC1-C620CB3BB659}"/>
    <cellStyle name="Comma 4 7 2 4" xfId="9596" xr:uid="{F4A1C070-02C1-4F2A-89F2-15465D9BEBB2}"/>
    <cellStyle name="Comma 4 7 2 5" xfId="10154" xr:uid="{320A1CF8-5F75-4564-AB17-5091A5436B53}"/>
    <cellStyle name="Comma 4 7 3" xfId="1150" xr:uid="{00000000-0005-0000-0000-00006F0A0000}"/>
    <cellStyle name="Comma 4 7 3 2" xfId="3381" xr:uid="{00000000-0005-0000-0000-0000700A0000}"/>
    <cellStyle name="Comma 4 7 3 2 2" xfId="7603" xr:uid="{00000000-0005-0000-0000-0000710A0000}"/>
    <cellStyle name="Comma 4 7 3 2 2 2" xfId="16929" xr:uid="{753AB395-CC0F-4B35-A2F5-AA2FFCAFBD07}"/>
    <cellStyle name="Comma 4 7 3 2 3" xfId="12712" xr:uid="{C3B1E824-D551-43AF-838C-6528BE7D998A}"/>
    <cellStyle name="Comma 4 7 3 3" xfId="5458" xr:uid="{00000000-0005-0000-0000-0000720A0000}"/>
    <cellStyle name="Comma 4 7 3 3 2" xfId="14784" xr:uid="{2745F80F-6276-4420-A638-9C8D82F9C900}"/>
    <cellStyle name="Comma 4 7 3 4" xfId="10567" xr:uid="{F37C8D1E-FA26-48C3-8208-6959F1599C6E}"/>
    <cellStyle name="Comma 4 7 4" xfId="1564" xr:uid="{00000000-0005-0000-0000-0000730A0000}"/>
    <cellStyle name="Comma 4 7 4 2" xfId="3794" xr:uid="{00000000-0005-0000-0000-0000740A0000}"/>
    <cellStyle name="Comma 4 7 4 2 2" xfId="8016" xr:uid="{00000000-0005-0000-0000-0000750A0000}"/>
    <cellStyle name="Comma 4 7 4 2 2 2" xfId="17342" xr:uid="{BFB091EF-EF3C-4A8C-AFDF-40B367C333D1}"/>
    <cellStyle name="Comma 4 7 4 2 3" xfId="13125" xr:uid="{C83DC2BF-B82D-4028-8B12-E3BE8209BAB6}"/>
    <cellStyle name="Comma 4 7 4 3" xfId="5871" xr:uid="{00000000-0005-0000-0000-0000760A0000}"/>
    <cellStyle name="Comma 4 7 4 3 2" xfId="15197" xr:uid="{D8786B79-7CA4-4263-BD68-F2DD32203FFF}"/>
    <cellStyle name="Comma 4 7 4 4" xfId="10980" xr:uid="{D77A4148-3FAC-435D-99AB-0434D0C72E85}"/>
    <cellStyle name="Comma 4 7 5" xfId="1978" xr:uid="{00000000-0005-0000-0000-0000770A0000}"/>
    <cellStyle name="Comma 4 7 5 2" xfId="4207" xr:uid="{00000000-0005-0000-0000-0000780A0000}"/>
    <cellStyle name="Comma 4 7 5 2 2" xfId="8429" xr:uid="{00000000-0005-0000-0000-0000790A0000}"/>
    <cellStyle name="Comma 4 7 5 2 2 2" xfId="17755" xr:uid="{B69ACB04-BC45-4116-BED0-E334854EDA32}"/>
    <cellStyle name="Comma 4 7 5 2 3" xfId="13538" xr:uid="{3EDAF1DE-BF74-47C5-A26D-A2D6D2484A5B}"/>
    <cellStyle name="Comma 4 7 5 3" xfId="6284" xr:uid="{00000000-0005-0000-0000-00007A0A0000}"/>
    <cellStyle name="Comma 4 7 5 3 2" xfId="15610" xr:uid="{8D74CFE8-AC6C-4611-8A5C-989C29E032FF}"/>
    <cellStyle name="Comma 4 7 5 4" xfId="11393" xr:uid="{DFA40DB1-1AC8-41F3-A69A-E74A82153CAC}"/>
    <cellStyle name="Comma 4 7 6" xfId="2413" xr:uid="{00000000-0005-0000-0000-00007B0A0000}"/>
    <cellStyle name="Comma 4 7 6 2" xfId="6697" xr:uid="{00000000-0005-0000-0000-00007C0A0000}"/>
    <cellStyle name="Comma 4 7 6 2 2" xfId="16023" xr:uid="{1BF2EAD7-0072-4244-81B1-A6E09CE591BC}"/>
    <cellStyle name="Comma 4 7 6 3" xfId="11806" xr:uid="{039360C0-10E2-468C-A7A1-86492E071F9F}"/>
    <cellStyle name="Comma 4 7 7" xfId="2709" xr:uid="{00000000-0005-0000-0000-00007D0A0000}"/>
    <cellStyle name="Comma 4 7 8" xfId="2791" xr:uid="{00000000-0005-0000-0000-00007E0A0000}"/>
    <cellStyle name="Comma 4 7 8 2" xfId="7014" xr:uid="{00000000-0005-0000-0000-00007F0A0000}"/>
    <cellStyle name="Comma 4 7 8 2 2" xfId="16340" xr:uid="{1DC39C41-9BDC-43A9-AF60-4839D524E027}"/>
    <cellStyle name="Comma 4 7 8 3" xfId="12123" xr:uid="{32476FEA-5BFF-4083-B9E9-F4D2915E51D6}"/>
    <cellStyle name="Comma 4 7 9" xfId="4631" xr:uid="{00000000-0005-0000-0000-0000800A0000}"/>
    <cellStyle name="Comma 4 7 9 2" xfId="13957" xr:uid="{228C44FB-BE32-4CB2-8255-CAD5458B7889}"/>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2231E3F0-9C25-4AB8-A310-B49D39B4FF7E}"/>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97C66145-52A8-4D52-8881-9202A478E746}"/>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8058" xr:uid="{C7B458CA-16F6-4724-84A2-8EE37F30C468}"/>
    <cellStyle name="Currency 14 3 2 2 2 3" xfId="18055" xr:uid="{045FA29E-650B-48EA-9B45-0020387351D8}"/>
    <cellStyle name="Currency 14 3 2 2 3" xfId="18051" xr:uid="{1F650C81-9658-4146-966B-8F2EE8EC613F}"/>
    <cellStyle name="Currency 14 3 2 3" xfId="18048" xr:uid="{DF4F30E1-A00C-413F-ACA1-95BAEDA2DF80}"/>
    <cellStyle name="Currency 14 3 3" xfId="18045" xr:uid="{12A1E6D4-99C3-45CF-B098-E92D64A460D1}"/>
    <cellStyle name="Currency 14 4" xfId="13828" xr:uid="{056AAF5C-9300-49A6-9F7E-415BA8DC8FD8}"/>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26FA0317-18E8-408B-9317-1D945B4F3B6B}"/>
    <cellStyle name="Currency 3 2 2 10 3" xfId="12124" xr:uid="{8F10AB78-31E4-4F3C-BB82-6808B28E9D29}"/>
    <cellStyle name="Currency 3 2 2 11" xfId="4632" xr:uid="{00000000-0005-0000-0000-0000A50A0000}"/>
    <cellStyle name="Currency 3 2 2 11 2" xfId="13958" xr:uid="{DF8D9F4E-E3FB-4630-A6B3-23622AE0A8F6}"/>
    <cellStyle name="Currency 3 2 2 12" xfId="8808" xr:uid="{5CD24693-181E-456A-9199-DC057509AC96}"/>
    <cellStyle name="Currency 3 2 2 13" xfId="9741" xr:uid="{CF7F07E0-83C7-4BC0-BFA7-6BD0548B26BE}"/>
    <cellStyle name="Currency 3 2 2 2" xfId="179" xr:uid="{00000000-0005-0000-0000-0000A60A0000}"/>
    <cellStyle name="Currency 3 2 2 2 10" xfId="4633" xr:uid="{00000000-0005-0000-0000-0000A70A0000}"/>
    <cellStyle name="Currency 3 2 2 2 10 2" xfId="13959" xr:uid="{44ABD173-FABC-4F97-9372-3C03CD88B2D9}"/>
    <cellStyle name="Currency 3 2 2 2 11" xfId="8911" xr:uid="{177A45F7-B130-49DA-829A-AA3BF41B848C}"/>
    <cellStyle name="Currency 3 2 2 2 12" xfId="9742" xr:uid="{C3EAA8EB-61DE-45C5-BCEC-3EEE42674FA0}"/>
    <cellStyle name="Currency 3 2 2 2 2" xfId="180" xr:uid="{00000000-0005-0000-0000-0000A80A0000}"/>
    <cellStyle name="Currency 3 2 2 2 2 10" xfId="9118" xr:uid="{4DDBDF88-B997-49F5-AF34-322CC93508E5}"/>
    <cellStyle name="Currency 3 2 2 2 2 11" xfId="9743" xr:uid="{409E29D1-2F97-423C-8D91-5746CDC5AE2C}"/>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63870EE0-69D4-47AF-ABF4-3AF4AC346F66}"/>
    <cellStyle name="Currency 3 2 2 2 2 2 2 3" xfId="12302" xr:uid="{45E84E46-9CBE-4D97-8FA1-DE93D491809B}"/>
    <cellStyle name="Currency 3 2 2 2 2 2 3" xfId="5048" xr:uid="{00000000-0005-0000-0000-0000AC0A0000}"/>
    <cellStyle name="Currency 3 2 2 2 2 2 3 2" xfId="14374" xr:uid="{A123034B-35DD-44D6-9F8A-D4975EC21582}"/>
    <cellStyle name="Currency 3 2 2 2 2 2 4" xfId="9543" xr:uid="{08990697-BAC1-4B06-A86B-C554A35267E6}"/>
    <cellStyle name="Currency 3 2 2 2 2 2 5" xfId="10157" xr:uid="{4192736A-0145-4B5B-AAE2-585090891173}"/>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EFC0EFB2-C214-4F04-A639-C55895E31287}"/>
    <cellStyle name="Currency 3 2 2 2 2 3 2 3" xfId="12715" xr:uid="{6CB49958-3F09-4DD3-BB15-1612D8091DD2}"/>
    <cellStyle name="Currency 3 2 2 2 2 3 3" xfId="5461" xr:uid="{00000000-0005-0000-0000-0000B00A0000}"/>
    <cellStyle name="Currency 3 2 2 2 2 3 3 2" xfId="14787" xr:uid="{D99D974F-6F3A-4FD6-BEBD-60FEBCBCDAFE}"/>
    <cellStyle name="Currency 3 2 2 2 2 3 4" xfId="10570" xr:uid="{3E6D8A78-9E92-43E7-8384-93BB8C53948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C82B5C3F-B3D8-4732-963B-ADA10714BCFD}"/>
    <cellStyle name="Currency 3 2 2 2 2 4 2 3" xfId="13128" xr:uid="{6512036D-6274-4E13-B1CA-B639A83A9A44}"/>
    <cellStyle name="Currency 3 2 2 2 2 4 3" xfId="5874" xr:uid="{00000000-0005-0000-0000-0000B40A0000}"/>
    <cellStyle name="Currency 3 2 2 2 2 4 3 2" xfId="15200" xr:uid="{98F888F3-E258-41B4-B0E3-57D8043765A7}"/>
    <cellStyle name="Currency 3 2 2 2 2 4 4" xfId="10983" xr:uid="{D26A16B1-88AD-492B-A769-9D974DCB4EE3}"/>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6ECCA537-12AF-4F6E-812B-B5C534C6BC75}"/>
    <cellStyle name="Currency 3 2 2 2 2 5 2 3" xfId="13541" xr:uid="{7DDD38F0-D00E-414A-B354-309D29D26F09}"/>
    <cellStyle name="Currency 3 2 2 2 2 5 3" xfId="6287" xr:uid="{00000000-0005-0000-0000-0000B80A0000}"/>
    <cellStyle name="Currency 3 2 2 2 2 5 3 2" xfId="15613" xr:uid="{3169BA9E-4606-49E1-8594-F556E3AA17E0}"/>
    <cellStyle name="Currency 3 2 2 2 2 5 4" xfId="11396" xr:uid="{7B7A8832-77EF-48B6-A884-53A581AA7992}"/>
    <cellStyle name="Currency 3 2 2 2 2 6" xfId="2416" xr:uid="{00000000-0005-0000-0000-0000B90A0000}"/>
    <cellStyle name="Currency 3 2 2 2 2 6 2" xfId="6700" xr:uid="{00000000-0005-0000-0000-0000BA0A0000}"/>
    <cellStyle name="Currency 3 2 2 2 2 6 2 2" xfId="16026" xr:uid="{9A105857-BED4-4C6C-8340-B1B324A47444}"/>
    <cellStyle name="Currency 3 2 2 2 2 6 3" xfId="11809" xr:uid="{4B67003B-5A93-47F8-9642-FF6D53EAD8E2}"/>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7A7D6EC1-6E8A-4B7A-81B0-EB369DCDA0B6}"/>
    <cellStyle name="Currency 3 2 2 2 2 8 3" xfId="12126" xr:uid="{6C1E0FF2-9764-40C3-B03C-76126857E422}"/>
    <cellStyle name="Currency 3 2 2 2 2 9" xfId="4634" xr:uid="{00000000-0005-0000-0000-0000BE0A0000}"/>
    <cellStyle name="Currency 3 2 2 2 2 9 2" xfId="13960" xr:uid="{B98624A2-E936-4B3B-8E57-B8BC8429B029}"/>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FDCED499-9840-48C8-8EAF-BB858D1F5E47}"/>
    <cellStyle name="Currency 3 2 2 2 3 2 3" xfId="12301" xr:uid="{5D66FCCA-84DB-41BB-9F92-8AEC39E37B7B}"/>
    <cellStyle name="Currency 3 2 2 2 3 3" xfId="5047" xr:uid="{00000000-0005-0000-0000-0000C20A0000}"/>
    <cellStyle name="Currency 3 2 2 2 3 3 2" xfId="14373" xr:uid="{E90EA4F6-BC38-48CA-AD67-8C3BE938F0B8}"/>
    <cellStyle name="Currency 3 2 2 2 3 4" xfId="9336" xr:uid="{F86D5454-A503-484B-B8F3-81FF219E49D0}"/>
    <cellStyle name="Currency 3 2 2 2 3 5" xfId="10156" xr:uid="{428472A1-DB15-4766-B58C-ECDCF1C1D6A8}"/>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EE635012-6B6F-4881-B5D3-F2F619546467}"/>
    <cellStyle name="Currency 3 2 2 2 4 2 3" xfId="12714" xr:uid="{6B278E25-1BE8-4A7E-ACA6-DA98DE3B7FE5}"/>
    <cellStyle name="Currency 3 2 2 2 4 3" xfId="5460" xr:uid="{00000000-0005-0000-0000-0000C60A0000}"/>
    <cellStyle name="Currency 3 2 2 2 4 3 2" xfId="14786" xr:uid="{4946885E-80A1-43C9-A7B8-53807EDEB3E0}"/>
    <cellStyle name="Currency 3 2 2 2 4 4" xfId="10569" xr:uid="{FCEDB62F-74D9-4986-B29B-B9B2D325DE73}"/>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098917E5-510C-4261-A9EE-22B5F05A62A1}"/>
    <cellStyle name="Currency 3 2 2 2 5 2 3" xfId="13127" xr:uid="{DAF558D4-226B-45E2-B800-45B75808B64B}"/>
    <cellStyle name="Currency 3 2 2 2 5 3" xfId="5873" xr:uid="{00000000-0005-0000-0000-0000CA0A0000}"/>
    <cellStyle name="Currency 3 2 2 2 5 3 2" xfId="15199" xr:uid="{2D7DF8FC-C074-408B-9FE0-FF4B34B91F5F}"/>
    <cellStyle name="Currency 3 2 2 2 5 4" xfId="10982" xr:uid="{B240E591-E062-4385-B381-D1053DEE55E4}"/>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D29E69B8-2288-4A10-AECB-31038A06E3B9}"/>
    <cellStyle name="Currency 3 2 2 2 6 2 3" xfId="13540" xr:uid="{1853CF1F-6F48-4296-82A4-F6D8A31A77CB}"/>
    <cellStyle name="Currency 3 2 2 2 6 3" xfId="6286" xr:uid="{00000000-0005-0000-0000-0000CE0A0000}"/>
    <cellStyle name="Currency 3 2 2 2 6 3 2" xfId="15612" xr:uid="{031BB9B0-6C67-43A7-BBC6-5B6548EDFDE5}"/>
    <cellStyle name="Currency 3 2 2 2 6 4" xfId="11395" xr:uid="{698ECF31-7807-4E3B-9FC6-086127016105}"/>
    <cellStyle name="Currency 3 2 2 2 7" xfId="2415" xr:uid="{00000000-0005-0000-0000-0000CF0A0000}"/>
    <cellStyle name="Currency 3 2 2 2 7 2" xfId="6699" xr:uid="{00000000-0005-0000-0000-0000D00A0000}"/>
    <cellStyle name="Currency 3 2 2 2 7 2 2" xfId="16025" xr:uid="{1C7467AD-8FD2-4FB2-802C-05697D4F8074}"/>
    <cellStyle name="Currency 3 2 2 2 7 3" xfId="11808" xr:uid="{3E984A1C-0901-4A26-AF72-FE0DC304A360}"/>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23D85CF4-6463-414D-9FF0-425190228A69}"/>
    <cellStyle name="Currency 3 2 2 2 9 3" xfId="12125" xr:uid="{F59B35A1-5986-4C88-82DD-D5E8812A5BDC}"/>
    <cellStyle name="Currency 3 2 2 3" xfId="181" xr:uid="{00000000-0005-0000-0000-0000D40A0000}"/>
    <cellStyle name="Currency 3 2 2 3 10" xfId="9015" xr:uid="{A1C3FAFC-6FB9-45C5-A279-C90E61794A63}"/>
    <cellStyle name="Currency 3 2 2 3 11" xfId="9744" xr:uid="{64581381-FE4C-4EC6-B487-D02E577D8E04}"/>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8F88B720-61AF-4219-A29A-328428C59E9D}"/>
    <cellStyle name="Currency 3 2 2 3 2 2 3" xfId="12303" xr:uid="{AF6F70B3-AF2C-47D7-95BD-7914956F32CC}"/>
    <cellStyle name="Currency 3 2 2 3 2 3" xfId="5049" xr:uid="{00000000-0005-0000-0000-0000D80A0000}"/>
    <cellStyle name="Currency 3 2 2 3 2 3 2" xfId="14375" xr:uid="{21859891-E138-4139-AE4E-E6959DC620BD}"/>
    <cellStyle name="Currency 3 2 2 3 2 4" xfId="9440" xr:uid="{774D5512-BCA5-4224-A909-3336A63369C8}"/>
    <cellStyle name="Currency 3 2 2 3 2 5" xfId="10158" xr:uid="{00B1E62B-AA44-454C-B720-2FBBDCE6BD87}"/>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B15B0973-D26B-48A7-9B26-41EBE1CA75EB}"/>
    <cellStyle name="Currency 3 2 2 3 3 2 3" xfId="12716" xr:uid="{53943C0E-A01D-40EA-8249-827E1664F78D}"/>
    <cellStyle name="Currency 3 2 2 3 3 3" xfId="5462" xr:uid="{00000000-0005-0000-0000-0000DC0A0000}"/>
    <cellStyle name="Currency 3 2 2 3 3 3 2" xfId="14788" xr:uid="{BB38EA4B-72C0-4033-8A3E-24A8A64AB922}"/>
    <cellStyle name="Currency 3 2 2 3 3 4" xfId="10571" xr:uid="{8AC10378-8722-4A92-A4AE-E0C1E6AB327E}"/>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78A79B3C-D5E9-4018-948A-94A0B05E4D4F}"/>
    <cellStyle name="Currency 3 2 2 3 4 2 3" xfId="13129" xr:uid="{D6797A49-1B31-4639-9126-644F90B4F2B0}"/>
    <cellStyle name="Currency 3 2 2 3 4 3" xfId="5875" xr:uid="{00000000-0005-0000-0000-0000E00A0000}"/>
    <cellStyle name="Currency 3 2 2 3 4 3 2" xfId="15201" xr:uid="{77F0CA53-403B-4C10-B6E1-2237A4BDB06A}"/>
    <cellStyle name="Currency 3 2 2 3 4 4" xfId="10984" xr:uid="{DCA6179C-1371-4311-BA03-49DC661C2B17}"/>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85125D76-B513-4DF7-858D-7909FA281EB6}"/>
    <cellStyle name="Currency 3 2 2 3 5 2 3" xfId="13542" xr:uid="{2672DFF3-2E24-49D0-B8A2-129AEFBA80CC}"/>
    <cellStyle name="Currency 3 2 2 3 5 3" xfId="6288" xr:uid="{00000000-0005-0000-0000-0000E40A0000}"/>
    <cellStyle name="Currency 3 2 2 3 5 3 2" xfId="15614" xr:uid="{A760ECC6-A7DF-4A75-884F-3C2264C95765}"/>
    <cellStyle name="Currency 3 2 2 3 5 4" xfId="11397" xr:uid="{EE0AE842-2E9B-47DF-84CF-D9E8E91D993B}"/>
    <cellStyle name="Currency 3 2 2 3 6" xfId="2417" xr:uid="{00000000-0005-0000-0000-0000E50A0000}"/>
    <cellStyle name="Currency 3 2 2 3 6 2" xfId="6701" xr:uid="{00000000-0005-0000-0000-0000E60A0000}"/>
    <cellStyle name="Currency 3 2 2 3 6 2 2" xfId="16027" xr:uid="{0C1EBE82-A16E-4F2F-A9CE-33289E153ECD}"/>
    <cellStyle name="Currency 3 2 2 3 6 3" xfId="11810" xr:uid="{B11A7EAB-8EDB-4D61-9A29-0FAAA2C61983}"/>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037D519D-7924-4FB5-8A83-D6985AAD1EF8}"/>
    <cellStyle name="Currency 3 2 2 3 8 3" xfId="12127" xr:uid="{B40104A0-F27F-4090-8454-ACDE2128BF1F}"/>
    <cellStyle name="Currency 3 2 2 3 9" xfId="4635" xr:uid="{00000000-0005-0000-0000-0000EA0A0000}"/>
    <cellStyle name="Currency 3 2 2 3 9 2" xfId="13961" xr:uid="{F215E5E3-9709-42C4-BC0E-E2D02470A99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411D8528-9328-456E-A21C-30B03BC695BC}"/>
    <cellStyle name="Currency 3 2 2 4 2 3" xfId="12300" xr:uid="{51E80433-5D8A-4206-A7EF-ABBCC084400E}"/>
    <cellStyle name="Currency 3 2 2 4 3" xfId="5046" xr:uid="{00000000-0005-0000-0000-0000EE0A0000}"/>
    <cellStyle name="Currency 3 2 2 4 3 2" xfId="14372" xr:uid="{EC42FE0E-E82D-4BD6-ADF3-D483C1B276CA}"/>
    <cellStyle name="Currency 3 2 2 4 4" xfId="9233" xr:uid="{A90843BF-65B1-48E5-9C93-A2651D7B4B13}"/>
    <cellStyle name="Currency 3 2 2 4 5" xfId="10155" xr:uid="{F930D8CA-BBA8-46C6-A6B9-35283AD4ABE1}"/>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444A4B53-0B7D-4FE4-A246-26F2A008590A}"/>
    <cellStyle name="Currency 3 2 2 5 2 3" xfId="12713" xr:uid="{11021BCA-C588-4A27-83D4-5FCDE0E704E3}"/>
    <cellStyle name="Currency 3 2 2 5 3" xfId="5459" xr:uid="{00000000-0005-0000-0000-0000F20A0000}"/>
    <cellStyle name="Currency 3 2 2 5 3 2" xfId="14785" xr:uid="{10619EF0-C37A-45E2-B92A-2FEB822DB11E}"/>
    <cellStyle name="Currency 3 2 2 5 4" xfId="10568" xr:uid="{F16FEA7D-25F5-4370-B6CF-B6EAD5E1EB6A}"/>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32DD2535-C475-4673-8B67-2529823714A4}"/>
    <cellStyle name="Currency 3 2 2 6 2 3" xfId="13126" xr:uid="{B98EB87D-6B3C-4242-998C-65674448FCF9}"/>
    <cellStyle name="Currency 3 2 2 6 3" xfId="5872" xr:uid="{00000000-0005-0000-0000-0000F60A0000}"/>
    <cellStyle name="Currency 3 2 2 6 3 2" xfId="15198" xr:uid="{96BB7811-1E79-4740-B6D5-2A924D35E106}"/>
    <cellStyle name="Currency 3 2 2 6 4" xfId="10981" xr:uid="{9EFBC1B4-21FB-44F0-B616-FA9C708C9121}"/>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D49C3357-CA89-4ADF-86FD-BC132107D9C1}"/>
    <cellStyle name="Currency 3 2 2 7 2 3" xfId="13539" xr:uid="{C123A8F0-3B75-4709-8727-B3BA280D39A9}"/>
    <cellStyle name="Currency 3 2 2 7 3" xfId="6285" xr:uid="{00000000-0005-0000-0000-0000FA0A0000}"/>
    <cellStyle name="Currency 3 2 2 7 3 2" xfId="15611" xr:uid="{663753B8-448D-437A-A355-FDBD0221EEAB}"/>
    <cellStyle name="Currency 3 2 2 7 4" xfId="11394" xr:uid="{87C3818B-581B-4B49-BC6A-D3A001CD002F}"/>
    <cellStyle name="Currency 3 2 2 8" xfId="2414" xr:uid="{00000000-0005-0000-0000-0000FB0A0000}"/>
    <cellStyle name="Currency 3 2 2 8 2" xfId="6698" xr:uid="{00000000-0005-0000-0000-0000FC0A0000}"/>
    <cellStyle name="Currency 3 2 2 8 2 2" xfId="16024" xr:uid="{7F073437-66CA-422D-81DD-EF3BB7E4A4AA}"/>
    <cellStyle name="Currency 3 2 2 8 3" xfId="11807" xr:uid="{376D9407-1F8D-45F2-A467-EF43F7B6A893}"/>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BC8249A7-212B-4964-87AB-F806F526BDAF}"/>
    <cellStyle name="Currency 3 2 3 11" xfId="8893" xr:uid="{8CE28714-D587-402C-9A17-1A08799662D4}"/>
    <cellStyle name="Currency 3 2 3 12" xfId="9745" xr:uid="{A124F29F-5794-408F-9F77-6E12BA41DFBD}"/>
    <cellStyle name="Currency 3 2 3 2" xfId="183" xr:uid="{00000000-0005-0000-0000-0000000B0000}"/>
    <cellStyle name="Currency 3 2 3 2 10" xfId="9100" xr:uid="{CEBE1F40-0923-46C6-AB84-DD4DAB20CD81}"/>
    <cellStyle name="Currency 3 2 3 2 11" xfId="9746" xr:uid="{99C4A770-B1B2-418A-9714-AAB9F39DA539}"/>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55678136-8512-473D-8B3B-14A9CEB76A1A}"/>
    <cellStyle name="Currency 3 2 3 2 2 2 3" xfId="12305" xr:uid="{AA6FEDFC-4FD7-4B15-8A6C-F27C03DAF08A}"/>
    <cellStyle name="Currency 3 2 3 2 2 3" xfId="5051" xr:uid="{00000000-0005-0000-0000-0000040B0000}"/>
    <cellStyle name="Currency 3 2 3 2 2 3 2" xfId="14377" xr:uid="{A00A6933-152F-401F-B30C-D1838BEAD60A}"/>
    <cellStyle name="Currency 3 2 3 2 2 4" xfId="9525" xr:uid="{759374BA-DDD8-4F33-9655-B300986F8700}"/>
    <cellStyle name="Currency 3 2 3 2 2 5" xfId="10160" xr:uid="{E415C381-10A0-4555-A088-FDBDFCB848BF}"/>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5C4A0DDB-9210-4444-A5E9-16CFCAAB887A}"/>
    <cellStyle name="Currency 3 2 3 2 3 2 3" xfId="12718" xr:uid="{D04223C0-DB09-4330-9C0E-CDAC77B2F070}"/>
    <cellStyle name="Currency 3 2 3 2 3 3" xfId="5464" xr:uid="{00000000-0005-0000-0000-0000080B0000}"/>
    <cellStyle name="Currency 3 2 3 2 3 3 2" xfId="14790" xr:uid="{D6153C0E-D353-4C2E-8567-AF8EF4094982}"/>
    <cellStyle name="Currency 3 2 3 2 3 4" xfId="10573" xr:uid="{2517CE8B-61A8-4384-B820-23B6733F230B}"/>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CF0DD834-8F33-41D3-BD08-54F214EB2492}"/>
    <cellStyle name="Currency 3 2 3 2 4 2 3" xfId="13131" xr:uid="{26A283D9-B8C7-4945-89B4-9BE81843EBBD}"/>
    <cellStyle name="Currency 3 2 3 2 4 3" xfId="5877" xr:uid="{00000000-0005-0000-0000-00000C0B0000}"/>
    <cellStyle name="Currency 3 2 3 2 4 3 2" xfId="15203" xr:uid="{0EE1FE21-D406-4A57-8F8F-58B7C0E3ACAD}"/>
    <cellStyle name="Currency 3 2 3 2 4 4" xfId="10986" xr:uid="{D294953B-5F7A-46D7-8833-8F2A84D95F6F}"/>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8A5DEB82-B882-42DD-815E-DD68A67D8C26}"/>
    <cellStyle name="Currency 3 2 3 2 5 2 3" xfId="13544" xr:uid="{B3173F15-944A-45AE-AAD4-2271805397B2}"/>
    <cellStyle name="Currency 3 2 3 2 5 3" xfId="6290" xr:uid="{00000000-0005-0000-0000-0000100B0000}"/>
    <cellStyle name="Currency 3 2 3 2 5 3 2" xfId="15616" xr:uid="{E658F97F-BA28-4EF6-B9AD-3F01C3EAC4D9}"/>
    <cellStyle name="Currency 3 2 3 2 5 4" xfId="11399" xr:uid="{02684067-EDC3-43E3-A372-FA687A07374A}"/>
    <cellStyle name="Currency 3 2 3 2 6" xfId="2419" xr:uid="{00000000-0005-0000-0000-0000110B0000}"/>
    <cellStyle name="Currency 3 2 3 2 6 2" xfId="6703" xr:uid="{00000000-0005-0000-0000-0000120B0000}"/>
    <cellStyle name="Currency 3 2 3 2 6 2 2" xfId="16029" xr:uid="{56C3F670-52DF-4294-94C7-A63AEF9AF159}"/>
    <cellStyle name="Currency 3 2 3 2 6 3" xfId="11812" xr:uid="{BB6C191F-75ED-48DC-8E71-42C855E57312}"/>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A253F877-B601-47C5-A68B-947B0FFE7A32}"/>
    <cellStyle name="Currency 3 2 3 2 8 3" xfId="12129" xr:uid="{A34443D2-1FB7-4F9D-8D8F-4ABE93BEE183}"/>
    <cellStyle name="Currency 3 2 3 2 9" xfId="4637" xr:uid="{00000000-0005-0000-0000-0000160B0000}"/>
    <cellStyle name="Currency 3 2 3 2 9 2" xfId="13963" xr:uid="{9BFA5B8C-0986-422E-A06E-BA5ED0EF1D65}"/>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FCA706C6-78D6-4C45-B29F-206818A5462B}"/>
    <cellStyle name="Currency 3 2 3 3 2 3" xfId="12304" xr:uid="{883C839F-C5FE-4F5A-873D-9F9FFEA12469}"/>
    <cellStyle name="Currency 3 2 3 3 3" xfId="5050" xr:uid="{00000000-0005-0000-0000-00001A0B0000}"/>
    <cellStyle name="Currency 3 2 3 3 3 2" xfId="14376" xr:uid="{B5D2D503-837F-4207-B42F-96D99782ABD3}"/>
    <cellStyle name="Currency 3 2 3 3 4" xfId="9318" xr:uid="{AA73873E-8E72-4FDE-A22E-F5D80E2A87B1}"/>
    <cellStyle name="Currency 3 2 3 3 5" xfId="10159" xr:uid="{AD82C940-8A76-4B6B-AA0D-FC8E895FB0EE}"/>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26CB3E3B-0BB7-400B-A011-9AAA4B0D357A}"/>
    <cellStyle name="Currency 3 2 3 4 2 3" xfId="12717" xr:uid="{04D5F968-0131-4671-B9A3-0C7DA7BEAAD7}"/>
    <cellStyle name="Currency 3 2 3 4 3" xfId="5463" xr:uid="{00000000-0005-0000-0000-00001E0B0000}"/>
    <cellStyle name="Currency 3 2 3 4 3 2" xfId="14789" xr:uid="{A8FD7BA2-6ACC-4B22-AB93-84ED07791E34}"/>
    <cellStyle name="Currency 3 2 3 4 4" xfId="10572" xr:uid="{2BF67A37-B22D-46CB-A259-958C90787714}"/>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D61987B4-A1EC-4561-A54B-9C52A8829174}"/>
    <cellStyle name="Currency 3 2 3 5 2 3" xfId="13130" xr:uid="{E5D078F9-EFD1-4083-805C-D0989CCDFD68}"/>
    <cellStyle name="Currency 3 2 3 5 3" xfId="5876" xr:uid="{00000000-0005-0000-0000-0000220B0000}"/>
    <cellStyle name="Currency 3 2 3 5 3 2" xfId="15202" xr:uid="{A279D2DF-C170-4F5C-B0A6-99B3B721B038}"/>
    <cellStyle name="Currency 3 2 3 5 4" xfId="10985" xr:uid="{79A2592C-991C-41F9-8657-3326D2AF8D65}"/>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1AA5F7E1-2CD2-4D81-BE41-122FB5A143A1}"/>
    <cellStyle name="Currency 3 2 3 6 2 3" xfId="13543" xr:uid="{36A410AB-3277-45BE-BADA-5C442A93B598}"/>
    <cellStyle name="Currency 3 2 3 6 3" xfId="6289" xr:uid="{00000000-0005-0000-0000-0000260B0000}"/>
    <cellStyle name="Currency 3 2 3 6 3 2" xfId="15615" xr:uid="{F6C099D8-D8FB-4551-B28E-14226A410E22}"/>
    <cellStyle name="Currency 3 2 3 6 4" xfId="11398" xr:uid="{8B188DB7-7FC2-42B6-BDC3-03B7244931E5}"/>
    <cellStyle name="Currency 3 2 3 7" xfId="2418" xr:uid="{00000000-0005-0000-0000-0000270B0000}"/>
    <cellStyle name="Currency 3 2 3 7 2" xfId="6702" xr:uid="{00000000-0005-0000-0000-0000280B0000}"/>
    <cellStyle name="Currency 3 2 3 7 2 2" xfId="16028" xr:uid="{FF2E81B9-717A-4469-8570-99330412FB48}"/>
    <cellStyle name="Currency 3 2 3 7 3" xfId="11811" xr:uid="{6E29117B-D777-4FD1-A919-122BB845DC3E}"/>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B93DAE9F-F624-4FB3-8486-8BBD59A0F32E}"/>
    <cellStyle name="Currency 3 2 3 9 3" xfId="12128" xr:uid="{1612BE36-5DD6-4F09-84FD-1376E2435ADF}"/>
    <cellStyle name="Currency 3 2 4" xfId="184" xr:uid="{00000000-0005-0000-0000-00002C0B0000}"/>
    <cellStyle name="Currency 3 2 4 10" xfId="8997" xr:uid="{DF9FC022-A382-4135-990F-F43A472E13BA}"/>
    <cellStyle name="Currency 3 2 4 11" xfId="9747" xr:uid="{CDDECC82-8254-41FE-AEA3-064C6D0046EB}"/>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8F4712CE-E937-4548-B24F-1144858213BD}"/>
    <cellStyle name="Currency 3 2 4 2 2 3" xfId="12306" xr:uid="{24A81D9B-5FB0-462B-B8D1-92042FF101D4}"/>
    <cellStyle name="Currency 3 2 4 2 3" xfId="5052" xr:uid="{00000000-0005-0000-0000-0000300B0000}"/>
    <cellStyle name="Currency 3 2 4 2 3 2" xfId="14378" xr:uid="{084FC877-CFA8-4D5E-A011-6B333C3BA676}"/>
    <cellStyle name="Currency 3 2 4 2 4" xfId="9422" xr:uid="{3049B7CE-611E-437A-AD0B-2E3AA5E2E50D}"/>
    <cellStyle name="Currency 3 2 4 2 5" xfId="10161" xr:uid="{BB98CDFE-6F89-4835-B117-D2FB9818E17B}"/>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DAE20D63-9BDA-4E08-9715-AA06F20BA036}"/>
    <cellStyle name="Currency 3 2 4 3 2 3" xfId="12719" xr:uid="{288BB1E6-2D72-483D-A951-5239D49C33F1}"/>
    <cellStyle name="Currency 3 2 4 3 3" xfId="5465" xr:uid="{00000000-0005-0000-0000-0000340B0000}"/>
    <cellStyle name="Currency 3 2 4 3 3 2" xfId="14791" xr:uid="{1ACCAE46-72F1-46D9-A4DC-9A3B873E9965}"/>
    <cellStyle name="Currency 3 2 4 3 4" xfId="10574" xr:uid="{D048883A-24CB-40D7-86C6-71C075FB39B6}"/>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E0812146-F030-48AF-9500-2DC8068257EC}"/>
    <cellStyle name="Currency 3 2 4 4 2 3" xfId="13132" xr:uid="{CE6573CD-8713-45D2-BCFC-C1466EA4FE05}"/>
    <cellStyle name="Currency 3 2 4 4 3" xfId="5878" xr:uid="{00000000-0005-0000-0000-0000380B0000}"/>
    <cellStyle name="Currency 3 2 4 4 3 2" xfId="15204" xr:uid="{FF0ADE70-2AD1-432A-A5D6-C195043419A9}"/>
    <cellStyle name="Currency 3 2 4 4 4" xfId="10987" xr:uid="{DD45935A-62DB-45D7-8BD3-3CE83CF2AA6D}"/>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20EEA931-6465-46BB-99B8-D0C5E3E437DA}"/>
    <cellStyle name="Currency 3 2 4 5 2 3" xfId="13545" xr:uid="{3C4D7F69-9BBC-4F3B-AD70-AB65D99E8C34}"/>
    <cellStyle name="Currency 3 2 4 5 3" xfId="6291" xr:uid="{00000000-0005-0000-0000-00003C0B0000}"/>
    <cellStyle name="Currency 3 2 4 5 3 2" xfId="15617" xr:uid="{E33E9983-F28D-40A7-869E-4FBDCE778213}"/>
    <cellStyle name="Currency 3 2 4 5 4" xfId="11400" xr:uid="{2052D485-FF78-41BA-85F9-E3DA30644C22}"/>
    <cellStyle name="Currency 3 2 4 6" xfId="2420" xr:uid="{00000000-0005-0000-0000-00003D0B0000}"/>
    <cellStyle name="Currency 3 2 4 6 2" xfId="6704" xr:uid="{00000000-0005-0000-0000-00003E0B0000}"/>
    <cellStyle name="Currency 3 2 4 6 2 2" xfId="16030" xr:uid="{160F75F3-4266-469F-910D-01479C85B964}"/>
    <cellStyle name="Currency 3 2 4 6 3" xfId="11813" xr:uid="{C1FD5376-DFE6-4D70-9D9B-DC0D32918CF8}"/>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B68A90DB-147F-484B-8D4E-500B991C5693}"/>
    <cellStyle name="Currency 3 2 4 8 3" xfId="12130" xr:uid="{A520FB0F-B0F9-4423-9999-975028FA44E9}"/>
    <cellStyle name="Currency 3 2 4 9" xfId="4638" xr:uid="{00000000-0005-0000-0000-0000420B0000}"/>
    <cellStyle name="Currency 3 2 4 9 2" xfId="13964" xr:uid="{BA9608B6-D7B3-48DA-BE98-C8000B2299A6}"/>
    <cellStyle name="Currency 3 2 5" xfId="185" xr:uid="{00000000-0005-0000-0000-0000430B0000}"/>
    <cellStyle name="Currency 3 2 5 10" xfId="9214" xr:uid="{3D0A867F-0B9D-4759-A509-3EC1084E197B}"/>
    <cellStyle name="Currency 3 2 5 11" xfId="9748" xr:uid="{FE74877B-F740-4911-A52E-6E077C3E2294}"/>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8C4535E8-EB9F-42D5-8AF8-CDFE210A6748}"/>
    <cellStyle name="Currency 3 2 5 2 2 3" xfId="12307" xr:uid="{21C222C7-B21A-4E3D-8DBE-5051234C6662}"/>
    <cellStyle name="Currency 3 2 5 2 3" xfId="5053" xr:uid="{00000000-0005-0000-0000-0000470B0000}"/>
    <cellStyle name="Currency 3 2 5 2 3 2" xfId="14379" xr:uid="{789E322B-6B9D-41E2-8966-D61899C3EB83}"/>
    <cellStyle name="Currency 3 2 5 2 4" xfId="9597" xr:uid="{6E2F978E-96E4-4AD8-B4BD-1BE9D7E96A2F}"/>
    <cellStyle name="Currency 3 2 5 2 5" xfId="10162" xr:uid="{906F8DC9-446E-4A77-A355-DDF1A014A559}"/>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C50CAD97-442E-4E0F-A1D7-2A5EAD2D1D17}"/>
    <cellStyle name="Currency 3 2 5 3 2 3" xfId="12720" xr:uid="{0DA4F99D-012F-48C5-A19A-187B22744860}"/>
    <cellStyle name="Currency 3 2 5 3 3" xfId="5466" xr:uid="{00000000-0005-0000-0000-00004B0B0000}"/>
    <cellStyle name="Currency 3 2 5 3 3 2" xfId="14792" xr:uid="{41601299-7B4A-47C5-8F4A-84B50DA913EE}"/>
    <cellStyle name="Currency 3 2 5 3 4" xfId="10575" xr:uid="{FD26AC90-3C89-41F7-BE9B-451FC72F0412}"/>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EF546B0E-2CF9-4647-AC89-3DB3C9E92CA2}"/>
    <cellStyle name="Currency 3 2 5 4 2 3" xfId="13133" xr:uid="{5EEC0182-4905-41FD-86B4-083D11E086D3}"/>
    <cellStyle name="Currency 3 2 5 4 3" xfId="5879" xr:uid="{00000000-0005-0000-0000-00004F0B0000}"/>
    <cellStyle name="Currency 3 2 5 4 3 2" xfId="15205" xr:uid="{48780BE6-F1A5-4C47-9208-3F507D0A0B59}"/>
    <cellStyle name="Currency 3 2 5 4 4" xfId="10988" xr:uid="{2E1D2FE4-FAE2-48FF-9D1C-56ACB95F29E7}"/>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B7E97A5B-6E4B-46C7-89C2-95F27DB20B11}"/>
    <cellStyle name="Currency 3 2 5 5 2 3" xfId="13546" xr:uid="{7126AB18-4C31-4586-9E4B-B1F604EB5AB0}"/>
    <cellStyle name="Currency 3 2 5 5 3" xfId="6292" xr:uid="{00000000-0005-0000-0000-0000530B0000}"/>
    <cellStyle name="Currency 3 2 5 5 3 2" xfId="15618" xr:uid="{4135B2D5-C917-4C14-9E20-A75F1C648F5E}"/>
    <cellStyle name="Currency 3 2 5 5 4" xfId="11401" xr:uid="{DECF3E4A-B235-465F-9E9E-885CABD343A4}"/>
    <cellStyle name="Currency 3 2 5 6" xfId="2421" xr:uid="{00000000-0005-0000-0000-0000540B0000}"/>
    <cellStyle name="Currency 3 2 5 6 2" xfId="6705" xr:uid="{00000000-0005-0000-0000-0000550B0000}"/>
    <cellStyle name="Currency 3 2 5 6 2 2" xfId="16031" xr:uid="{2932D766-D3BD-48A4-97C1-80C1DA06F6D0}"/>
    <cellStyle name="Currency 3 2 5 6 3" xfId="11814" xr:uid="{0E8F1A3C-9C51-4E38-ABF9-F0C1287CBEF8}"/>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3F8F9FBE-E93C-4945-9489-E7E5CFCA6D9F}"/>
    <cellStyle name="Currency 3 2 5 8 3" xfId="12131" xr:uid="{CAD1CE3F-3B0C-47BC-AC38-E4575ABB70D9}"/>
    <cellStyle name="Currency 3 2 5 9" xfId="4639" xr:uid="{00000000-0005-0000-0000-0000590B0000}"/>
    <cellStyle name="Currency 3 2 5 9 2" xfId="13965" xr:uid="{96639823-4292-45C0-9765-3E84A31AC243}"/>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39367A96-E2A5-409A-A1AC-4BDE9FA371E6}"/>
    <cellStyle name="Currency 5 2 2 2 10 3" xfId="12132" xr:uid="{A2F87491-D283-4F65-B659-E09826AD06A0}"/>
    <cellStyle name="Currency 5 2 2 2 11" xfId="4640" xr:uid="{00000000-0005-0000-0000-00006C0B0000}"/>
    <cellStyle name="Currency 5 2 2 2 11 2" xfId="13966" xr:uid="{A1735168-2E71-4567-BED7-6FE0F2EAD902}"/>
    <cellStyle name="Currency 5 2 2 2 12" xfId="8809" xr:uid="{6E2B58BA-BC61-49BF-A0FE-5BC79A050654}"/>
    <cellStyle name="Currency 5 2 2 2 13" xfId="9749" xr:uid="{62403D6A-8D4A-471C-85B5-05285DE502E8}"/>
    <cellStyle name="Currency 5 2 2 2 2" xfId="197" xr:uid="{00000000-0005-0000-0000-00006D0B0000}"/>
    <cellStyle name="Currency 5 2 2 2 2 10" xfId="4641" xr:uid="{00000000-0005-0000-0000-00006E0B0000}"/>
    <cellStyle name="Currency 5 2 2 2 2 10 2" xfId="13967" xr:uid="{9E81F5E5-9F63-4647-97AD-5B0CDE76C48B}"/>
    <cellStyle name="Currency 5 2 2 2 2 11" xfId="8912" xr:uid="{4079D27E-F98B-4445-AE20-FFD848158756}"/>
    <cellStyle name="Currency 5 2 2 2 2 12" xfId="9750" xr:uid="{98818FA4-8FEA-42EA-BAEB-7372BDB66C9E}"/>
    <cellStyle name="Currency 5 2 2 2 2 2" xfId="198" xr:uid="{00000000-0005-0000-0000-00006F0B0000}"/>
    <cellStyle name="Currency 5 2 2 2 2 2 10" xfId="9119" xr:uid="{2B97CFE9-E9FD-476D-A341-C695293642F3}"/>
    <cellStyle name="Currency 5 2 2 2 2 2 11" xfId="9751" xr:uid="{031759BB-815B-4204-B3A3-9F4D3FA3EEE8}"/>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F99BC79C-2543-4973-9809-CE418FFEB759}"/>
    <cellStyle name="Currency 5 2 2 2 2 2 2 2 3" xfId="12310" xr:uid="{A7F53CA5-35E5-485D-97AE-FC3C90B685E4}"/>
    <cellStyle name="Currency 5 2 2 2 2 2 2 3" xfId="5056" xr:uid="{00000000-0005-0000-0000-0000730B0000}"/>
    <cellStyle name="Currency 5 2 2 2 2 2 2 3 2" xfId="14382" xr:uid="{8648695E-3813-4378-A572-6E5C7B9D35EA}"/>
    <cellStyle name="Currency 5 2 2 2 2 2 2 4" xfId="9544" xr:uid="{77881B28-843C-4677-B92C-D2A5804BDB97}"/>
    <cellStyle name="Currency 5 2 2 2 2 2 2 5" xfId="10165" xr:uid="{E35D27CF-EABC-46FE-9421-B85F64C33F84}"/>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9CB17D6B-CAA0-40B2-8559-94B02294A250}"/>
    <cellStyle name="Currency 5 2 2 2 2 2 3 2 3" xfId="12723" xr:uid="{546A4C7A-E072-4B30-861E-8A9A738DB92A}"/>
    <cellStyle name="Currency 5 2 2 2 2 2 3 3" xfId="5469" xr:uid="{00000000-0005-0000-0000-0000770B0000}"/>
    <cellStyle name="Currency 5 2 2 2 2 2 3 3 2" xfId="14795" xr:uid="{0CB66183-CF17-41B3-8B1E-2D137DF33CCD}"/>
    <cellStyle name="Currency 5 2 2 2 2 2 3 4" xfId="10578" xr:uid="{7D4AF896-2C15-4FD5-86C9-C1E9D55CE723}"/>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AC10DCF3-80C3-45BD-8A32-4F7D638E4B76}"/>
    <cellStyle name="Currency 5 2 2 2 2 2 4 2 3" xfId="13136" xr:uid="{33058067-BADA-4AE6-9733-46B9552F3B7F}"/>
    <cellStyle name="Currency 5 2 2 2 2 2 4 3" xfId="5882" xr:uid="{00000000-0005-0000-0000-00007B0B0000}"/>
    <cellStyle name="Currency 5 2 2 2 2 2 4 3 2" xfId="15208" xr:uid="{2D402625-BFE8-4492-91FA-2A65E032EAD1}"/>
    <cellStyle name="Currency 5 2 2 2 2 2 4 4" xfId="10991" xr:uid="{5E0F0228-C410-453E-8963-579755BC0248}"/>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AFF76BC7-7379-4ABD-98A4-97E013BA0D18}"/>
    <cellStyle name="Currency 5 2 2 2 2 2 5 2 3" xfId="13549" xr:uid="{CC23C59A-9371-4B24-B812-E6E75813C518}"/>
    <cellStyle name="Currency 5 2 2 2 2 2 5 3" xfId="6295" xr:uid="{00000000-0005-0000-0000-00007F0B0000}"/>
    <cellStyle name="Currency 5 2 2 2 2 2 5 3 2" xfId="15621" xr:uid="{A126EB18-0F51-433C-B849-220DE6F2C0BF}"/>
    <cellStyle name="Currency 5 2 2 2 2 2 5 4" xfId="11404" xr:uid="{F4DB0065-AD78-45AD-9BB6-5E12FD825CAE}"/>
    <cellStyle name="Currency 5 2 2 2 2 2 6" xfId="2424" xr:uid="{00000000-0005-0000-0000-0000800B0000}"/>
    <cellStyle name="Currency 5 2 2 2 2 2 6 2" xfId="6708" xr:uid="{00000000-0005-0000-0000-0000810B0000}"/>
    <cellStyle name="Currency 5 2 2 2 2 2 6 2 2" xfId="16034" xr:uid="{AB53953D-8944-4074-8F3D-07970835251F}"/>
    <cellStyle name="Currency 5 2 2 2 2 2 6 3" xfId="11817" xr:uid="{AD871865-43CF-490F-85CF-9A8C5AB90BD1}"/>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3567462B-0AEF-452B-A3F5-221F6A643DF5}"/>
    <cellStyle name="Currency 5 2 2 2 2 2 8 3" xfId="12134" xr:uid="{FA022A90-9630-4CAD-BB6C-DE87735FE358}"/>
    <cellStyle name="Currency 5 2 2 2 2 2 9" xfId="4642" xr:uid="{00000000-0005-0000-0000-0000850B0000}"/>
    <cellStyle name="Currency 5 2 2 2 2 2 9 2" xfId="13968" xr:uid="{D72F146C-EA77-4588-AB4A-C9B3116A9BE2}"/>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946E3020-30FD-4472-8107-DA0B8BC6561F}"/>
    <cellStyle name="Currency 5 2 2 2 2 3 2 3" xfId="12309" xr:uid="{CF38ECC7-7FDF-4FBF-A60A-1DFECBA89FCE}"/>
    <cellStyle name="Currency 5 2 2 2 2 3 3" xfId="5055" xr:uid="{00000000-0005-0000-0000-0000890B0000}"/>
    <cellStyle name="Currency 5 2 2 2 2 3 3 2" xfId="14381" xr:uid="{22C742E0-D679-4618-AC6B-A97B9055432E}"/>
    <cellStyle name="Currency 5 2 2 2 2 3 4" xfId="9337" xr:uid="{A1FF44B9-A8E0-4A4E-9BE9-DA7FD7E326AE}"/>
    <cellStyle name="Currency 5 2 2 2 2 3 5" xfId="10164" xr:uid="{7E29CEDE-AF4B-4F31-95B0-CCCBF6A7588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DAFF5E31-7AF0-4871-A1AE-927A550FBEB8}"/>
    <cellStyle name="Currency 5 2 2 2 2 4 2 3" xfId="12722" xr:uid="{B3062F10-E046-4105-9C24-9E91E32FF29B}"/>
    <cellStyle name="Currency 5 2 2 2 2 4 3" xfId="5468" xr:uid="{00000000-0005-0000-0000-00008D0B0000}"/>
    <cellStyle name="Currency 5 2 2 2 2 4 3 2" xfId="14794" xr:uid="{248D69F8-43EA-4C41-91C6-D53D13AAEA44}"/>
    <cellStyle name="Currency 5 2 2 2 2 4 4" xfId="10577" xr:uid="{AC73F17B-1E99-42DF-9022-B08DFE364F12}"/>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19367BD4-6508-461A-A11B-239E323089CF}"/>
    <cellStyle name="Currency 5 2 2 2 2 5 2 3" xfId="13135" xr:uid="{3C068548-22D5-4438-84D0-B9EAB3BFFB8C}"/>
    <cellStyle name="Currency 5 2 2 2 2 5 3" xfId="5881" xr:uid="{00000000-0005-0000-0000-0000910B0000}"/>
    <cellStyle name="Currency 5 2 2 2 2 5 3 2" xfId="15207" xr:uid="{19CC44CF-324E-48C5-B7A6-CBFC4E2DEEB4}"/>
    <cellStyle name="Currency 5 2 2 2 2 5 4" xfId="10990" xr:uid="{90D97DD1-3447-4726-A1AD-99C3F8390B7B}"/>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D77D1E78-7322-40CF-9F86-A4FFDAF97868}"/>
    <cellStyle name="Currency 5 2 2 2 2 6 2 3" xfId="13548" xr:uid="{C3B12B0D-83BB-42E7-A3D8-BE4B2CA62FAB}"/>
    <cellStyle name="Currency 5 2 2 2 2 6 3" xfId="6294" xr:uid="{00000000-0005-0000-0000-0000950B0000}"/>
    <cellStyle name="Currency 5 2 2 2 2 6 3 2" xfId="15620" xr:uid="{DDD804C4-81BF-40C6-A558-34AD5FAC9308}"/>
    <cellStyle name="Currency 5 2 2 2 2 6 4" xfId="11403" xr:uid="{D0CEFAAC-6F13-4C31-879C-A44CCB4FE2D2}"/>
    <cellStyle name="Currency 5 2 2 2 2 7" xfId="2423" xr:uid="{00000000-0005-0000-0000-0000960B0000}"/>
    <cellStyle name="Currency 5 2 2 2 2 7 2" xfId="6707" xr:uid="{00000000-0005-0000-0000-0000970B0000}"/>
    <cellStyle name="Currency 5 2 2 2 2 7 2 2" xfId="16033" xr:uid="{A15EFB35-95C1-4D2B-ACF5-4B56A5E23C7C}"/>
    <cellStyle name="Currency 5 2 2 2 2 7 3" xfId="11816" xr:uid="{8FF844E2-1115-45AA-9691-4A7A028F2061}"/>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8076D575-5216-40E6-A02C-D61E025C4B25}"/>
    <cellStyle name="Currency 5 2 2 2 2 9 3" xfId="12133" xr:uid="{A311407D-623E-4154-87C0-336B57CA18AE}"/>
    <cellStyle name="Currency 5 2 2 2 3" xfId="199" xr:uid="{00000000-0005-0000-0000-00009B0B0000}"/>
    <cellStyle name="Currency 5 2 2 2 3 10" xfId="9016" xr:uid="{706F9706-E49D-4995-B402-A842C879DBC8}"/>
    <cellStyle name="Currency 5 2 2 2 3 11" xfId="9752" xr:uid="{05307167-52B9-481A-8FC5-94BAAC78964F}"/>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05BD4F95-94C8-4B9B-8C1D-75DD2F96DC73}"/>
    <cellStyle name="Currency 5 2 2 2 3 2 2 3" xfId="12311" xr:uid="{6AB40DDB-E5FE-4BDD-827F-66CA981C4E1A}"/>
    <cellStyle name="Currency 5 2 2 2 3 2 3" xfId="5057" xr:uid="{00000000-0005-0000-0000-00009F0B0000}"/>
    <cellStyle name="Currency 5 2 2 2 3 2 3 2" xfId="14383" xr:uid="{B98E8D36-39B8-4072-B26C-CDFEDFAB73B0}"/>
    <cellStyle name="Currency 5 2 2 2 3 2 4" xfId="9441" xr:uid="{B7048274-E02F-4E6A-9C9A-FAD4299F19B1}"/>
    <cellStyle name="Currency 5 2 2 2 3 2 5" xfId="10166" xr:uid="{335C4C9B-B185-414E-9572-0A9067283AFB}"/>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319E9A09-164F-46AB-B70C-EFA9C301D607}"/>
    <cellStyle name="Currency 5 2 2 2 3 3 2 3" xfId="12724" xr:uid="{A797880B-FDD1-4495-81AA-A8EE3B45556F}"/>
    <cellStyle name="Currency 5 2 2 2 3 3 3" xfId="5470" xr:uid="{00000000-0005-0000-0000-0000A30B0000}"/>
    <cellStyle name="Currency 5 2 2 2 3 3 3 2" xfId="14796" xr:uid="{5561CACA-8D75-49DE-A201-7F69D665DD56}"/>
    <cellStyle name="Currency 5 2 2 2 3 3 4" xfId="10579" xr:uid="{ABAA07C6-3D75-4D21-B24A-296696B8854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67282F77-2482-406B-8427-B484B552172E}"/>
    <cellStyle name="Currency 5 2 2 2 3 4 2 3" xfId="13137" xr:uid="{228381F4-F70F-4DEA-A416-34F842F79D64}"/>
    <cellStyle name="Currency 5 2 2 2 3 4 3" xfId="5883" xr:uid="{00000000-0005-0000-0000-0000A70B0000}"/>
    <cellStyle name="Currency 5 2 2 2 3 4 3 2" xfId="15209" xr:uid="{A77B3D8C-A103-4158-9E15-7A865FB32A64}"/>
    <cellStyle name="Currency 5 2 2 2 3 4 4" xfId="10992" xr:uid="{90A47D1E-4971-4D94-B95E-05A49D22A493}"/>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93987FDA-C65F-4F30-A7E0-47CA520FBA40}"/>
    <cellStyle name="Currency 5 2 2 2 3 5 2 3" xfId="13550" xr:uid="{E09D2A21-0DD0-4F1D-8EB3-7DA394CA9226}"/>
    <cellStyle name="Currency 5 2 2 2 3 5 3" xfId="6296" xr:uid="{00000000-0005-0000-0000-0000AB0B0000}"/>
    <cellStyle name="Currency 5 2 2 2 3 5 3 2" xfId="15622" xr:uid="{AF29EF11-59B0-4C76-9471-409EAB1511BC}"/>
    <cellStyle name="Currency 5 2 2 2 3 5 4" xfId="11405" xr:uid="{7C03EFDF-F011-405B-8DD5-83590A502E66}"/>
    <cellStyle name="Currency 5 2 2 2 3 6" xfId="2425" xr:uid="{00000000-0005-0000-0000-0000AC0B0000}"/>
    <cellStyle name="Currency 5 2 2 2 3 6 2" xfId="6709" xr:uid="{00000000-0005-0000-0000-0000AD0B0000}"/>
    <cellStyle name="Currency 5 2 2 2 3 6 2 2" xfId="16035" xr:uid="{B8B6EF4C-E76F-4CC0-BEB0-8EE3BC775720}"/>
    <cellStyle name="Currency 5 2 2 2 3 6 3" xfId="11818" xr:uid="{2BAC7FBE-8633-41BE-9472-94E30EA9A6E5}"/>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A52EA912-ABDD-44A1-ADBE-10339BB41EFC}"/>
    <cellStyle name="Currency 5 2 2 2 3 8 3" xfId="12135" xr:uid="{F9CB64F9-B5C7-4CCA-96C3-63784E9113A5}"/>
    <cellStyle name="Currency 5 2 2 2 3 9" xfId="4643" xr:uid="{00000000-0005-0000-0000-0000B10B0000}"/>
    <cellStyle name="Currency 5 2 2 2 3 9 2" xfId="13969" xr:uid="{639AA422-1074-4927-BC51-0BF6DBABF122}"/>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42B9B0C7-7659-485B-ABD7-DD5451E23274}"/>
    <cellStyle name="Currency 5 2 2 2 4 2 3" xfId="12308" xr:uid="{29DFA84B-3D3C-468C-9E69-673EB54C8883}"/>
    <cellStyle name="Currency 5 2 2 2 4 3" xfId="5054" xr:uid="{00000000-0005-0000-0000-0000B50B0000}"/>
    <cellStyle name="Currency 5 2 2 2 4 3 2" xfId="14380" xr:uid="{BDA78B00-EBCC-4D5B-889C-7B255ADE197B}"/>
    <cellStyle name="Currency 5 2 2 2 4 4" xfId="9234" xr:uid="{AAF147FE-13D8-48BD-A722-062B96166D61}"/>
    <cellStyle name="Currency 5 2 2 2 4 5" xfId="10163" xr:uid="{1F92807D-0734-4B99-A1DA-9AF414E14F1E}"/>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3BA53900-C95B-456E-B53A-3608534C5183}"/>
    <cellStyle name="Currency 5 2 2 2 5 2 3" xfId="12721" xr:uid="{ED856C38-B126-49EE-BF4F-B7F1EC1A0B61}"/>
    <cellStyle name="Currency 5 2 2 2 5 3" xfId="5467" xr:uid="{00000000-0005-0000-0000-0000B90B0000}"/>
    <cellStyle name="Currency 5 2 2 2 5 3 2" xfId="14793" xr:uid="{01D4CF88-E093-473B-94C2-FB21CD53EE30}"/>
    <cellStyle name="Currency 5 2 2 2 5 4" xfId="10576" xr:uid="{408C1CA9-287B-4207-9899-8DC260E8088B}"/>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9E8B76DA-71DC-4AF5-B7E6-AF289C0CAF27}"/>
    <cellStyle name="Currency 5 2 2 2 6 2 3" xfId="13134" xr:uid="{BE2BD1B5-ACDA-470A-B0B5-BBDFAA616F8D}"/>
    <cellStyle name="Currency 5 2 2 2 6 3" xfId="5880" xr:uid="{00000000-0005-0000-0000-0000BD0B0000}"/>
    <cellStyle name="Currency 5 2 2 2 6 3 2" xfId="15206" xr:uid="{B44ED1C0-8E10-4A65-8617-8FB461B1A558}"/>
    <cellStyle name="Currency 5 2 2 2 6 4" xfId="10989" xr:uid="{8B2B17E2-232A-469D-8129-8D3C966DCFE8}"/>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14A09CE1-2184-4E59-980F-87C2E5B39AC7}"/>
    <cellStyle name="Currency 5 2 2 2 7 2 3" xfId="13547" xr:uid="{4C6A7F87-DAB3-4845-A638-A098EEE1CC51}"/>
    <cellStyle name="Currency 5 2 2 2 7 3" xfId="6293" xr:uid="{00000000-0005-0000-0000-0000C10B0000}"/>
    <cellStyle name="Currency 5 2 2 2 7 3 2" xfId="15619" xr:uid="{15C1274F-3ADD-49D2-BB42-B73B7B8535A7}"/>
    <cellStyle name="Currency 5 2 2 2 7 4" xfId="11402" xr:uid="{903FF692-9E96-4460-9468-4A9498C6E5F9}"/>
    <cellStyle name="Currency 5 2 2 2 8" xfId="2422" xr:uid="{00000000-0005-0000-0000-0000C20B0000}"/>
    <cellStyle name="Currency 5 2 2 2 8 2" xfId="6706" xr:uid="{00000000-0005-0000-0000-0000C30B0000}"/>
    <cellStyle name="Currency 5 2 2 2 8 2 2" xfId="16032" xr:uid="{5ED91A4D-ED8F-4F59-ADD4-1F9DA2AE8B8B}"/>
    <cellStyle name="Currency 5 2 2 2 8 3" xfId="11815" xr:uid="{E2F3859F-1778-4A79-AEDF-B84CD6C78F30}"/>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052E0EE8-2296-449A-B0CA-CA74CD6C8CDF}"/>
    <cellStyle name="Currency 5 2 2 3 11" xfId="8890" xr:uid="{F313D4EC-7666-4BAA-9452-39176957C213}"/>
    <cellStyle name="Currency 5 2 2 3 12" xfId="9753" xr:uid="{610415B4-B1A4-4A4E-A916-B3F9F3949A4E}"/>
    <cellStyle name="Currency 5 2 2 3 2" xfId="201" xr:uid="{00000000-0005-0000-0000-0000C70B0000}"/>
    <cellStyle name="Currency 5 2 2 3 2 10" xfId="9097" xr:uid="{74199D2F-F17A-42DD-AC8B-D958FBFFCA8B}"/>
    <cellStyle name="Currency 5 2 2 3 2 11" xfId="9754" xr:uid="{BAE3D6AD-4DA5-49C1-B623-84D41CC05F52}"/>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8D69417E-3876-453D-8DF0-813FE73A920A}"/>
    <cellStyle name="Currency 5 2 2 3 2 2 2 3" xfId="12313" xr:uid="{80E6FF68-8CF7-4315-AA00-7DDDB44ACB6D}"/>
    <cellStyle name="Currency 5 2 2 3 2 2 3" xfId="5059" xr:uid="{00000000-0005-0000-0000-0000CB0B0000}"/>
    <cellStyle name="Currency 5 2 2 3 2 2 3 2" xfId="14385" xr:uid="{3ABCDE3E-83FB-406C-98F1-9EAF00DC5E09}"/>
    <cellStyle name="Currency 5 2 2 3 2 2 4" xfId="9522" xr:uid="{58EAFCD4-DA5B-47CB-A637-29DA003AA3FD}"/>
    <cellStyle name="Currency 5 2 2 3 2 2 5" xfId="10168" xr:uid="{116312AB-195B-414D-AC29-5B0283494AB6}"/>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E5DA003C-971C-4D7B-B13F-C5EFF5F030E2}"/>
    <cellStyle name="Currency 5 2 2 3 2 3 2 3" xfId="12726" xr:uid="{F0288B17-CEFF-41EF-9AE5-F946548685C6}"/>
    <cellStyle name="Currency 5 2 2 3 2 3 3" xfId="5472" xr:uid="{00000000-0005-0000-0000-0000CF0B0000}"/>
    <cellStyle name="Currency 5 2 2 3 2 3 3 2" xfId="14798" xr:uid="{20C1C7B5-D0D9-45D3-840B-BA041E734A77}"/>
    <cellStyle name="Currency 5 2 2 3 2 3 4" xfId="10581" xr:uid="{9B19F7EC-3462-4013-A7D5-97C3EEF78A49}"/>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D8326872-58D5-4A43-A9F1-4AE967EFF73B}"/>
    <cellStyle name="Currency 5 2 2 3 2 4 2 3" xfId="13139" xr:uid="{80E5EF3C-76F0-4E10-BD18-CF90F600D198}"/>
    <cellStyle name="Currency 5 2 2 3 2 4 3" xfId="5885" xr:uid="{00000000-0005-0000-0000-0000D30B0000}"/>
    <cellStyle name="Currency 5 2 2 3 2 4 3 2" xfId="15211" xr:uid="{E66BE700-FCE6-43D3-BA46-1CFBD7C80CEF}"/>
    <cellStyle name="Currency 5 2 2 3 2 4 4" xfId="10994" xr:uid="{04D48A89-058B-4730-87C8-FDB52D017D11}"/>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9B3B7A91-E4B8-448F-A299-635E734CCD92}"/>
    <cellStyle name="Currency 5 2 2 3 2 5 2 3" xfId="13552" xr:uid="{F108E80F-5B6E-41F5-90C3-EE6732114C68}"/>
    <cellStyle name="Currency 5 2 2 3 2 5 3" xfId="6298" xr:uid="{00000000-0005-0000-0000-0000D70B0000}"/>
    <cellStyle name="Currency 5 2 2 3 2 5 3 2" xfId="15624" xr:uid="{1D85C1FE-C739-4E36-BD50-E19D7FDF8626}"/>
    <cellStyle name="Currency 5 2 2 3 2 5 4" xfId="11407" xr:uid="{A1228037-DF52-4343-BD53-2D86B3DE11CB}"/>
    <cellStyle name="Currency 5 2 2 3 2 6" xfId="2427" xr:uid="{00000000-0005-0000-0000-0000D80B0000}"/>
    <cellStyle name="Currency 5 2 2 3 2 6 2" xfId="6711" xr:uid="{00000000-0005-0000-0000-0000D90B0000}"/>
    <cellStyle name="Currency 5 2 2 3 2 6 2 2" xfId="16037" xr:uid="{70FAD768-1A55-413A-B546-1A50B4E4BE49}"/>
    <cellStyle name="Currency 5 2 2 3 2 6 3" xfId="11820" xr:uid="{3876ED6D-ED2F-4699-8F6B-766A06903F76}"/>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58D20500-141A-4977-874A-131181559E48}"/>
    <cellStyle name="Currency 5 2 2 3 2 8 3" xfId="12137" xr:uid="{FCE227A7-F6C7-4AF7-A463-FA8E378CC710}"/>
    <cellStyle name="Currency 5 2 2 3 2 9" xfId="4645" xr:uid="{00000000-0005-0000-0000-0000DD0B0000}"/>
    <cellStyle name="Currency 5 2 2 3 2 9 2" xfId="13971" xr:uid="{4A3442BF-67A4-4F8A-8E20-8DC1B2FD10EE}"/>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9912D935-38D9-44F0-AF2A-75264C157A8C}"/>
    <cellStyle name="Currency 5 2 2 3 3 2 3" xfId="12312" xr:uid="{E18EE70C-BE72-4712-969E-62F4FD0C74F9}"/>
    <cellStyle name="Currency 5 2 2 3 3 3" xfId="5058" xr:uid="{00000000-0005-0000-0000-0000E10B0000}"/>
    <cellStyle name="Currency 5 2 2 3 3 3 2" xfId="14384" xr:uid="{13186EF2-87E9-49F5-92A7-2411961A7542}"/>
    <cellStyle name="Currency 5 2 2 3 3 4" xfId="9315" xr:uid="{A76EC348-1CDB-41C1-B9B8-9215FF30C619}"/>
    <cellStyle name="Currency 5 2 2 3 3 5" xfId="10167" xr:uid="{F1F2577F-777F-4C36-A34B-80697AC5605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98F56776-683F-439A-B0C8-DD2C28DA920F}"/>
    <cellStyle name="Currency 5 2 2 3 4 2 3" xfId="12725" xr:uid="{59A78F17-CF29-434C-B1A1-0D8A435838F0}"/>
    <cellStyle name="Currency 5 2 2 3 4 3" xfId="5471" xr:uid="{00000000-0005-0000-0000-0000E50B0000}"/>
    <cellStyle name="Currency 5 2 2 3 4 3 2" xfId="14797" xr:uid="{B537186E-ED8B-4381-8B3B-60101F5483DD}"/>
    <cellStyle name="Currency 5 2 2 3 4 4" xfId="10580" xr:uid="{015FFF61-CA7C-43F1-9243-A36750BECA88}"/>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8745B8CF-7B1F-4154-87E0-5FD1094B36DC}"/>
    <cellStyle name="Currency 5 2 2 3 5 2 3" xfId="13138" xr:uid="{86CBB9B0-9241-44DF-BDAA-CE9C09097F67}"/>
    <cellStyle name="Currency 5 2 2 3 5 3" xfId="5884" xr:uid="{00000000-0005-0000-0000-0000E90B0000}"/>
    <cellStyle name="Currency 5 2 2 3 5 3 2" xfId="15210" xr:uid="{A141DA41-00DA-4002-83A9-A98EAB5F7E3A}"/>
    <cellStyle name="Currency 5 2 2 3 5 4" xfId="10993" xr:uid="{D3146053-0FB5-4EC3-B300-E44DB4DAC084}"/>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5C7E85E8-3E63-4722-8BD7-40F328906C59}"/>
    <cellStyle name="Currency 5 2 2 3 6 2 3" xfId="13551" xr:uid="{25222DB6-FE54-4145-ADD6-0328B0946606}"/>
    <cellStyle name="Currency 5 2 2 3 6 3" xfId="6297" xr:uid="{00000000-0005-0000-0000-0000ED0B0000}"/>
    <cellStyle name="Currency 5 2 2 3 6 3 2" xfId="15623" xr:uid="{783250F0-E310-4345-B0AC-AD4006C2FCA3}"/>
    <cellStyle name="Currency 5 2 2 3 6 4" xfId="11406" xr:uid="{3DEAE873-DB2D-4A9D-A89A-C1727A7D41AF}"/>
    <cellStyle name="Currency 5 2 2 3 7" xfId="2426" xr:uid="{00000000-0005-0000-0000-0000EE0B0000}"/>
    <cellStyle name="Currency 5 2 2 3 7 2" xfId="6710" xr:uid="{00000000-0005-0000-0000-0000EF0B0000}"/>
    <cellStyle name="Currency 5 2 2 3 7 2 2" xfId="16036" xr:uid="{130A6DB2-6B87-4999-8582-007373FE3FE5}"/>
    <cellStyle name="Currency 5 2 2 3 7 3" xfId="11819" xr:uid="{CB27197A-5E88-4811-B0A8-92E1154842E7}"/>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B75484A8-3552-4CB7-9BB8-DA45C7AED89B}"/>
    <cellStyle name="Currency 5 2 2 3 9 3" xfId="12136" xr:uid="{3AFBF6BE-7E28-43A6-9238-24C495FDB7B9}"/>
    <cellStyle name="Currency 5 2 2 4" xfId="202" xr:uid="{00000000-0005-0000-0000-0000F30B0000}"/>
    <cellStyle name="Currency 5 2 2 4 10" xfId="8994" xr:uid="{484CCE7A-1288-4C7F-ABD6-C45948DC4EC0}"/>
    <cellStyle name="Currency 5 2 2 4 11" xfId="9755" xr:uid="{6DF4E964-C9FC-4923-AEBF-22289C046342}"/>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0E958709-31C1-4FD3-A9AA-027D5B96F0FA}"/>
    <cellStyle name="Currency 5 2 2 4 2 2 3" xfId="12314" xr:uid="{5E2CB7F9-9CF2-4FB9-B302-48C39A30D681}"/>
    <cellStyle name="Currency 5 2 2 4 2 3" xfId="5060" xr:uid="{00000000-0005-0000-0000-0000F70B0000}"/>
    <cellStyle name="Currency 5 2 2 4 2 3 2" xfId="14386" xr:uid="{BAADB726-3E1C-48D5-A920-1DB64B3CF4F6}"/>
    <cellStyle name="Currency 5 2 2 4 2 4" xfId="9419" xr:uid="{F03E4D2E-3BA9-4D5B-9C35-959DB128CBAE}"/>
    <cellStyle name="Currency 5 2 2 4 2 5" xfId="10169" xr:uid="{3B8A810A-1496-438C-BFB9-1523BB04C3E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C442A2D7-13C6-4D14-960B-76D6FA7D1BED}"/>
    <cellStyle name="Currency 5 2 2 4 3 2 3" xfId="12727" xr:uid="{7414B463-9793-4EF4-B6E5-B0FBB3CC19C3}"/>
    <cellStyle name="Currency 5 2 2 4 3 3" xfId="5473" xr:uid="{00000000-0005-0000-0000-0000FB0B0000}"/>
    <cellStyle name="Currency 5 2 2 4 3 3 2" xfId="14799" xr:uid="{526AF339-704E-4714-91AB-0CD801EE2EA9}"/>
    <cellStyle name="Currency 5 2 2 4 3 4" xfId="10582" xr:uid="{ABFE7797-1466-49A9-B073-B57FCF529BED}"/>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E3D7CBDE-6080-4DF4-87F4-E46100A608B9}"/>
    <cellStyle name="Currency 5 2 2 4 4 2 3" xfId="13140" xr:uid="{ED68E5EC-3300-45B5-9DF1-BC0434FA20B9}"/>
    <cellStyle name="Currency 5 2 2 4 4 3" xfId="5886" xr:uid="{00000000-0005-0000-0000-0000FF0B0000}"/>
    <cellStyle name="Currency 5 2 2 4 4 3 2" xfId="15212" xr:uid="{6E91D544-A875-4E75-B1C3-3F88229CE630}"/>
    <cellStyle name="Currency 5 2 2 4 4 4" xfId="10995" xr:uid="{9A722FFB-55B3-4ABE-BC18-2BD9AA47B5E7}"/>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28E38DB9-F0F2-4982-9290-4BCCD238DB7D}"/>
    <cellStyle name="Currency 5 2 2 4 5 2 3" xfId="13553" xr:uid="{C1D8F068-03E8-4EBF-8440-D993589B4F88}"/>
    <cellStyle name="Currency 5 2 2 4 5 3" xfId="6299" xr:uid="{00000000-0005-0000-0000-0000030C0000}"/>
    <cellStyle name="Currency 5 2 2 4 5 3 2" xfId="15625" xr:uid="{F920236D-7A88-48FD-AD61-2CDFD79664D3}"/>
    <cellStyle name="Currency 5 2 2 4 5 4" xfId="11408" xr:uid="{53338EFD-1156-441F-A357-96F2F50E68DD}"/>
    <cellStyle name="Currency 5 2 2 4 6" xfId="2428" xr:uid="{00000000-0005-0000-0000-0000040C0000}"/>
    <cellStyle name="Currency 5 2 2 4 6 2" xfId="6712" xr:uid="{00000000-0005-0000-0000-0000050C0000}"/>
    <cellStyle name="Currency 5 2 2 4 6 2 2" xfId="16038" xr:uid="{46DC2C87-0E37-48BA-B958-B96B1D1337F8}"/>
    <cellStyle name="Currency 5 2 2 4 6 3" xfId="11821" xr:uid="{BACA98CD-6D8C-4AFA-8063-0B82E77A4500}"/>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066AD83A-2C25-47C2-A5E6-FB7A4C0A5732}"/>
    <cellStyle name="Currency 5 2 2 4 8 3" xfId="12138" xr:uid="{D2F933EB-90A2-427B-BD1E-A19A69D281D6}"/>
    <cellStyle name="Currency 5 2 2 4 9" xfId="4646" xr:uid="{00000000-0005-0000-0000-0000090C0000}"/>
    <cellStyle name="Currency 5 2 2 4 9 2" xfId="13972" xr:uid="{A6232145-9F79-44C7-9ED8-DE05EBCAFC92}"/>
    <cellStyle name="Currency 5 2 2 5" xfId="203" xr:uid="{00000000-0005-0000-0000-00000A0C0000}"/>
    <cellStyle name="Currency 5 2 2 5 10" xfId="9211" xr:uid="{586E1D8D-A72F-44A2-BAB5-A0BAD4827F6D}"/>
    <cellStyle name="Currency 5 2 2 5 11" xfId="9756" xr:uid="{5AAF62DC-1BDF-4D7A-B264-62916F81EC61}"/>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7395DB4F-DC92-42FA-A300-DF3B06154844}"/>
    <cellStyle name="Currency 5 2 2 5 2 2 3" xfId="12315" xr:uid="{5249C7C7-22BB-4729-A472-46EE4C363FB2}"/>
    <cellStyle name="Currency 5 2 2 5 2 3" xfId="5061" xr:uid="{00000000-0005-0000-0000-00000E0C0000}"/>
    <cellStyle name="Currency 5 2 2 5 2 3 2" xfId="14387" xr:uid="{C389FA75-77B8-4524-83EA-176FBE39101E}"/>
    <cellStyle name="Currency 5 2 2 5 2 4" xfId="9598" xr:uid="{EBD3270B-608E-49E1-8A20-C5ADF81FBC1B}"/>
    <cellStyle name="Currency 5 2 2 5 2 5" xfId="10170" xr:uid="{6EF447CD-BCD0-4473-BD9B-0406A5FEB806}"/>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08F15FFA-67BC-4358-A44E-6E896EE82EEE}"/>
    <cellStyle name="Currency 5 2 2 5 3 2 3" xfId="12728" xr:uid="{9CC7F95B-2EC6-407B-B1AD-891CD2399987}"/>
    <cellStyle name="Currency 5 2 2 5 3 3" xfId="5474" xr:uid="{00000000-0005-0000-0000-0000120C0000}"/>
    <cellStyle name="Currency 5 2 2 5 3 3 2" xfId="14800" xr:uid="{282C61D9-B000-4260-B140-313678E90DFD}"/>
    <cellStyle name="Currency 5 2 2 5 3 4" xfId="10583" xr:uid="{7E249598-AE54-43A2-BDC7-ACC3B0688492}"/>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8CE89F55-A229-4E02-B8B7-59AB0B7FE6B7}"/>
    <cellStyle name="Currency 5 2 2 5 4 2 3" xfId="13141" xr:uid="{8A59F9F9-E7E8-462C-8802-760D8A64C35B}"/>
    <cellStyle name="Currency 5 2 2 5 4 3" xfId="5887" xr:uid="{00000000-0005-0000-0000-0000160C0000}"/>
    <cellStyle name="Currency 5 2 2 5 4 3 2" xfId="15213" xr:uid="{8A525AED-B40D-4989-87C1-9B3B5FBC2CA7}"/>
    <cellStyle name="Currency 5 2 2 5 4 4" xfId="10996" xr:uid="{B5FCC9C5-DE65-4EBE-8FC4-66FBA36A14A8}"/>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67460253-F802-447A-BCDB-3B35B898E185}"/>
    <cellStyle name="Currency 5 2 2 5 5 2 3" xfId="13554" xr:uid="{3975CE9B-E716-4F2C-9A88-8424885743FA}"/>
    <cellStyle name="Currency 5 2 2 5 5 3" xfId="6300" xr:uid="{00000000-0005-0000-0000-00001A0C0000}"/>
    <cellStyle name="Currency 5 2 2 5 5 3 2" xfId="15626" xr:uid="{BC11CB52-7872-4566-BA89-98EED9C07C90}"/>
    <cellStyle name="Currency 5 2 2 5 5 4" xfId="11409" xr:uid="{C2E9BA30-A13D-47BE-9971-E97AAEE790FF}"/>
    <cellStyle name="Currency 5 2 2 5 6" xfId="2429" xr:uid="{00000000-0005-0000-0000-00001B0C0000}"/>
    <cellStyle name="Currency 5 2 2 5 6 2" xfId="6713" xr:uid="{00000000-0005-0000-0000-00001C0C0000}"/>
    <cellStyle name="Currency 5 2 2 5 6 2 2" xfId="16039" xr:uid="{FB8F055A-5DA5-4164-A128-6BD8DB1638AA}"/>
    <cellStyle name="Currency 5 2 2 5 6 3" xfId="11822" xr:uid="{1EF16DA4-075D-4B39-98A9-F325362D4CB7}"/>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5C217B3F-55B3-4531-87E9-43F260B7DA38}"/>
    <cellStyle name="Currency 5 2 2 5 8 3" xfId="12139" xr:uid="{2CA03C15-CB6F-4FF1-9F38-D9041D8A7DD9}"/>
    <cellStyle name="Currency 5 2 2 5 9" xfId="4647" xr:uid="{00000000-0005-0000-0000-0000200C0000}"/>
    <cellStyle name="Currency 5 2 2 5 9 2" xfId="13973" xr:uid="{08279719-E11E-44B5-A1CC-8F726878FE32}"/>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503D152D-D10A-4CF1-BE96-CB1D34A97AB7}"/>
    <cellStyle name="Currency 5 2 4 11" xfId="8859" xr:uid="{D3A5F8AD-5F4E-4BEA-A9B4-9A705A015524}"/>
    <cellStyle name="Currency 5 2 4 12" xfId="9757" xr:uid="{7697DD17-4FA7-412E-9C58-F0AE5EE5446F}"/>
    <cellStyle name="Currency 5 2 4 2" xfId="206" xr:uid="{00000000-0005-0000-0000-0000250C0000}"/>
    <cellStyle name="Currency 5 2 4 2 10" xfId="9066" xr:uid="{2F7A28AF-2120-4AAF-A58B-33C2E07F597D}"/>
    <cellStyle name="Currency 5 2 4 2 11" xfId="9758" xr:uid="{4E1735ED-08E4-4024-9671-A15FF9079E9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D9F0A375-A3B3-4EF7-9FB3-02CCFB988A08}"/>
    <cellStyle name="Currency 5 2 4 2 2 2 3" xfId="12317" xr:uid="{29B95649-83B6-417F-B4A6-0C9AC0EAFF6F}"/>
    <cellStyle name="Currency 5 2 4 2 2 3" xfId="5063" xr:uid="{00000000-0005-0000-0000-0000290C0000}"/>
    <cellStyle name="Currency 5 2 4 2 2 3 2" xfId="14389" xr:uid="{FAC2674D-A614-4F0A-A85C-BA15936B4F33}"/>
    <cellStyle name="Currency 5 2 4 2 2 4" xfId="9491" xr:uid="{64B868C7-9024-4970-9E74-7DF82417BD7A}"/>
    <cellStyle name="Currency 5 2 4 2 2 5" xfId="10172" xr:uid="{18CE85E8-AE31-4B6E-A3E7-5AE2126090B9}"/>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E46918B6-D1D8-4529-97B8-2FAB65EF76E2}"/>
    <cellStyle name="Currency 5 2 4 2 3 2 3" xfId="12730" xr:uid="{83C30D7F-FDB2-4E66-842E-E71151E7035C}"/>
    <cellStyle name="Currency 5 2 4 2 3 3" xfId="5476" xr:uid="{00000000-0005-0000-0000-00002D0C0000}"/>
    <cellStyle name="Currency 5 2 4 2 3 3 2" xfId="14802" xr:uid="{5B770315-5C2E-4D9F-A394-C5C3B504B9E6}"/>
    <cellStyle name="Currency 5 2 4 2 3 4" xfId="10585" xr:uid="{F83E6FA1-E788-4B31-AD66-53753B4C4B2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73450A44-19FE-41B6-921B-EFC4E4BBDCC2}"/>
    <cellStyle name="Currency 5 2 4 2 4 2 3" xfId="13143" xr:uid="{FE4777BA-DEE7-40CB-88D6-AFF64349202A}"/>
    <cellStyle name="Currency 5 2 4 2 4 3" xfId="5889" xr:uid="{00000000-0005-0000-0000-0000310C0000}"/>
    <cellStyle name="Currency 5 2 4 2 4 3 2" xfId="15215" xr:uid="{3469B3CD-46AE-43C2-ADE0-A53D9C944CFA}"/>
    <cellStyle name="Currency 5 2 4 2 4 4" xfId="10998" xr:uid="{20F15A63-35AC-4A15-BC48-59959B9015BD}"/>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0CFDBDD9-EA1E-412C-83A6-57E1A10997F2}"/>
    <cellStyle name="Currency 5 2 4 2 5 2 3" xfId="13556" xr:uid="{0CD9FCAA-2359-4F14-BE0E-508497EAEB7A}"/>
    <cellStyle name="Currency 5 2 4 2 5 3" xfId="6302" xr:uid="{00000000-0005-0000-0000-0000350C0000}"/>
    <cellStyle name="Currency 5 2 4 2 5 3 2" xfId="15628" xr:uid="{F4E587BB-01BC-49C8-9918-3EBF71A06772}"/>
    <cellStyle name="Currency 5 2 4 2 5 4" xfId="11411" xr:uid="{E415E763-6AC1-496A-A56C-3ABECFF1280C}"/>
    <cellStyle name="Currency 5 2 4 2 6" xfId="2431" xr:uid="{00000000-0005-0000-0000-0000360C0000}"/>
    <cellStyle name="Currency 5 2 4 2 6 2" xfId="6715" xr:uid="{00000000-0005-0000-0000-0000370C0000}"/>
    <cellStyle name="Currency 5 2 4 2 6 2 2" xfId="16041" xr:uid="{99F8F55F-6E20-418C-94C3-A80998299C6F}"/>
    <cellStyle name="Currency 5 2 4 2 6 3" xfId="11824" xr:uid="{7983442A-49F9-4C47-9908-868E08F9BD7B}"/>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EA4EE921-06C2-43E9-8A69-950F455A9006}"/>
    <cellStyle name="Currency 5 2 4 2 8 3" xfId="12141" xr:uid="{F6818977-6624-4BF9-B04D-073E2163E73B}"/>
    <cellStyle name="Currency 5 2 4 2 9" xfId="4649" xr:uid="{00000000-0005-0000-0000-00003B0C0000}"/>
    <cellStyle name="Currency 5 2 4 2 9 2" xfId="13975" xr:uid="{44D93473-2A0A-493C-9FE8-BE6444035524}"/>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4A547D76-6698-49F2-9423-A7AC2E4DEA9D}"/>
    <cellStyle name="Currency 5 2 4 3 2 3" xfId="12316" xr:uid="{A68F670C-E905-44FA-9405-1C2919B2D476}"/>
    <cellStyle name="Currency 5 2 4 3 3" xfId="5062" xr:uid="{00000000-0005-0000-0000-00003F0C0000}"/>
    <cellStyle name="Currency 5 2 4 3 3 2" xfId="14388" xr:uid="{6B0D99E2-019E-40AB-B16E-DDA4A3552DE9}"/>
    <cellStyle name="Currency 5 2 4 3 4" xfId="9284" xr:uid="{1D0B72AC-AFAC-428F-8BF0-6DFF9565613D}"/>
    <cellStyle name="Currency 5 2 4 3 5" xfId="10171" xr:uid="{FF685B10-615D-4946-9B67-F4FC7D12F08C}"/>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985E7499-6F92-427C-9639-C59C04DDD864}"/>
    <cellStyle name="Currency 5 2 4 4 2 3" xfId="12729" xr:uid="{9D7CC578-77BB-4264-8BEF-7C5BF7508CA3}"/>
    <cellStyle name="Currency 5 2 4 4 3" xfId="5475" xr:uid="{00000000-0005-0000-0000-0000430C0000}"/>
    <cellStyle name="Currency 5 2 4 4 3 2" xfId="14801" xr:uid="{6E22C08F-3AB3-4729-8B94-B1BD29E79F68}"/>
    <cellStyle name="Currency 5 2 4 4 4" xfId="10584" xr:uid="{09CAB41F-3156-4067-B8D7-26E41745AB15}"/>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775D2CFE-F44F-45CD-A04C-EB4941FBF5B7}"/>
    <cellStyle name="Currency 5 2 4 5 2 3" xfId="13142" xr:uid="{7DC77DA7-64A0-45E1-933B-C326D0875864}"/>
    <cellStyle name="Currency 5 2 4 5 3" xfId="5888" xr:uid="{00000000-0005-0000-0000-0000470C0000}"/>
    <cellStyle name="Currency 5 2 4 5 3 2" xfId="15214" xr:uid="{DA8931FE-55CA-4E54-8F7B-1C678A9D7DE8}"/>
    <cellStyle name="Currency 5 2 4 5 4" xfId="10997" xr:uid="{C75EE006-BA62-44B5-9744-E157EFF3A515}"/>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5F775965-DBAF-4A0B-8BF4-5C6547F42F92}"/>
    <cellStyle name="Currency 5 2 4 6 2 3" xfId="13555" xr:uid="{D2C36D82-B5D8-4198-9142-A814945518E8}"/>
    <cellStyle name="Currency 5 2 4 6 3" xfId="6301" xr:uid="{00000000-0005-0000-0000-00004B0C0000}"/>
    <cellStyle name="Currency 5 2 4 6 3 2" xfId="15627" xr:uid="{F768A7F0-EE3E-4A1D-8237-2D8B1FCA6246}"/>
    <cellStyle name="Currency 5 2 4 6 4" xfId="11410" xr:uid="{321424BE-8AEA-405F-944A-51E6B176C9D7}"/>
    <cellStyle name="Currency 5 2 4 7" xfId="2430" xr:uid="{00000000-0005-0000-0000-00004C0C0000}"/>
    <cellStyle name="Currency 5 2 4 7 2" xfId="6714" xr:uid="{00000000-0005-0000-0000-00004D0C0000}"/>
    <cellStyle name="Currency 5 2 4 7 2 2" xfId="16040" xr:uid="{A2B0D6D6-723E-4C6A-86FE-4892EC750C4E}"/>
    <cellStyle name="Currency 5 2 4 7 3" xfId="11823" xr:uid="{32271452-C6DB-498D-9101-C4C9534DEEA0}"/>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7C991B6D-ECC9-40CD-B198-1F480CB67740}"/>
    <cellStyle name="Currency 5 2 4 9 3" xfId="12140" xr:uid="{955FFCEE-73BE-4F5F-B87F-6623969E5496}"/>
    <cellStyle name="Currency 5 2 5" xfId="207" xr:uid="{00000000-0005-0000-0000-0000510C0000}"/>
    <cellStyle name="Currency 5 2 5 10" xfId="8975" xr:uid="{3422EC31-C47F-46E0-A50C-FE05B1979387}"/>
    <cellStyle name="Currency 5 2 5 11" xfId="9759" xr:uid="{9301675F-06A5-491E-BCFA-5D5B48BF1D1E}"/>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C3E4EC3B-2184-41BE-A9BF-7DECEF83F0BD}"/>
    <cellStyle name="Currency 5 2 5 2 2 3" xfId="12318" xr:uid="{5CB49126-70C8-484B-9414-50E9E6E183C2}"/>
    <cellStyle name="Currency 5 2 5 2 3" xfId="5064" xr:uid="{00000000-0005-0000-0000-0000550C0000}"/>
    <cellStyle name="Currency 5 2 5 2 3 2" xfId="14390" xr:uid="{D88EAC31-C486-4F37-9719-CA0CF24CB668}"/>
    <cellStyle name="Currency 5 2 5 2 4" xfId="9400" xr:uid="{6620DDCD-05C0-4AFD-8A83-F1190101CCB3}"/>
    <cellStyle name="Currency 5 2 5 2 5" xfId="10173" xr:uid="{63C62F5B-5509-47F6-B9A5-D2C3DB26419C}"/>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04B2AC22-FF3F-4E37-A826-E5D21F7DE542}"/>
    <cellStyle name="Currency 5 2 5 3 2 3" xfId="12731" xr:uid="{B6365072-59A7-418E-843E-6D81029A6995}"/>
    <cellStyle name="Currency 5 2 5 3 3" xfId="5477" xr:uid="{00000000-0005-0000-0000-0000590C0000}"/>
    <cellStyle name="Currency 5 2 5 3 3 2" xfId="14803" xr:uid="{96F2620D-DACD-449A-925D-88653FE98EB0}"/>
    <cellStyle name="Currency 5 2 5 3 4" xfId="10586" xr:uid="{9772E7BD-61E5-42FF-83E4-A0C8344BB94E}"/>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B4882EC5-E90C-4C2B-AF4F-7BDDB6913032}"/>
    <cellStyle name="Currency 5 2 5 4 2 3" xfId="13144" xr:uid="{D989F2E2-6FAC-435E-B2E8-B1F9C4FA297B}"/>
    <cellStyle name="Currency 5 2 5 4 3" xfId="5890" xr:uid="{00000000-0005-0000-0000-00005D0C0000}"/>
    <cellStyle name="Currency 5 2 5 4 3 2" xfId="15216" xr:uid="{20D8492A-9DE4-459C-AEB2-3A07640B4285}"/>
    <cellStyle name="Currency 5 2 5 4 4" xfId="10999" xr:uid="{F95598D1-A9AA-4163-BFD2-AD3AFE830539}"/>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CC628047-EBEC-4F11-BC84-0D47076BF2D3}"/>
    <cellStyle name="Currency 5 2 5 5 2 3" xfId="13557" xr:uid="{568106F1-A6D7-4A11-8C00-D099A68591BD}"/>
    <cellStyle name="Currency 5 2 5 5 3" xfId="6303" xr:uid="{00000000-0005-0000-0000-0000610C0000}"/>
    <cellStyle name="Currency 5 2 5 5 3 2" xfId="15629" xr:uid="{3539A20F-C81F-4DD6-A600-2828AC42E80C}"/>
    <cellStyle name="Currency 5 2 5 5 4" xfId="11412" xr:uid="{F38288B5-F2BD-41B5-A74C-FE2DB2AAA62D}"/>
    <cellStyle name="Currency 5 2 5 6" xfId="2432" xr:uid="{00000000-0005-0000-0000-0000620C0000}"/>
    <cellStyle name="Currency 5 2 5 6 2" xfId="6716" xr:uid="{00000000-0005-0000-0000-0000630C0000}"/>
    <cellStyle name="Currency 5 2 5 6 2 2" xfId="16042" xr:uid="{0145A2EA-AAE6-493E-99ED-18D71621E613}"/>
    <cellStyle name="Currency 5 2 5 6 3" xfId="11825" xr:uid="{F57EBEBF-B374-426D-A846-CE065EBA0EF0}"/>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EB40EEB2-97FC-4897-99F4-23A0256FDD9A}"/>
    <cellStyle name="Currency 5 2 5 8 3" xfId="12142" xr:uid="{519ABF8A-612A-4C01-B7F3-4812FA63A7DF}"/>
    <cellStyle name="Currency 5 2 5 9" xfId="4650" xr:uid="{00000000-0005-0000-0000-0000670C0000}"/>
    <cellStyle name="Currency 5 2 5 9 2" xfId="13976" xr:uid="{20CC46D6-EFB4-4D28-B6B0-E9FC8E4E6404}"/>
    <cellStyle name="Currency 5 2 6" xfId="208" xr:uid="{00000000-0005-0000-0000-0000680C0000}"/>
    <cellStyle name="Currency 5 2 6 10" xfId="9178" xr:uid="{19F6D70E-88E4-4E39-A1A9-3FF3D840E2F9}"/>
    <cellStyle name="Currency 5 2 6 11" xfId="9760" xr:uid="{BF84AF56-E898-41C0-A806-3B9739CDBF5A}"/>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81A48697-1409-446B-8085-D3868202E223}"/>
    <cellStyle name="Currency 5 2 6 2 2 3" xfId="12319" xr:uid="{16B21211-2119-4E05-84A6-B593BB72DEDC}"/>
    <cellStyle name="Currency 5 2 6 2 3" xfId="5065" xr:uid="{00000000-0005-0000-0000-00006C0C0000}"/>
    <cellStyle name="Currency 5 2 6 2 3 2" xfId="14391" xr:uid="{FF3CFAD1-A347-4C12-8E8B-47A5F9384F98}"/>
    <cellStyle name="Currency 5 2 6 2 4" xfId="9599" xr:uid="{C2EE182C-D73D-4E6C-9671-0484CB4E8D68}"/>
    <cellStyle name="Currency 5 2 6 2 5" xfId="10174" xr:uid="{EB10A871-7549-4A41-AC2F-9CDE7BCD5AF9}"/>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CDF2EF4E-7BF5-4C9B-A04C-1E73C0955D6E}"/>
    <cellStyle name="Currency 5 2 6 3 2 3" xfId="12732" xr:uid="{647E5A9F-E883-4E30-9C98-32A7EAB3A576}"/>
    <cellStyle name="Currency 5 2 6 3 3" xfId="5478" xr:uid="{00000000-0005-0000-0000-0000700C0000}"/>
    <cellStyle name="Currency 5 2 6 3 3 2" xfId="14804" xr:uid="{F7EDAD77-9AB5-4AB6-800F-1B60BFABD4AF}"/>
    <cellStyle name="Currency 5 2 6 3 4" xfId="10587" xr:uid="{11C14C2E-2748-45F3-BA00-A2DE80903F24}"/>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9F699A94-F747-4D42-8157-B80D70EAE921}"/>
    <cellStyle name="Currency 5 2 6 4 2 3" xfId="13145" xr:uid="{DB8EEDC5-AAC9-4237-BF84-B5581FAE148B}"/>
    <cellStyle name="Currency 5 2 6 4 3" xfId="5891" xr:uid="{00000000-0005-0000-0000-0000740C0000}"/>
    <cellStyle name="Currency 5 2 6 4 3 2" xfId="15217" xr:uid="{B9E3FA61-726D-4768-AF81-1FA62B3A3706}"/>
    <cellStyle name="Currency 5 2 6 4 4" xfId="11000" xr:uid="{DA1A1741-CD22-4327-8532-0966FA80581D}"/>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FEB7098C-C408-4537-AC9D-9E0EDCBED41B}"/>
    <cellStyle name="Currency 5 2 6 5 2 3" xfId="13558" xr:uid="{8773D43F-BE68-4064-A787-32031A9BF303}"/>
    <cellStyle name="Currency 5 2 6 5 3" xfId="6304" xr:uid="{00000000-0005-0000-0000-0000780C0000}"/>
    <cellStyle name="Currency 5 2 6 5 3 2" xfId="15630" xr:uid="{E7F7D268-CC49-41B3-AD49-5013CCF32D97}"/>
    <cellStyle name="Currency 5 2 6 5 4" xfId="11413" xr:uid="{D74E224E-736F-4A41-AE4A-0514356ABD19}"/>
    <cellStyle name="Currency 5 2 6 6" xfId="2433" xr:uid="{00000000-0005-0000-0000-0000790C0000}"/>
    <cellStyle name="Currency 5 2 6 6 2" xfId="6717" xr:uid="{00000000-0005-0000-0000-00007A0C0000}"/>
    <cellStyle name="Currency 5 2 6 6 2 2" xfId="16043" xr:uid="{91E0AE03-855C-4E4A-8018-4D8E74293B10}"/>
    <cellStyle name="Currency 5 2 6 6 3" xfId="11826" xr:uid="{60B54287-7F63-4DB5-9C12-E519C7A3220B}"/>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D3E44EC1-86DB-4609-B868-24D3F056D820}"/>
    <cellStyle name="Currency 5 2 6 8 3" xfId="12143" xr:uid="{6DC628D3-9A34-4434-9568-B6A980A233D8}"/>
    <cellStyle name="Currency 5 2 6 9" xfId="4651" xr:uid="{00000000-0005-0000-0000-00007E0C0000}"/>
    <cellStyle name="Currency 5 2 6 9 2" xfId="13977" xr:uid="{62B49DBF-1E3B-4A7B-8293-AD662E25781F}"/>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79AFB845-5612-47BD-B670-AD7A5B493BDB}"/>
    <cellStyle name="Currency 5 3 2 10 3" xfId="12144" xr:uid="{9D2F06EB-A3F3-4F9E-9C60-198B8F2CFD46}"/>
    <cellStyle name="Currency 5 3 2 11" xfId="4652" xr:uid="{00000000-0005-0000-0000-0000840C0000}"/>
    <cellStyle name="Currency 5 3 2 11 2" xfId="13978" xr:uid="{A5DB610E-836A-4E1F-AA1E-53B4B81979A1}"/>
    <cellStyle name="Currency 5 3 2 12" xfId="8810" xr:uid="{C5234FF9-D509-4CD8-ADA1-D3604CCF3D1F}"/>
    <cellStyle name="Currency 5 3 2 13" xfId="9761" xr:uid="{7AA44694-32CC-44F7-BBBF-71B0F74D915A}"/>
    <cellStyle name="Currency 5 3 2 2" xfId="211" xr:uid="{00000000-0005-0000-0000-0000850C0000}"/>
    <cellStyle name="Currency 5 3 2 2 10" xfId="4653" xr:uid="{00000000-0005-0000-0000-0000860C0000}"/>
    <cellStyle name="Currency 5 3 2 2 10 2" xfId="13979" xr:uid="{D72F9259-B56D-4F1A-A398-63E412508DCA}"/>
    <cellStyle name="Currency 5 3 2 2 11" xfId="8913" xr:uid="{FE033F82-2F16-4925-9899-F927AB9AA612}"/>
    <cellStyle name="Currency 5 3 2 2 12" xfId="9762" xr:uid="{DAF25B3E-B183-4D15-91CB-86B231BF8DF7}"/>
    <cellStyle name="Currency 5 3 2 2 2" xfId="212" xr:uid="{00000000-0005-0000-0000-0000870C0000}"/>
    <cellStyle name="Currency 5 3 2 2 2 10" xfId="9120" xr:uid="{D5536A1F-8418-4CB5-B1E0-470AD716374A}"/>
    <cellStyle name="Currency 5 3 2 2 2 11" xfId="9763" xr:uid="{91240FDC-3404-4367-8A14-BB9534C3E55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D13337F2-9DB8-4D11-A3B3-DE6E0AF33D3D}"/>
    <cellStyle name="Currency 5 3 2 2 2 2 2 3" xfId="12322" xr:uid="{E6B2CE20-329B-4333-9A2F-178E50AACD63}"/>
    <cellStyle name="Currency 5 3 2 2 2 2 3" xfId="5068" xr:uid="{00000000-0005-0000-0000-00008B0C0000}"/>
    <cellStyle name="Currency 5 3 2 2 2 2 3 2" xfId="14394" xr:uid="{121F2C78-C78A-49D1-9351-21372FE1CEB9}"/>
    <cellStyle name="Currency 5 3 2 2 2 2 4" xfId="9545" xr:uid="{F6C268D6-0334-42F7-AE4F-535ADD09B625}"/>
    <cellStyle name="Currency 5 3 2 2 2 2 5" xfId="10177" xr:uid="{BC2A3328-1BCD-4635-A58F-4EAB4D583BE3}"/>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02C7A1A0-6905-4A37-98E2-C9B2F1F5AF8E}"/>
    <cellStyle name="Currency 5 3 2 2 2 3 2 3" xfId="12735" xr:uid="{AF5D340F-0BF9-480E-9EB7-D8A2855AB14F}"/>
    <cellStyle name="Currency 5 3 2 2 2 3 3" xfId="5481" xr:uid="{00000000-0005-0000-0000-00008F0C0000}"/>
    <cellStyle name="Currency 5 3 2 2 2 3 3 2" xfId="14807" xr:uid="{22533DEA-C6D6-4890-856E-6CAC9FC8A51C}"/>
    <cellStyle name="Currency 5 3 2 2 2 3 4" xfId="10590" xr:uid="{26479DEA-63C3-467D-B16A-30A752E76B9E}"/>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A9E68B37-08F3-4355-A30B-C241D68BEC62}"/>
    <cellStyle name="Currency 5 3 2 2 2 4 2 3" xfId="13148" xr:uid="{1A7D091C-5A49-4361-BE50-C641B0BCC14C}"/>
    <cellStyle name="Currency 5 3 2 2 2 4 3" xfId="5894" xr:uid="{00000000-0005-0000-0000-0000930C0000}"/>
    <cellStyle name="Currency 5 3 2 2 2 4 3 2" xfId="15220" xr:uid="{DCD0DF50-C014-40F9-B0AF-38880FA01B19}"/>
    <cellStyle name="Currency 5 3 2 2 2 4 4" xfId="11003" xr:uid="{83B26657-9B20-4006-9A31-379A8AD65594}"/>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5B9DE904-3864-4526-8A08-ABFC90336225}"/>
    <cellStyle name="Currency 5 3 2 2 2 5 2 3" xfId="13561" xr:uid="{863BEDA3-5838-45AE-8EEA-DF035FDD0B84}"/>
    <cellStyle name="Currency 5 3 2 2 2 5 3" xfId="6307" xr:uid="{00000000-0005-0000-0000-0000970C0000}"/>
    <cellStyle name="Currency 5 3 2 2 2 5 3 2" xfId="15633" xr:uid="{098AD56E-E1A8-4C02-80F6-8DE023CBBF34}"/>
    <cellStyle name="Currency 5 3 2 2 2 5 4" xfId="11416" xr:uid="{6933D23C-1F69-481B-B125-C053C850EB4D}"/>
    <cellStyle name="Currency 5 3 2 2 2 6" xfId="2436" xr:uid="{00000000-0005-0000-0000-0000980C0000}"/>
    <cellStyle name="Currency 5 3 2 2 2 6 2" xfId="6720" xr:uid="{00000000-0005-0000-0000-0000990C0000}"/>
    <cellStyle name="Currency 5 3 2 2 2 6 2 2" xfId="16046" xr:uid="{CFB6377E-5A62-4D7E-82A1-9C97767B16AA}"/>
    <cellStyle name="Currency 5 3 2 2 2 6 3" xfId="11829" xr:uid="{671A8C06-EB52-4C65-B6F4-C3A4CAE601FE}"/>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C926BA25-CB4E-4E60-8C0F-43649C8B7E20}"/>
    <cellStyle name="Currency 5 3 2 2 2 8 3" xfId="12146" xr:uid="{9A1755D3-A558-4565-B06D-0A61CEADF302}"/>
    <cellStyle name="Currency 5 3 2 2 2 9" xfId="4654" xr:uid="{00000000-0005-0000-0000-00009D0C0000}"/>
    <cellStyle name="Currency 5 3 2 2 2 9 2" xfId="13980" xr:uid="{E8E54B98-BA1F-4061-AE40-3078345189DE}"/>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39FBB372-CFD6-4B74-87A7-94B6049591EC}"/>
    <cellStyle name="Currency 5 3 2 2 3 2 3" xfId="12321" xr:uid="{17273756-C830-4139-B5CE-102898D9E95B}"/>
    <cellStyle name="Currency 5 3 2 2 3 3" xfId="5067" xr:uid="{00000000-0005-0000-0000-0000A10C0000}"/>
    <cellStyle name="Currency 5 3 2 2 3 3 2" xfId="14393" xr:uid="{5D7019E1-8CD6-4089-9407-441266EB029B}"/>
    <cellStyle name="Currency 5 3 2 2 3 4" xfId="9338" xr:uid="{E79296CA-9516-4DDA-84B2-A3B13AAA9D9D}"/>
    <cellStyle name="Currency 5 3 2 2 3 5" xfId="10176" xr:uid="{EB560898-BC40-46FD-81F6-894B55FA133C}"/>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67DEBBA9-97B8-46A4-94DD-5C2EB5DE151A}"/>
    <cellStyle name="Currency 5 3 2 2 4 2 3" xfId="12734" xr:uid="{FCF06516-E842-430C-8AAF-FA469DEACA4E}"/>
    <cellStyle name="Currency 5 3 2 2 4 3" xfId="5480" xr:uid="{00000000-0005-0000-0000-0000A50C0000}"/>
    <cellStyle name="Currency 5 3 2 2 4 3 2" xfId="14806" xr:uid="{DB10ED14-8793-432B-8F3E-A92C4314EE57}"/>
    <cellStyle name="Currency 5 3 2 2 4 4" xfId="10589" xr:uid="{1D7DABD5-2CDB-47E3-981D-39F5C3FE1666}"/>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C420B910-6DB1-4C34-B1F2-7F1EA5FB0B44}"/>
    <cellStyle name="Currency 5 3 2 2 5 2 3" xfId="13147" xr:uid="{5CCE110C-784D-458B-A18F-E9DAF7B5BD2C}"/>
    <cellStyle name="Currency 5 3 2 2 5 3" xfId="5893" xr:uid="{00000000-0005-0000-0000-0000A90C0000}"/>
    <cellStyle name="Currency 5 3 2 2 5 3 2" xfId="15219" xr:uid="{8A3620FF-83C3-45BD-9AA1-184B4F60B18D}"/>
    <cellStyle name="Currency 5 3 2 2 5 4" xfId="11002" xr:uid="{F0F3BF67-C70F-4526-BC5F-BD84E9BEFE8E}"/>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825A1703-FF3B-4E99-8CB9-16805379A3C8}"/>
    <cellStyle name="Currency 5 3 2 2 6 2 3" xfId="13560" xr:uid="{B05A0E4B-6090-4EB3-BAAE-3457401C1E80}"/>
    <cellStyle name="Currency 5 3 2 2 6 3" xfId="6306" xr:uid="{00000000-0005-0000-0000-0000AD0C0000}"/>
    <cellStyle name="Currency 5 3 2 2 6 3 2" xfId="15632" xr:uid="{6E3C6A6E-010B-4FD2-9A48-C7FB5EB237EF}"/>
    <cellStyle name="Currency 5 3 2 2 6 4" xfId="11415" xr:uid="{78011818-BA69-4648-9D09-A5DD22A43CB7}"/>
    <cellStyle name="Currency 5 3 2 2 7" xfId="2435" xr:uid="{00000000-0005-0000-0000-0000AE0C0000}"/>
    <cellStyle name="Currency 5 3 2 2 7 2" xfId="6719" xr:uid="{00000000-0005-0000-0000-0000AF0C0000}"/>
    <cellStyle name="Currency 5 3 2 2 7 2 2" xfId="16045" xr:uid="{39EB5F65-BAD4-4BE8-A099-C51C25DBFA41}"/>
    <cellStyle name="Currency 5 3 2 2 7 3" xfId="11828" xr:uid="{F443B679-984B-4E71-97E1-5584452E3E84}"/>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672C6A53-5313-4182-B17A-3532391B99F7}"/>
    <cellStyle name="Currency 5 3 2 2 9 3" xfId="12145" xr:uid="{9C5D5A56-88AE-451C-B2D8-056A99E54D68}"/>
    <cellStyle name="Currency 5 3 2 3" xfId="213" xr:uid="{00000000-0005-0000-0000-0000B30C0000}"/>
    <cellStyle name="Currency 5 3 2 3 10" xfId="9017" xr:uid="{A6213F8D-EE09-4095-B9BE-99C55DEE210F}"/>
    <cellStyle name="Currency 5 3 2 3 11" xfId="9764" xr:uid="{4E408D4F-5A35-422C-96FC-DC8D5AA6014D}"/>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0CB4E04A-C13A-41BB-9032-1CF8F39E9DBD}"/>
    <cellStyle name="Currency 5 3 2 3 2 2 3" xfId="12323" xr:uid="{0A880859-0477-44EF-A8D2-533E4EEAE7FC}"/>
    <cellStyle name="Currency 5 3 2 3 2 3" xfId="5069" xr:uid="{00000000-0005-0000-0000-0000B70C0000}"/>
    <cellStyle name="Currency 5 3 2 3 2 3 2" xfId="14395" xr:uid="{1EEE3203-599B-445B-A5FF-6D07D1D40A3C}"/>
    <cellStyle name="Currency 5 3 2 3 2 4" xfId="9442" xr:uid="{AE48BD1F-B5DA-4007-BBEE-128FE2FE74D7}"/>
    <cellStyle name="Currency 5 3 2 3 2 5" xfId="10178" xr:uid="{9DBFC002-1E7D-4819-BC85-244217840F25}"/>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C6D3C527-701F-473A-809F-02635127B3C9}"/>
    <cellStyle name="Currency 5 3 2 3 3 2 3" xfId="12736" xr:uid="{EC71EF0C-BEC3-4925-BE1E-B7C55CBD9A19}"/>
    <cellStyle name="Currency 5 3 2 3 3 3" xfId="5482" xr:uid="{00000000-0005-0000-0000-0000BB0C0000}"/>
    <cellStyle name="Currency 5 3 2 3 3 3 2" xfId="14808" xr:uid="{C5A256BB-3EEB-4FA7-A14E-26A53B6CB048}"/>
    <cellStyle name="Currency 5 3 2 3 3 4" xfId="10591" xr:uid="{0A5575B2-1C9E-4731-A6F6-2C6D4C4E8457}"/>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7FE664FF-1F3D-4DCB-9788-0A262103D82B}"/>
    <cellStyle name="Currency 5 3 2 3 4 2 3" xfId="13149" xr:uid="{6B53336E-72D8-4B55-AA60-4F5775B7C7A0}"/>
    <cellStyle name="Currency 5 3 2 3 4 3" xfId="5895" xr:uid="{00000000-0005-0000-0000-0000BF0C0000}"/>
    <cellStyle name="Currency 5 3 2 3 4 3 2" xfId="15221" xr:uid="{7C0A417E-9F67-41EE-8695-2C99F015EB4B}"/>
    <cellStyle name="Currency 5 3 2 3 4 4" xfId="11004" xr:uid="{2C962FA1-1648-4A39-A7F5-277853C7991D}"/>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D9D7ABE4-4B77-49AF-A4BD-C6498F594388}"/>
    <cellStyle name="Currency 5 3 2 3 5 2 3" xfId="13562" xr:uid="{B977BC7D-6CB0-429C-A80C-E9BB3D6D74DF}"/>
    <cellStyle name="Currency 5 3 2 3 5 3" xfId="6308" xr:uid="{00000000-0005-0000-0000-0000C30C0000}"/>
    <cellStyle name="Currency 5 3 2 3 5 3 2" xfId="15634" xr:uid="{B2E1C2B4-BB65-4663-9723-EEA841E98262}"/>
    <cellStyle name="Currency 5 3 2 3 5 4" xfId="11417" xr:uid="{4B595E39-C60A-4DA2-9AB1-5EF9DA737BA6}"/>
    <cellStyle name="Currency 5 3 2 3 6" xfId="2437" xr:uid="{00000000-0005-0000-0000-0000C40C0000}"/>
    <cellStyle name="Currency 5 3 2 3 6 2" xfId="6721" xr:uid="{00000000-0005-0000-0000-0000C50C0000}"/>
    <cellStyle name="Currency 5 3 2 3 6 2 2" xfId="16047" xr:uid="{6143200F-5C2C-47B2-97E5-91F404D6AED3}"/>
    <cellStyle name="Currency 5 3 2 3 6 3" xfId="11830" xr:uid="{05CD4E4B-7351-40AA-B6C5-B3142A221209}"/>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437BED1D-47BD-4444-8DA8-16DD012A95B3}"/>
    <cellStyle name="Currency 5 3 2 3 8 3" xfId="12147" xr:uid="{1677AC06-E8BD-4904-9895-63AB6117D55C}"/>
    <cellStyle name="Currency 5 3 2 3 9" xfId="4655" xr:uid="{00000000-0005-0000-0000-0000C90C0000}"/>
    <cellStyle name="Currency 5 3 2 3 9 2" xfId="13981" xr:uid="{D590F730-4E3F-437D-8288-956A6526E471}"/>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CA81DD57-38B3-4090-A13D-E94DAA74A421}"/>
    <cellStyle name="Currency 5 3 2 4 2 3" xfId="12320" xr:uid="{70C55D0E-085F-4881-A60F-C8456840B33B}"/>
    <cellStyle name="Currency 5 3 2 4 3" xfId="5066" xr:uid="{00000000-0005-0000-0000-0000CD0C0000}"/>
    <cellStyle name="Currency 5 3 2 4 3 2" xfId="14392" xr:uid="{C19C6D80-B3AA-4A8B-B2B0-DC879C24ACEC}"/>
    <cellStyle name="Currency 5 3 2 4 4" xfId="9235" xr:uid="{F2FD4117-6EF1-4663-964A-AB5B57E6F469}"/>
    <cellStyle name="Currency 5 3 2 4 5" xfId="10175" xr:uid="{0AF7BA22-C90D-4EA8-84F2-3D5E80F72037}"/>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30FC5CCC-C886-4530-83A9-D0A283C2D0F0}"/>
    <cellStyle name="Currency 5 3 2 5 2 3" xfId="12733" xr:uid="{8C04E949-0353-4848-B8B2-C8FFFFD2D4F8}"/>
    <cellStyle name="Currency 5 3 2 5 3" xfId="5479" xr:uid="{00000000-0005-0000-0000-0000D10C0000}"/>
    <cellStyle name="Currency 5 3 2 5 3 2" xfId="14805" xr:uid="{C521B926-2D52-44D4-9010-F464EC693665}"/>
    <cellStyle name="Currency 5 3 2 5 4" xfId="10588" xr:uid="{D89A1A3C-F990-41C9-8213-70E7F58F8AD7}"/>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1A9E6B04-272A-4722-A151-23510A23E4D5}"/>
    <cellStyle name="Currency 5 3 2 6 2 3" xfId="13146" xr:uid="{142B3995-85F6-40F4-8C3E-03FD58E76378}"/>
    <cellStyle name="Currency 5 3 2 6 3" xfId="5892" xr:uid="{00000000-0005-0000-0000-0000D50C0000}"/>
    <cellStyle name="Currency 5 3 2 6 3 2" xfId="15218" xr:uid="{91C2E31E-8BF7-47F7-BD8D-0D785E1E16B5}"/>
    <cellStyle name="Currency 5 3 2 6 4" xfId="11001" xr:uid="{E269E27B-0CAF-4B26-9DBD-54C953628ABF}"/>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619A56E8-4189-4319-A09A-0AFFC05D5099}"/>
    <cellStyle name="Currency 5 3 2 7 2 3" xfId="13559" xr:uid="{06570A71-8E44-446A-838B-D492968C7EFC}"/>
    <cellStyle name="Currency 5 3 2 7 3" xfId="6305" xr:uid="{00000000-0005-0000-0000-0000D90C0000}"/>
    <cellStyle name="Currency 5 3 2 7 3 2" xfId="15631" xr:uid="{5E9180DE-4A43-40AD-BEB0-DD72EAA4BC1E}"/>
    <cellStyle name="Currency 5 3 2 7 4" xfId="11414" xr:uid="{686F89D1-DAE7-45B5-9294-F2BBA5E6C974}"/>
    <cellStyle name="Currency 5 3 2 8" xfId="2434" xr:uid="{00000000-0005-0000-0000-0000DA0C0000}"/>
    <cellStyle name="Currency 5 3 2 8 2" xfId="6718" xr:uid="{00000000-0005-0000-0000-0000DB0C0000}"/>
    <cellStyle name="Currency 5 3 2 8 2 2" xfId="16044" xr:uid="{7B2BC923-4981-4B45-B50D-00F4DA888A20}"/>
    <cellStyle name="Currency 5 3 2 8 3" xfId="11827" xr:uid="{74C1914F-3EAC-4809-941C-BE50A2826BDA}"/>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5AF8D8B9-7D7F-409F-B72D-5B18A7FD18A6}"/>
    <cellStyle name="Currency 5 3 3 11" xfId="8882" xr:uid="{A86B3ED4-B552-42F3-9E77-C6763F86EEE6}"/>
    <cellStyle name="Currency 5 3 3 12" xfId="9765" xr:uid="{8C73653F-8DBD-4B8B-8368-41F7E2DF2107}"/>
    <cellStyle name="Currency 5 3 3 2" xfId="215" xr:uid="{00000000-0005-0000-0000-0000DF0C0000}"/>
    <cellStyle name="Currency 5 3 3 2 10" xfId="9089" xr:uid="{7CFB8DCC-02AE-4CC5-8E10-3D33399ECECE}"/>
    <cellStyle name="Currency 5 3 3 2 11" xfId="9766" xr:uid="{1558467B-0AD6-4761-B5FB-F741A92B517F}"/>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9A680ABD-B902-4F8B-BF53-113275E50A21}"/>
    <cellStyle name="Currency 5 3 3 2 2 2 3" xfId="12325" xr:uid="{ECDC85D6-0068-49DE-96D9-F1CDA2C98D20}"/>
    <cellStyle name="Currency 5 3 3 2 2 3" xfId="5071" xr:uid="{00000000-0005-0000-0000-0000E30C0000}"/>
    <cellStyle name="Currency 5 3 3 2 2 3 2" xfId="14397" xr:uid="{7C38ACB8-9260-4463-BD6A-D5FE4E425A91}"/>
    <cellStyle name="Currency 5 3 3 2 2 4" xfId="9514" xr:uid="{9A504F43-6423-4200-B7AF-F17B65B2005C}"/>
    <cellStyle name="Currency 5 3 3 2 2 5" xfId="10180" xr:uid="{9C9B6D48-D003-41DE-9314-8BD739AEB552}"/>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8609FEEA-993F-459E-84E0-1E5F49BBF432}"/>
    <cellStyle name="Currency 5 3 3 2 3 2 3" xfId="12738" xr:uid="{E5FFAE39-3ACE-463E-9DC8-CFB1DC330E7A}"/>
    <cellStyle name="Currency 5 3 3 2 3 3" xfId="5484" xr:uid="{00000000-0005-0000-0000-0000E70C0000}"/>
    <cellStyle name="Currency 5 3 3 2 3 3 2" xfId="14810" xr:uid="{ABDE28AE-1877-4146-BA44-586952E7E1A8}"/>
    <cellStyle name="Currency 5 3 3 2 3 4" xfId="10593" xr:uid="{D8B61241-C4F9-4333-9F65-1776B3FCD07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F6DDC00D-A096-41EF-88C8-1CF5D35EA935}"/>
    <cellStyle name="Currency 5 3 3 2 4 2 3" xfId="13151" xr:uid="{706BCD9B-3726-46EA-B6B0-A44729E6374C}"/>
    <cellStyle name="Currency 5 3 3 2 4 3" xfId="5897" xr:uid="{00000000-0005-0000-0000-0000EB0C0000}"/>
    <cellStyle name="Currency 5 3 3 2 4 3 2" xfId="15223" xr:uid="{82031116-9C8D-44AF-8DC6-9C3E10EEF540}"/>
    <cellStyle name="Currency 5 3 3 2 4 4" xfId="11006" xr:uid="{2ED4C81E-B269-4D63-A940-0925B39F4B92}"/>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72AFF92A-818B-450D-A28D-004786693D0A}"/>
    <cellStyle name="Currency 5 3 3 2 5 2 3" xfId="13564" xr:uid="{4BEDEC81-721D-41EE-8EE9-2AC57985D5C4}"/>
    <cellStyle name="Currency 5 3 3 2 5 3" xfId="6310" xr:uid="{00000000-0005-0000-0000-0000EF0C0000}"/>
    <cellStyle name="Currency 5 3 3 2 5 3 2" xfId="15636" xr:uid="{542BBF00-E4B6-4525-8D51-9F68CA61E8E6}"/>
    <cellStyle name="Currency 5 3 3 2 5 4" xfId="11419" xr:uid="{4A0B3824-C146-4311-AC8F-14F77475ABB7}"/>
    <cellStyle name="Currency 5 3 3 2 6" xfId="2439" xr:uid="{00000000-0005-0000-0000-0000F00C0000}"/>
    <cellStyle name="Currency 5 3 3 2 6 2" xfId="6723" xr:uid="{00000000-0005-0000-0000-0000F10C0000}"/>
    <cellStyle name="Currency 5 3 3 2 6 2 2" xfId="16049" xr:uid="{064674CE-8258-48C1-853A-A91D45EBFF8A}"/>
    <cellStyle name="Currency 5 3 3 2 6 3" xfId="11832" xr:uid="{2E06A372-CAEF-4648-8D4E-9727B0EBBB41}"/>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05118094-9D15-470C-8FD3-59D2E8054F64}"/>
    <cellStyle name="Currency 5 3 3 2 8 3" xfId="12149" xr:uid="{B27A8408-7C56-45EF-881E-1DDFF0CDF5E3}"/>
    <cellStyle name="Currency 5 3 3 2 9" xfId="4657" xr:uid="{00000000-0005-0000-0000-0000F50C0000}"/>
    <cellStyle name="Currency 5 3 3 2 9 2" xfId="13983" xr:uid="{B7AC21C8-1AB3-4DF9-BC2E-83092FA0F2C2}"/>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FB997961-746E-4E6F-BB04-E7DFBDCDFEA4}"/>
    <cellStyle name="Currency 5 3 3 3 2 3" xfId="12324" xr:uid="{A00A30DA-9A9D-4DB9-B317-16D8BF9ED089}"/>
    <cellStyle name="Currency 5 3 3 3 3" xfId="5070" xr:uid="{00000000-0005-0000-0000-0000F90C0000}"/>
    <cellStyle name="Currency 5 3 3 3 3 2" xfId="14396" xr:uid="{1C85BF57-CA4E-44C9-B2B2-F69DD7398348}"/>
    <cellStyle name="Currency 5 3 3 3 4" xfId="9307" xr:uid="{3F0512A0-B779-46E4-A963-62E327C6AC5F}"/>
    <cellStyle name="Currency 5 3 3 3 5" xfId="10179" xr:uid="{8D194811-18BC-4887-9888-5BCE9DC0974A}"/>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CBE604A2-9A73-4CA1-A02C-B720D529661D}"/>
    <cellStyle name="Currency 5 3 3 4 2 3" xfId="12737" xr:uid="{2E4CDB9E-ADB8-424D-B3DA-67A2F700C264}"/>
    <cellStyle name="Currency 5 3 3 4 3" xfId="5483" xr:uid="{00000000-0005-0000-0000-0000FD0C0000}"/>
    <cellStyle name="Currency 5 3 3 4 3 2" xfId="14809" xr:uid="{676E4F24-4882-48F4-85D6-551353CBC15E}"/>
    <cellStyle name="Currency 5 3 3 4 4" xfId="10592" xr:uid="{FDAA5A1A-14FA-4B25-8851-86A9DD8A4F47}"/>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39971841-9D3C-4EB9-A99B-8D188ED0CA51}"/>
    <cellStyle name="Currency 5 3 3 5 2 3" xfId="13150" xr:uid="{7704E3BF-CE8C-4D8B-B4DE-4059DB2980F9}"/>
    <cellStyle name="Currency 5 3 3 5 3" xfId="5896" xr:uid="{00000000-0005-0000-0000-0000010D0000}"/>
    <cellStyle name="Currency 5 3 3 5 3 2" xfId="15222" xr:uid="{0ECB9B82-134E-478C-8744-F5CD459A6CC3}"/>
    <cellStyle name="Currency 5 3 3 5 4" xfId="11005" xr:uid="{590E1CA9-D897-4ED6-B928-CA9CF9693714}"/>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37DAC5F1-C980-4C70-B507-C99FEC6B5592}"/>
    <cellStyle name="Currency 5 3 3 6 2 3" xfId="13563" xr:uid="{D3CB7DF5-3E68-43F8-9F1F-A82CD06499FE}"/>
    <cellStyle name="Currency 5 3 3 6 3" xfId="6309" xr:uid="{00000000-0005-0000-0000-0000050D0000}"/>
    <cellStyle name="Currency 5 3 3 6 3 2" xfId="15635" xr:uid="{6F7C27EC-6265-43A1-B9B9-CAF3BD3710AA}"/>
    <cellStyle name="Currency 5 3 3 6 4" xfId="11418" xr:uid="{836E9D06-0132-4ABB-BA1A-A98B77463AE2}"/>
    <cellStyle name="Currency 5 3 3 7" xfId="2438" xr:uid="{00000000-0005-0000-0000-0000060D0000}"/>
    <cellStyle name="Currency 5 3 3 7 2" xfId="6722" xr:uid="{00000000-0005-0000-0000-0000070D0000}"/>
    <cellStyle name="Currency 5 3 3 7 2 2" xfId="16048" xr:uid="{D0BE4582-F107-4B57-948F-04C2D1638648}"/>
    <cellStyle name="Currency 5 3 3 7 3" xfId="11831" xr:uid="{8E64F3EE-79C8-4D27-A05B-9A01B063275E}"/>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83D889A8-9A92-4168-A5EA-40C8264E78A2}"/>
    <cellStyle name="Currency 5 3 3 9 3" xfId="12148" xr:uid="{04B482BA-2413-4DF4-BDC4-285C72B6700E}"/>
    <cellStyle name="Currency 5 3 4" xfId="216" xr:uid="{00000000-0005-0000-0000-00000B0D0000}"/>
    <cellStyle name="Currency 5 3 4 10" xfId="8986" xr:uid="{4F6CFA4A-F10A-4043-AD92-C0A3F7F06459}"/>
    <cellStyle name="Currency 5 3 4 11" xfId="9767" xr:uid="{47AC89A7-89A8-4B07-9A9C-066F40264B5A}"/>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33074AF4-ADCA-4CEA-929A-EAF9817B3342}"/>
    <cellStyle name="Currency 5 3 4 2 2 3" xfId="12326" xr:uid="{7C4D0347-941C-409A-8110-0B13A9143E26}"/>
    <cellStyle name="Currency 5 3 4 2 3" xfId="5072" xr:uid="{00000000-0005-0000-0000-00000F0D0000}"/>
    <cellStyle name="Currency 5 3 4 2 3 2" xfId="14398" xr:uid="{8FDDD848-11B6-4E60-BD6B-C628E860B3C8}"/>
    <cellStyle name="Currency 5 3 4 2 4" xfId="9411" xr:uid="{2729DEB6-408B-463E-B468-91D932C31FD7}"/>
    <cellStyle name="Currency 5 3 4 2 5" xfId="10181" xr:uid="{3EF0D1EC-9B46-44C3-9E5B-9B42EA6C66E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4DCBFBF3-DC25-40E8-A41C-A51D87321418}"/>
    <cellStyle name="Currency 5 3 4 3 2 3" xfId="12739" xr:uid="{73813B7E-A3B3-4064-8E5B-67369EFE1C48}"/>
    <cellStyle name="Currency 5 3 4 3 3" xfId="5485" xr:uid="{00000000-0005-0000-0000-0000130D0000}"/>
    <cellStyle name="Currency 5 3 4 3 3 2" xfId="14811" xr:uid="{7F566B05-B5BD-4E3A-B745-555203AEF090}"/>
    <cellStyle name="Currency 5 3 4 3 4" xfId="10594" xr:uid="{B460CA1B-88CD-4820-B0F8-ED62E2676170}"/>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7C608359-BFEA-4AA8-8836-1480819B5558}"/>
    <cellStyle name="Currency 5 3 4 4 2 3" xfId="13152" xr:uid="{0164BBDB-98CB-4C69-B0C8-87D683F9CFE7}"/>
    <cellStyle name="Currency 5 3 4 4 3" xfId="5898" xr:uid="{00000000-0005-0000-0000-0000170D0000}"/>
    <cellStyle name="Currency 5 3 4 4 3 2" xfId="15224" xr:uid="{C1A013E5-99B6-44A9-9E57-1905E1F316EF}"/>
    <cellStyle name="Currency 5 3 4 4 4" xfId="11007" xr:uid="{BF53E9D1-FE76-41A4-97C8-74E6AF3CDAF7}"/>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CD9ABE3E-D56B-4452-AF5E-73BA02E64593}"/>
    <cellStyle name="Currency 5 3 4 5 2 3" xfId="13565" xr:uid="{53309EB2-3FF9-4787-8533-6C7B3C9AE95B}"/>
    <cellStyle name="Currency 5 3 4 5 3" xfId="6311" xr:uid="{00000000-0005-0000-0000-00001B0D0000}"/>
    <cellStyle name="Currency 5 3 4 5 3 2" xfId="15637" xr:uid="{878A2CB8-146E-4F19-A65D-0C138EA3F798}"/>
    <cellStyle name="Currency 5 3 4 5 4" xfId="11420" xr:uid="{7D5EBC21-0866-486C-B6C9-77A56AF4B70B}"/>
    <cellStyle name="Currency 5 3 4 6" xfId="2440" xr:uid="{00000000-0005-0000-0000-00001C0D0000}"/>
    <cellStyle name="Currency 5 3 4 6 2" xfId="6724" xr:uid="{00000000-0005-0000-0000-00001D0D0000}"/>
    <cellStyle name="Currency 5 3 4 6 2 2" xfId="16050" xr:uid="{E671383A-611E-4023-AF59-37C356F5284D}"/>
    <cellStyle name="Currency 5 3 4 6 3" xfId="11833" xr:uid="{CD626C16-8D39-4CFC-A167-83C221419707}"/>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1DF8899E-5C8D-4BEF-8167-E5D1D275ABAF}"/>
    <cellStyle name="Currency 5 3 4 8 3" xfId="12150" xr:uid="{7896E9AC-3F64-4A33-9C92-BE9A903E5DC5}"/>
    <cellStyle name="Currency 5 3 4 9" xfId="4658" xr:uid="{00000000-0005-0000-0000-0000210D0000}"/>
    <cellStyle name="Currency 5 3 4 9 2" xfId="13984" xr:uid="{42F45286-7936-4796-8BE0-7E356B15FE43}"/>
    <cellStyle name="Currency 5 3 5" xfId="217" xr:uid="{00000000-0005-0000-0000-0000220D0000}"/>
    <cellStyle name="Currency 5 3 5 10" xfId="9203" xr:uid="{6167CBBD-227C-4457-B6B6-18EF5C089771}"/>
    <cellStyle name="Currency 5 3 5 11" xfId="9768" xr:uid="{625133BA-BF56-465F-BB87-06DC6C685618}"/>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4C8497D9-2164-444B-A281-2A6A58126D70}"/>
    <cellStyle name="Currency 5 3 5 2 2 3" xfId="12327" xr:uid="{2876A635-FBFB-4C8F-8E5C-F65563F68158}"/>
    <cellStyle name="Currency 5 3 5 2 3" xfId="5073" xr:uid="{00000000-0005-0000-0000-0000260D0000}"/>
    <cellStyle name="Currency 5 3 5 2 3 2" xfId="14399" xr:uid="{AB7864BC-8004-43AF-98C8-AFA197ACB27D}"/>
    <cellStyle name="Currency 5 3 5 2 4" xfId="9600" xr:uid="{650A4058-48FE-4F3E-8845-8F52DF332026}"/>
    <cellStyle name="Currency 5 3 5 2 5" xfId="10182" xr:uid="{4BA6EF2A-95A9-4ABE-BDDE-AED0051A7E83}"/>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B5457A92-9771-43E4-A446-B0470A20C08F}"/>
    <cellStyle name="Currency 5 3 5 3 2 3" xfId="12740" xr:uid="{6DABE8A3-AF5B-4EE6-925B-0A936F2B5DCF}"/>
    <cellStyle name="Currency 5 3 5 3 3" xfId="5486" xr:uid="{00000000-0005-0000-0000-00002A0D0000}"/>
    <cellStyle name="Currency 5 3 5 3 3 2" xfId="14812" xr:uid="{EDB0910F-D5B9-479D-B0DC-46FA1A3474D0}"/>
    <cellStyle name="Currency 5 3 5 3 4" xfId="10595" xr:uid="{23B997E3-77C4-4AA0-A89F-2680F82463BC}"/>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3E31BA70-053D-4686-8B3A-04247A5F2DBD}"/>
    <cellStyle name="Currency 5 3 5 4 2 3" xfId="13153" xr:uid="{1A9C9659-CC88-42F2-A005-A07DA2D581F4}"/>
    <cellStyle name="Currency 5 3 5 4 3" xfId="5899" xr:uid="{00000000-0005-0000-0000-00002E0D0000}"/>
    <cellStyle name="Currency 5 3 5 4 3 2" xfId="15225" xr:uid="{24191A77-03BB-4ACA-BCE6-65C7BC8C78AD}"/>
    <cellStyle name="Currency 5 3 5 4 4" xfId="11008" xr:uid="{F13AEBB3-E021-4E03-86A5-2B6FF58AB666}"/>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BE2D7CAE-2B8C-4410-841F-FE89B23DE7CC}"/>
    <cellStyle name="Currency 5 3 5 5 2 3" xfId="13566" xr:uid="{1807E9BB-EC45-48C7-8AE5-724F234B49C1}"/>
    <cellStyle name="Currency 5 3 5 5 3" xfId="6312" xr:uid="{00000000-0005-0000-0000-0000320D0000}"/>
    <cellStyle name="Currency 5 3 5 5 3 2" xfId="15638" xr:uid="{A644984F-1F19-4AA7-88F6-3140C0048B0C}"/>
    <cellStyle name="Currency 5 3 5 5 4" xfId="11421" xr:uid="{7E5CDD93-2393-439F-8DF5-0977D4B30663}"/>
    <cellStyle name="Currency 5 3 5 6" xfId="2441" xr:uid="{00000000-0005-0000-0000-0000330D0000}"/>
    <cellStyle name="Currency 5 3 5 6 2" xfId="6725" xr:uid="{00000000-0005-0000-0000-0000340D0000}"/>
    <cellStyle name="Currency 5 3 5 6 2 2" xfId="16051" xr:uid="{4B6FDED0-D73D-42E9-B383-74EDD5E99E59}"/>
    <cellStyle name="Currency 5 3 5 6 3" xfId="11834" xr:uid="{23C543DD-069C-4783-A911-171FF2DA64B5}"/>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082B5206-ED6C-46D6-9C32-03331299D81A}"/>
    <cellStyle name="Currency 5 3 5 8 3" xfId="12151" xr:uid="{5BCFC307-86DF-489E-A8F2-D302534530A4}"/>
    <cellStyle name="Currency 5 3 5 9" xfId="4659" xr:uid="{00000000-0005-0000-0000-0000380D0000}"/>
    <cellStyle name="Currency 5 3 5 9 2" xfId="13985" xr:uid="{6290F8DD-971F-47C1-AD7B-EE29B6491A52}"/>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58639F67-3F24-4F46-9DAB-D3C9FCBB4AD8}"/>
    <cellStyle name="Currency 5 5 11" xfId="8850" xr:uid="{8F129173-F323-478F-8B06-1E2599EB26C1}"/>
    <cellStyle name="Currency 5 5 12" xfId="9769" xr:uid="{1F6B9F96-48A4-4CE0-9130-E7C8D8E8CC39}"/>
    <cellStyle name="Currency 5 5 2" xfId="220" xr:uid="{00000000-0005-0000-0000-00003D0D0000}"/>
    <cellStyle name="Currency 5 5 2 10" xfId="9057" xr:uid="{90E61E49-0971-4EC1-90D8-E015846E4FB2}"/>
    <cellStyle name="Currency 5 5 2 11" xfId="9770" xr:uid="{100346D5-B90B-451C-967A-21DA0A39F683}"/>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2F37EC2D-A5E8-45E3-8419-36C8CBA04449}"/>
    <cellStyle name="Currency 5 5 2 2 2 3" xfId="12329" xr:uid="{4DCFE7F0-77AC-4ADC-94E2-A62D2FF136F8}"/>
    <cellStyle name="Currency 5 5 2 2 3" xfId="5075" xr:uid="{00000000-0005-0000-0000-0000410D0000}"/>
    <cellStyle name="Currency 5 5 2 2 3 2" xfId="14401" xr:uid="{4AC4AFC0-5CE4-4281-9A4A-5D60B3C6A3B8}"/>
    <cellStyle name="Currency 5 5 2 2 4" xfId="9482" xr:uid="{ECEE3E7C-42CD-4A2D-A90F-D54FFBA7E41F}"/>
    <cellStyle name="Currency 5 5 2 2 5" xfId="10184" xr:uid="{6F8E6FCB-A360-4174-A4EF-3389D971B5F0}"/>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70D69441-0E89-4179-A68D-DCA27992FF43}"/>
    <cellStyle name="Currency 5 5 2 3 2 3" xfId="12742" xr:uid="{CAFB2E91-AA12-4A40-922C-3DB585BF3F40}"/>
    <cellStyle name="Currency 5 5 2 3 3" xfId="5488" xr:uid="{00000000-0005-0000-0000-0000450D0000}"/>
    <cellStyle name="Currency 5 5 2 3 3 2" xfId="14814" xr:uid="{C2BC9D06-D6D2-4DF2-ABA6-FC1EE0B3337E}"/>
    <cellStyle name="Currency 5 5 2 3 4" xfId="10597" xr:uid="{BAA865A3-731F-46E8-A7F0-B7CB5057CA87}"/>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D19DD16E-2527-4647-A933-CB012A98990E}"/>
    <cellStyle name="Currency 5 5 2 4 2 3" xfId="13155" xr:uid="{433AB54D-D89E-4140-880E-D7DD996FF579}"/>
    <cellStyle name="Currency 5 5 2 4 3" xfId="5901" xr:uid="{00000000-0005-0000-0000-0000490D0000}"/>
    <cellStyle name="Currency 5 5 2 4 3 2" xfId="15227" xr:uid="{CD0CABCA-5C7C-4DF9-8E7C-583E161F6B96}"/>
    <cellStyle name="Currency 5 5 2 4 4" xfId="11010" xr:uid="{BA55AC26-264F-4D1B-B8E4-9CCC0690DD8A}"/>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D28207FA-B1CA-498D-A322-26643E08C146}"/>
    <cellStyle name="Currency 5 5 2 5 2 3" xfId="13568" xr:uid="{74471228-8E59-4808-997D-E75145E3B8FA}"/>
    <cellStyle name="Currency 5 5 2 5 3" xfId="6314" xr:uid="{00000000-0005-0000-0000-00004D0D0000}"/>
    <cellStyle name="Currency 5 5 2 5 3 2" xfId="15640" xr:uid="{B0E84FA9-E733-4AFC-82A7-6BB319AF6846}"/>
    <cellStyle name="Currency 5 5 2 5 4" xfId="11423" xr:uid="{F7AAF24A-9B50-4AD8-A00E-187536C799E9}"/>
    <cellStyle name="Currency 5 5 2 6" xfId="2443" xr:uid="{00000000-0005-0000-0000-00004E0D0000}"/>
    <cellStyle name="Currency 5 5 2 6 2" xfId="6727" xr:uid="{00000000-0005-0000-0000-00004F0D0000}"/>
    <cellStyle name="Currency 5 5 2 6 2 2" xfId="16053" xr:uid="{3E8EE3E5-A1F5-4107-899E-836565EBA231}"/>
    <cellStyle name="Currency 5 5 2 6 3" xfId="11836" xr:uid="{B67FC425-28EA-456A-AE63-FDEDC409670B}"/>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8195D7AD-853B-4C1C-AE8E-BEDBDCEF9C54}"/>
    <cellStyle name="Currency 5 5 2 8 3" xfId="12153" xr:uid="{EE16D08D-2B58-49D2-80E6-ED2554B66F4A}"/>
    <cellStyle name="Currency 5 5 2 9" xfId="4661" xr:uid="{00000000-0005-0000-0000-0000530D0000}"/>
    <cellStyle name="Currency 5 5 2 9 2" xfId="13987" xr:uid="{694B4A2A-4F3D-416A-8191-5DC493E51F44}"/>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F2C2D481-1DB0-4432-BA0E-6D00DD8C0290}"/>
    <cellStyle name="Currency 5 5 3 2 3" xfId="12328" xr:uid="{269607D8-6C2A-4388-8C06-C6FD232A5C96}"/>
    <cellStyle name="Currency 5 5 3 3" xfId="5074" xr:uid="{00000000-0005-0000-0000-0000570D0000}"/>
    <cellStyle name="Currency 5 5 3 3 2" xfId="14400" xr:uid="{056CCED8-303F-4B71-AEAF-77331C7F7C16}"/>
    <cellStyle name="Currency 5 5 3 4" xfId="9275" xr:uid="{54783F20-34E5-4A58-80AE-EC7CC69A89C9}"/>
    <cellStyle name="Currency 5 5 3 5" xfId="10183" xr:uid="{11660A8E-9729-4E2F-8E09-D7A8E57B71B2}"/>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A584DA14-6479-470E-91F7-695F45B06A83}"/>
    <cellStyle name="Currency 5 5 4 2 3" xfId="12741" xr:uid="{7743C006-1985-4202-81B7-503EF6397C36}"/>
    <cellStyle name="Currency 5 5 4 3" xfId="5487" xr:uid="{00000000-0005-0000-0000-00005B0D0000}"/>
    <cellStyle name="Currency 5 5 4 3 2" xfId="14813" xr:uid="{0DC59B95-59DE-4686-9EED-2B2F6E229B95}"/>
    <cellStyle name="Currency 5 5 4 4" xfId="10596" xr:uid="{0BA388CE-7E1B-480B-8AE0-388BB4BD45FA}"/>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37D68EF7-8A27-4705-B563-C5C025260921}"/>
    <cellStyle name="Currency 5 5 5 2 3" xfId="13154" xr:uid="{68D20D14-4A65-4D83-9015-814D136A2A8B}"/>
    <cellStyle name="Currency 5 5 5 3" xfId="5900" xr:uid="{00000000-0005-0000-0000-00005F0D0000}"/>
    <cellStyle name="Currency 5 5 5 3 2" xfId="15226" xr:uid="{1D9D6198-680B-4200-93B8-2FCFDE1E204C}"/>
    <cellStyle name="Currency 5 5 5 4" xfId="11009" xr:uid="{2E82CF9A-C295-4DAC-935C-F6017E17A786}"/>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56419698-99FB-4873-AECA-D23E0F75E2B1}"/>
    <cellStyle name="Currency 5 5 6 2 3" xfId="13567" xr:uid="{0F044A02-A73C-43A3-8848-8E6635602589}"/>
    <cellStyle name="Currency 5 5 6 3" xfId="6313" xr:uid="{00000000-0005-0000-0000-0000630D0000}"/>
    <cellStyle name="Currency 5 5 6 3 2" xfId="15639" xr:uid="{9192BA29-8801-416D-A810-E152547330BB}"/>
    <cellStyle name="Currency 5 5 6 4" xfId="11422" xr:uid="{96CD72F1-1778-47F4-B8F4-B79A697448F2}"/>
    <cellStyle name="Currency 5 5 7" xfId="2442" xr:uid="{00000000-0005-0000-0000-0000640D0000}"/>
    <cellStyle name="Currency 5 5 7 2" xfId="6726" xr:uid="{00000000-0005-0000-0000-0000650D0000}"/>
    <cellStyle name="Currency 5 5 7 2 2" xfId="16052" xr:uid="{5B611488-BE1F-491E-9B1C-E0D5CB892695}"/>
    <cellStyle name="Currency 5 5 7 3" xfId="11835" xr:uid="{C64EE9D9-B9B7-47BA-9004-8D5C24F381EE}"/>
    <cellStyle name="Currency 5 5 8" xfId="2739" xr:uid="{00000000-0005-0000-0000-0000660D0000}"/>
    <cellStyle name="Currency 5 5 9" xfId="2820" xr:uid="{00000000-0005-0000-0000-0000670D0000}"/>
    <cellStyle name="Currency 5 5 9 2" xfId="7043" xr:uid="{00000000-0005-0000-0000-0000680D0000}"/>
    <cellStyle name="Currency 5 5 9 2 2" xfId="16369" xr:uid="{337382E0-8FA7-488C-8B62-452132BB3F11}"/>
    <cellStyle name="Currency 5 5 9 3" xfId="12152" xr:uid="{24623A3B-459A-4296-A914-7B677ADA1809}"/>
    <cellStyle name="Currency 5 6" xfId="221" xr:uid="{00000000-0005-0000-0000-0000690D0000}"/>
    <cellStyle name="Currency 5 6 10" xfId="8966" xr:uid="{EC95BD1E-EAA8-4043-BDA7-06F3BBDBC3D5}"/>
    <cellStyle name="Currency 5 6 11" xfId="9771" xr:uid="{E9F3B34F-1810-4D07-9A2A-FAFB2AD85A6C}"/>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C2C38947-7BAD-48F9-9818-C01D7B951568}"/>
    <cellStyle name="Currency 5 6 2 2 3" xfId="12330" xr:uid="{8DF6DCBA-0C14-409F-B7B1-125C0F522CFB}"/>
    <cellStyle name="Currency 5 6 2 3" xfId="5076" xr:uid="{00000000-0005-0000-0000-00006D0D0000}"/>
    <cellStyle name="Currency 5 6 2 3 2" xfId="14402" xr:uid="{76B3F1AD-6138-4469-88FD-258D1C858461}"/>
    <cellStyle name="Currency 5 6 2 4" xfId="9391" xr:uid="{8CBF3F74-51EC-4402-B96A-0759E6537FC7}"/>
    <cellStyle name="Currency 5 6 2 5" xfId="10185" xr:uid="{EDCF9698-7756-4D53-8068-B69BA1A201B1}"/>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E26A2E5B-A824-4DA4-80FD-4F7CB5388FBA}"/>
    <cellStyle name="Currency 5 6 3 2 3" xfId="12743" xr:uid="{B7B89711-568B-4624-8FF2-AC270610676A}"/>
    <cellStyle name="Currency 5 6 3 3" xfId="5489" xr:uid="{00000000-0005-0000-0000-0000710D0000}"/>
    <cellStyle name="Currency 5 6 3 3 2" xfId="14815" xr:uid="{EF299A75-857F-43C4-8124-48AD24BD2CD3}"/>
    <cellStyle name="Currency 5 6 3 4" xfId="10598" xr:uid="{CAA04B70-129C-49F1-979E-7314A8A54C2B}"/>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661C6975-EC40-47AC-9A6E-9245BF420143}"/>
    <cellStyle name="Currency 5 6 4 2 3" xfId="13156" xr:uid="{74526349-82C0-4A82-9135-5CE0DACC4A85}"/>
    <cellStyle name="Currency 5 6 4 3" xfId="5902" xr:uid="{00000000-0005-0000-0000-0000750D0000}"/>
    <cellStyle name="Currency 5 6 4 3 2" xfId="15228" xr:uid="{6344DD71-9227-4E88-AC52-38D20BFF72F4}"/>
    <cellStyle name="Currency 5 6 4 4" xfId="11011" xr:uid="{10EB2F4A-E047-44D2-B0B0-AAFC08E135B6}"/>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AA988C85-0976-44C7-BF26-A47C5CEB669E}"/>
    <cellStyle name="Currency 5 6 5 2 3" xfId="13569" xr:uid="{8E78143E-9827-4A2E-867D-C14E5487D328}"/>
    <cellStyle name="Currency 5 6 5 3" xfId="6315" xr:uid="{00000000-0005-0000-0000-0000790D0000}"/>
    <cellStyle name="Currency 5 6 5 3 2" xfId="15641" xr:uid="{72883BD3-6751-4C4E-A38D-B6AC3FD10E30}"/>
    <cellStyle name="Currency 5 6 5 4" xfId="11424" xr:uid="{3793CB6D-9DA8-4F2E-91CE-F9FE678BFDA5}"/>
    <cellStyle name="Currency 5 6 6" xfId="2444" xr:uid="{00000000-0005-0000-0000-00007A0D0000}"/>
    <cellStyle name="Currency 5 6 6 2" xfId="6728" xr:uid="{00000000-0005-0000-0000-00007B0D0000}"/>
    <cellStyle name="Currency 5 6 6 2 2" xfId="16054" xr:uid="{F1CE04E1-72C6-40E9-BF9C-47D036A9E700}"/>
    <cellStyle name="Currency 5 6 6 3" xfId="11837" xr:uid="{4165DFEF-2F20-4AD1-9162-8EFC558DC2F8}"/>
    <cellStyle name="Currency 5 6 7" xfId="2741" xr:uid="{00000000-0005-0000-0000-00007C0D0000}"/>
    <cellStyle name="Currency 5 6 8" xfId="2822" xr:uid="{00000000-0005-0000-0000-00007D0D0000}"/>
    <cellStyle name="Currency 5 6 8 2" xfId="7045" xr:uid="{00000000-0005-0000-0000-00007E0D0000}"/>
    <cellStyle name="Currency 5 6 8 2 2" xfId="16371" xr:uid="{F96429B6-BC93-44A6-9AC9-62D52327443D}"/>
    <cellStyle name="Currency 5 6 8 3" xfId="12154" xr:uid="{0426050A-FEEB-4C66-8496-9A8BC2ADAE2B}"/>
    <cellStyle name="Currency 5 6 9" xfId="4662" xr:uid="{00000000-0005-0000-0000-00007F0D0000}"/>
    <cellStyle name="Currency 5 6 9 2" xfId="13988" xr:uid="{C80E2827-7AC9-43A6-86F9-E6BFA8CBF26E}"/>
    <cellStyle name="Currency 5 7" xfId="222" xr:uid="{00000000-0005-0000-0000-0000800D0000}"/>
    <cellStyle name="Currency 5 7 10" xfId="9169" xr:uid="{7A886DE7-136A-429E-90E2-A7C712D111D8}"/>
    <cellStyle name="Currency 5 7 11" xfId="9772" xr:uid="{EE936061-D401-40B9-A2FC-F8C09C7855F6}"/>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4BC86287-134D-4449-8C56-33B9C898A419}"/>
    <cellStyle name="Currency 5 7 2 2 3" xfId="12331" xr:uid="{74941B14-1F1C-4A70-91BE-C4AC43F23A66}"/>
    <cellStyle name="Currency 5 7 2 3" xfId="5077" xr:uid="{00000000-0005-0000-0000-0000840D0000}"/>
    <cellStyle name="Currency 5 7 2 3 2" xfId="14403" xr:uid="{C7F26462-FBB2-4EEB-8129-BDEC06419B62}"/>
    <cellStyle name="Currency 5 7 2 4" xfId="9601" xr:uid="{DC93A830-0AF1-4EC4-B764-C728922F3FEF}"/>
    <cellStyle name="Currency 5 7 2 5" xfId="10186" xr:uid="{23FA0570-FE10-4D54-AD55-F2D95E1D1C7A}"/>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7B7C4933-6EA4-4FAE-8E8E-3CF688714F83}"/>
    <cellStyle name="Currency 5 7 3 2 3" xfId="12744" xr:uid="{BD7071D8-B86E-4D35-B6D8-EFF1A60F2017}"/>
    <cellStyle name="Currency 5 7 3 3" xfId="5490" xr:uid="{00000000-0005-0000-0000-0000880D0000}"/>
    <cellStyle name="Currency 5 7 3 3 2" xfId="14816" xr:uid="{14A2D8A4-D6C9-4A42-9332-E0603D364061}"/>
    <cellStyle name="Currency 5 7 3 4" xfId="10599" xr:uid="{CEA743AB-2C81-4390-BC52-04DA152B6214}"/>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2BFB42D7-FDA1-43ED-AD3F-6A98C696B737}"/>
    <cellStyle name="Currency 5 7 4 2 3" xfId="13157" xr:uid="{23970A06-0544-45C1-9477-9935CCF560EE}"/>
    <cellStyle name="Currency 5 7 4 3" xfId="5903" xr:uid="{00000000-0005-0000-0000-00008C0D0000}"/>
    <cellStyle name="Currency 5 7 4 3 2" xfId="15229" xr:uid="{A9921A53-3E6D-49DE-AC59-2F20C856D62C}"/>
    <cellStyle name="Currency 5 7 4 4" xfId="11012" xr:uid="{30973DB1-EEEE-40A2-A5C2-DA71E46A65FB}"/>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7765D50C-379D-4884-8A28-7D4DF9468D1F}"/>
    <cellStyle name="Currency 5 7 5 2 3" xfId="13570" xr:uid="{BBE32B2D-4E30-476F-886F-330A110B91B2}"/>
    <cellStyle name="Currency 5 7 5 3" xfId="6316" xr:uid="{00000000-0005-0000-0000-0000900D0000}"/>
    <cellStyle name="Currency 5 7 5 3 2" xfId="15642" xr:uid="{B3B13806-D233-493D-846D-C44391A5509B}"/>
    <cellStyle name="Currency 5 7 5 4" xfId="11425" xr:uid="{369FD2A7-EAB6-42A1-B045-4E80B51A1729}"/>
    <cellStyle name="Currency 5 7 6" xfId="2445" xr:uid="{00000000-0005-0000-0000-0000910D0000}"/>
    <cellStyle name="Currency 5 7 6 2" xfId="6729" xr:uid="{00000000-0005-0000-0000-0000920D0000}"/>
    <cellStyle name="Currency 5 7 6 2 2" xfId="16055" xr:uid="{00F0424A-FEAA-485B-9918-82AD1C80DE24}"/>
    <cellStyle name="Currency 5 7 6 3" xfId="11838" xr:uid="{5E8F7626-9E17-46CB-8A1F-BFEB9068AC56}"/>
    <cellStyle name="Currency 5 7 7" xfId="2742" xr:uid="{00000000-0005-0000-0000-0000930D0000}"/>
    <cellStyle name="Currency 5 7 8" xfId="2823" xr:uid="{00000000-0005-0000-0000-0000940D0000}"/>
    <cellStyle name="Currency 5 7 8 2" xfId="7046" xr:uid="{00000000-0005-0000-0000-0000950D0000}"/>
    <cellStyle name="Currency 5 7 8 2 2" xfId="16372" xr:uid="{F928E5F3-1C14-48B1-9FBF-DF9AD694F543}"/>
    <cellStyle name="Currency 5 7 8 3" xfId="12155" xr:uid="{2BA20FFE-9815-4703-95E2-870A2DD602B9}"/>
    <cellStyle name="Currency 5 7 9" xfId="4663" xr:uid="{00000000-0005-0000-0000-0000960D0000}"/>
    <cellStyle name="Currency 5 7 9 2" xfId="13989" xr:uid="{1E954EA9-487A-4AF3-A079-0BCA6330C1B7}"/>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A9830B44-3099-4071-A66C-57BE598B2A82}"/>
    <cellStyle name="Normal 12 10 3" xfId="11839" xr:uid="{5B0FA010-DC4A-442D-AABD-C32E2B62BA3D}"/>
    <cellStyle name="Normal 12 11" xfId="4664" xr:uid="{00000000-0005-0000-0000-0000CC0D0000}"/>
    <cellStyle name="Normal 12 11 2" xfId="13990" xr:uid="{42AC513F-5720-4066-9FCE-EDAE26D74F31}"/>
    <cellStyle name="Normal 12 12" xfId="8770" xr:uid="{16E7F001-A88D-4413-825E-78352A31064A}"/>
    <cellStyle name="Normal 12 13" xfId="9773" xr:uid="{2C811682-8761-41CC-8FC9-E82FD27212D1}"/>
    <cellStyle name="Normal 12 2" xfId="260" xr:uid="{00000000-0005-0000-0000-0000CD0D0000}"/>
    <cellStyle name="Normal 12 2 10" xfId="8811" xr:uid="{C610EFA7-DF28-475D-A7AA-61B6675A083B}"/>
    <cellStyle name="Normal 12 2 11" xfId="9774" xr:uid="{BC0B83B8-71FF-425E-90FE-F6C329E171EB}"/>
    <cellStyle name="Normal 12 2 2" xfId="261" xr:uid="{00000000-0005-0000-0000-0000CE0D0000}"/>
    <cellStyle name="Normal 12 2 2 10" xfId="9775" xr:uid="{FD20631B-EC5B-43A8-B13C-A4397A5ABA13}"/>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B2D305FC-4ABC-4E1A-A1A5-BC5305CAA112}"/>
    <cellStyle name="Normal 12 2 2 2 2 2 3" xfId="12335" xr:uid="{B37B5415-45D1-4E96-888D-693DA3772D89}"/>
    <cellStyle name="Normal 12 2 2 2 2 3" xfId="5081" xr:uid="{00000000-0005-0000-0000-0000D30D0000}"/>
    <cellStyle name="Normal 12 2 2 2 2 3 2" xfId="14407" xr:uid="{F97ED84F-464E-4848-BCDD-93386C5BE253}"/>
    <cellStyle name="Normal 12 2 2 2 2 4" xfId="9546" xr:uid="{609DE280-4DA3-4355-9F1C-9E01708347EA}"/>
    <cellStyle name="Normal 12 2 2 2 2 5" xfId="10190" xr:uid="{FB2967F0-B0AC-4C73-9430-D0115C3030B2}"/>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89457CD2-0B34-4794-B25E-7A51657893AF}"/>
    <cellStyle name="Normal 12 2 2 2 3 2 3" xfId="12748" xr:uid="{2AB5D472-2E19-41DC-B882-E760FA8C1462}"/>
    <cellStyle name="Normal 12 2 2 2 3 3" xfId="5494" xr:uid="{00000000-0005-0000-0000-0000D70D0000}"/>
    <cellStyle name="Normal 12 2 2 2 3 3 2" xfId="14820" xr:uid="{2D6DFAAA-F9F5-4068-95CF-E420F788A41A}"/>
    <cellStyle name="Normal 12 2 2 2 3 4" xfId="10603" xr:uid="{2CC93890-840B-4AD2-9599-9DA4FA2AC329}"/>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AB77090F-3179-4C71-B8A0-90F2692A3954}"/>
    <cellStyle name="Normal 12 2 2 2 4 2 3" xfId="13161" xr:uid="{5A56FFB5-AC85-4A75-BA67-DCD0E797E214}"/>
    <cellStyle name="Normal 12 2 2 2 4 3" xfId="5907" xr:uid="{00000000-0005-0000-0000-0000DB0D0000}"/>
    <cellStyle name="Normal 12 2 2 2 4 3 2" xfId="15233" xr:uid="{1694E4C4-65DA-4C85-9D19-5A3086CFDD42}"/>
    <cellStyle name="Normal 12 2 2 2 4 4" xfId="11016" xr:uid="{FE8BD70C-49B4-48AA-8BEF-A7005F17DE6D}"/>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105FE56E-DAF5-4301-B3C8-3B2BDD3C4089}"/>
    <cellStyle name="Normal 12 2 2 2 5 2 3" xfId="13574" xr:uid="{46BF028E-CABE-4E8B-B989-DAEAFA85F5AE}"/>
    <cellStyle name="Normal 12 2 2 2 5 3" xfId="6320" xr:uid="{00000000-0005-0000-0000-0000DF0D0000}"/>
    <cellStyle name="Normal 12 2 2 2 5 3 2" xfId="15646" xr:uid="{75E746B6-3419-43B7-9511-57D76F5F6A51}"/>
    <cellStyle name="Normal 12 2 2 2 5 4" xfId="11429" xr:uid="{601131B7-EAD9-4C87-99F5-E550FD74DAB5}"/>
    <cellStyle name="Normal 12 2 2 2 6" xfId="2450" xr:uid="{00000000-0005-0000-0000-0000E00D0000}"/>
    <cellStyle name="Normal 12 2 2 2 6 2" xfId="6733" xr:uid="{00000000-0005-0000-0000-0000E10D0000}"/>
    <cellStyle name="Normal 12 2 2 2 6 2 2" xfId="16059" xr:uid="{B843F590-97D4-41CC-9E59-74CE23BC788B}"/>
    <cellStyle name="Normal 12 2 2 2 6 3" xfId="11842" xr:uid="{E1B9FDDB-F053-48A0-B105-41D060CCF558}"/>
    <cellStyle name="Normal 12 2 2 2 7" xfId="4667" xr:uid="{00000000-0005-0000-0000-0000E20D0000}"/>
    <cellStyle name="Normal 12 2 2 2 7 2" xfId="13993" xr:uid="{2811C4C3-BC1F-4F27-9886-930402431DBB}"/>
    <cellStyle name="Normal 12 2 2 2 8" xfId="9121" xr:uid="{527C15BB-BE4D-46AB-9317-CC8E6838C91D}"/>
    <cellStyle name="Normal 12 2 2 2 9" xfId="9776" xr:uid="{CD22D30A-0599-4B5E-9BEE-5F6757B59122}"/>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38E135C4-62CE-4C9A-AA38-5D0DD127E545}"/>
    <cellStyle name="Normal 12 2 2 3 2 3" xfId="12334" xr:uid="{C62BAE71-7DDA-41FB-A271-4AC7C95D450B}"/>
    <cellStyle name="Normal 12 2 2 3 3" xfId="5080" xr:uid="{00000000-0005-0000-0000-0000E60D0000}"/>
    <cellStyle name="Normal 12 2 2 3 3 2" xfId="14406" xr:uid="{41C3A671-C04B-4B48-8A0C-3ECB89B2F50D}"/>
    <cellStyle name="Normal 12 2 2 3 4" xfId="9339" xr:uid="{F3F800C1-92DF-4F1F-A561-C3F3C7F8BAD1}"/>
    <cellStyle name="Normal 12 2 2 3 5" xfId="10189" xr:uid="{F711CFFE-0A17-414A-8207-F9BE755D39A5}"/>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AE2DCF6C-7452-458E-99E5-CB978403E653}"/>
    <cellStyle name="Normal 12 2 2 4 2 3" xfId="12747" xr:uid="{21F3AA5B-DE32-4DD6-81A3-7D5FA456BA71}"/>
    <cellStyle name="Normal 12 2 2 4 3" xfId="5493" xr:uid="{00000000-0005-0000-0000-0000EA0D0000}"/>
    <cellStyle name="Normal 12 2 2 4 3 2" xfId="14819" xr:uid="{F38F38EB-4C6A-4A3C-9899-A8E5A48806A2}"/>
    <cellStyle name="Normal 12 2 2 4 4" xfId="10602" xr:uid="{9CA8B890-B017-4249-8EDB-BF053DD8015A}"/>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053B3AB7-B366-4312-9A05-3693FB6F8CA9}"/>
    <cellStyle name="Normal 12 2 2 5 2 3" xfId="13160" xr:uid="{E89BB2A1-B300-4F1B-8D32-8A275ABAFD7C}"/>
    <cellStyle name="Normal 12 2 2 5 3" xfId="5906" xr:uid="{00000000-0005-0000-0000-0000EE0D0000}"/>
    <cellStyle name="Normal 12 2 2 5 3 2" xfId="15232" xr:uid="{C12EF010-DACC-448A-861A-16B16A5F4D93}"/>
    <cellStyle name="Normal 12 2 2 5 4" xfId="11015" xr:uid="{4275390C-1C6D-41B1-880E-AD2432875812}"/>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AC0FDDA7-AA47-49AB-89F7-05DB8BD5F7AD}"/>
    <cellStyle name="Normal 12 2 2 6 2 3" xfId="13573" xr:uid="{4AA72875-16C6-4211-896C-B7E01509003A}"/>
    <cellStyle name="Normal 12 2 2 6 3" xfId="6319" xr:uid="{00000000-0005-0000-0000-0000F20D0000}"/>
    <cellStyle name="Normal 12 2 2 6 3 2" xfId="15645" xr:uid="{9D105553-753B-41F4-8B8D-4994E5C575BB}"/>
    <cellStyle name="Normal 12 2 2 6 4" xfId="11428" xr:uid="{B007CFE7-C2E4-4C0B-A19D-3D67FAF7902D}"/>
    <cellStyle name="Normal 12 2 2 7" xfId="2449" xr:uid="{00000000-0005-0000-0000-0000F30D0000}"/>
    <cellStyle name="Normal 12 2 2 7 2" xfId="6732" xr:uid="{00000000-0005-0000-0000-0000F40D0000}"/>
    <cellStyle name="Normal 12 2 2 7 2 2" xfId="16058" xr:uid="{14D94D02-66A0-4899-AE9D-836BF8CCD54A}"/>
    <cellStyle name="Normal 12 2 2 7 3" xfId="11841" xr:uid="{40D90FAF-80CF-47AC-8B93-10A3F393999D}"/>
    <cellStyle name="Normal 12 2 2 8" xfId="4666" xr:uid="{00000000-0005-0000-0000-0000F50D0000}"/>
    <cellStyle name="Normal 12 2 2 8 2" xfId="13992" xr:uid="{90C8554E-473D-46AD-952F-F3EF4233547B}"/>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25B98553-D9F2-455E-90E6-C11533D2B27C}"/>
    <cellStyle name="Normal 12 2 3 2 2 3" xfId="12336" xr:uid="{31971946-76B9-47FE-A6A0-CBE1631E43C4}"/>
    <cellStyle name="Normal 12 2 3 2 3" xfId="5082" xr:uid="{00000000-0005-0000-0000-0000FA0D0000}"/>
    <cellStyle name="Normal 12 2 3 2 3 2" xfId="14408" xr:uid="{3D6EEE9F-990D-40B3-8694-F2E0B4FCEC91}"/>
    <cellStyle name="Normal 12 2 3 2 4" xfId="9443" xr:uid="{61F0A971-1285-4215-8170-49D07520551A}"/>
    <cellStyle name="Normal 12 2 3 2 5" xfId="10191" xr:uid="{877A8EF7-C545-4DEF-A745-4A6D1B3B0790}"/>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3B255B9C-47A6-4792-98C7-6C50D0E4C3B4}"/>
    <cellStyle name="Normal 12 2 3 3 2 3" xfId="12749" xr:uid="{4247B20A-CC63-4FCE-B1A3-18CB6D2DC1A2}"/>
    <cellStyle name="Normal 12 2 3 3 3" xfId="5495" xr:uid="{00000000-0005-0000-0000-0000FE0D0000}"/>
    <cellStyle name="Normal 12 2 3 3 3 2" xfId="14821" xr:uid="{1096BDFE-29A9-4347-A8BE-A4EC23D4EED3}"/>
    <cellStyle name="Normal 12 2 3 3 4" xfId="10604" xr:uid="{3D5CF272-AF98-4AA0-8FCE-33009A5ED344}"/>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2A6BC256-DF30-4A25-9B0A-44DCC0C6DCFB}"/>
    <cellStyle name="Normal 12 2 3 4 2 3" xfId="13162" xr:uid="{3EBAC386-B693-4D02-A706-F8820471DBAA}"/>
    <cellStyle name="Normal 12 2 3 4 3" xfId="5908" xr:uid="{00000000-0005-0000-0000-0000020E0000}"/>
    <cellStyle name="Normal 12 2 3 4 3 2" xfId="15234" xr:uid="{A99EA05D-7D15-4208-84EC-A1D4C5E3894C}"/>
    <cellStyle name="Normal 12 2 3 4 4" xfId="11017" xr:uid="{EC37672E-B81E-4FB8-84C8-68693F219FE2}"/>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7D2C27F6-4206-4C51-A4D0-9F29C9578C63}"/>
    <cellStyle name="Normal 12 2 3 5 2 3" xfId="13575" xr:uid="{E62E1942-C86B-4CEB-8C8C-963A608493E4}"/>
    <cellStyle name="Normal 12 2 3 5 3" xfId="6321" xr:uid="{00000000-0005-0000-0000-0000060E0000}"/>
    <cellStyle name="Normal 12 2 3 5 3 2" xfId="15647" xr:uid="{0F722550-2A6A-4796-8A28-B953278CA1F2}"/>
    <cellStyle name="Normal 12 2 3 5 4" xfId="11430" xr:uid="{C828A11D-3FBA-40BB-92AF-281C79C94864}"/>
    <cellStyle name="Normal 12 2 3 6" xfId="2451" xr:uid="{00000000-0005-0000-0000-0000070E0000}"/>
    <cellStyle name="Normal 12 2 3 6 2" xfId="6734" xr:uid="{00000000-0005-0000-0000-0000080E0000}"/>
    <cellStyle name="Normal 12 2 3 6 2 2" xfId="16060" xr:uid="{DD0A91A2-37E5-4612-8B84-E7F4D955EDD4}"/>
    <cellStyle name="Normal 12 2 3 6 3" xfId="11843" xr:uid="{0CE1B520-0280-4D91-87EB-ACE0D6DF9BD1}"/>
    <cellStyle name="Normal 12 2 3 7" xfId="4668" xr:uid="{00000000-0005-0000-0000-0000090E0000}"/>
    <cellStyle name="Normal 12 2 3 7 2" xfId="13994" xr:uid="{C05B10E1-D824-4E78-A2F5-B2AD95C744BD}"/>
    <cellStyle name="Normal 12 2 3 8" xfId="9018" xr:uid="{C3F41DC6-3A80-4145-A68D-169ABB54B6D0}"/>
    <cellStyle name="Normal 12 2 3 9" xfId="9777" xr:uid="{A05089EE-0622-4CF2-BA4B-B0B3C876D59A}"/>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077A14D1-305A-4A32-8B61-6F1992AE77A6}"/>
    <cellStyle name="Normal 12 2 4 2 3" xfId="12333" xr:uid="{EE47CB7B-2643-4C58-B84D-8FE1CBA6AA8F}"/>
    <cellStyle name="Normal 12 2 4 3" xfId="5079" xr:uid="{00000000-0005-0000-0000-00000D0E0000}"/>
    <cellStyle name="Normal 12 2 4 3 2" xfId="14405" xr:uid="{BF5A47BD-B394-4DF8-B29D-346A7D6D2AA1}"/>
    <cellStyle name="Normal 12 2 4 4" xfId="9236" xr:uid="{C3D0196D-4BB3-4870-9762-A3CF40E5B45B}"/>
    <cellStyle name="Normal 12 2 4 5" xfId="10188" xr:uid="{5F9A570E-C994-4EAE-A3A9-6AC7BD0359B4}"/>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3DFB27F5-0E4A-49F5-A637-123102327862}"/>
    <cellStyle name="Normal 12 2 5 2 3" xfId="12746" xr:uid="{495B4667-9B05-45D0-9D69-B41641F6F346}"/>
    <cellStyle name="Normal 12 2 5 3" xfId="5492" xr:uid="{00000000-0005-0000-0000-0000110E0000}"/>
    <cellStyle name="Normal 12 2 5 3 2" xfId="14818" xr:uid="{C72D75BF-F4E9-4ECE-9D64-283DA13CFCA2}"/>
    <cellStyle name="Normal 12 2 5 4" xfId="10601" xr:uid="{3575930C-85A6-43C2-9603-520115C8887B}"/>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B59BA0FC-DDA6-49B4-BC82-374A342795F0}"/>
    <cellStyle name="Normal 12 2 6 2 3" xfId="13159" xr:uid="{5D963EEE-475D-4804-9419-2C329506BADA}"/>
    <cellStyle name="Normal 12 2 6 3" xfId="5905" xr:uid="{00000000-0005-0000-0000-0000150E0000}"/>
    <cellStyle name="Normal 12 2 6 3 2" xfId="15231" xr:uid="{D181D2B4-0DCD-4B5C-B855-0B3AA3ADC2B4}"/>
    <cellStyle name="Normal 12 2 6 4" xfId="11014" xr:uid="{F78E6D8A-B75E-47CE-AFD5-2F74D70A0BE0}"/>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AAC24FFA-2B39-4447-8F71-83557C32FA94}"/>
    <cellStyle name="Normal 12 2 7 2 3" xfId="13572" xr:uid="{8AC267A6-F031-4662-9328-415CA17A4A69}"/>
    <cellStyle name="Normal 12 2 7 3" xfId="6318" xr:uid="{00000000-0005-0000-0000-0000190E0000}"/>
    <cellStyle name="Normal 12 2 7 3 2" xfId="15644" xr:uid="{798E150B-2280-4FDD-85B4-340BAA71F16A}"/>
    <cellStyle name="Normal 12 2 7 4" xfId="11427" xr:uid="{44EC912F-9F32-470D-8BC8-BF639210A043}"/>
    <cellStyle name="Normal 12 2 8" xfId="2448" xr:uid="{00000000-0005-0000-0000-00001A0E0000}"/>
    <cellStyle name="Normal 12 2 8 2" xfId="6731" xr:uid="{00000000-0005-0000-0000-00001B0E0000}"/>
    <cellStyle name="Normal 12 2 8 2 2" xfId="16057" xr:uid="{E30E831F-24BB-4488-B700-5CF75159CE13}"/>
    <cellStyle name="Normal 12 2 8 3" xfId="11840" xr:uid="{B43091B6-22DF-4DB7-BF2B-364CDD2956C1}"/>
    <cellStyle name="Normal 12 2 9" xfId="4665" xr:uid="{00000000-0005-0000-0000-00001C0E0000}"/>
    <cellStyle name="Normal 12 2 9 2" xfId="13991" xr:uid="{E0F3D5E2-713C-43D1-A6B7-9B96DFDE0699}"/>
    <cellStyle name="Normal 12 3" xfId="264" xr:uid="{00000000-0005-0000-0000-00001D0E0000}"/>
    <cellStyle name="Normal 12 3 10" xfId="9778" xr:uid="{9956B6EC-4BCA-46D9-8DBB-05BDB8B90304}"/>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53C18D23-F7E2-42D2-BF98-7DCC1EC223ED}"/>
    <cellStyle name="Normal 12 3 2 2 2 3" xfId="12338" xr:uid="{66CE2B70-A7AC-4345-8C89-DBA74E3F6A0E}"/>
    <cellStyle name="Normal 12 3 2 2 3" xfId="5084" xr:uid="{00000000-0005-0000-0000-0000220E0000}"/>
    <cellStyle name="Normal 12 3 2 2 3 2" xfId="14410" xr:uid="{A21B3FCE-830A-49E4-ABBA-0AB676EE69E6}"/>
    <cellStyle name="Normal 12 3 2 2 4" xfId="9505" xr:uid="{B127619B-367D-40AD-851E-01DDBB2DCD13}"/>
    <cellStyle name="Normal 12 3 2 2 5" xfId="10193" xr:uid="{B12F4BD1-BB35-4BB4-90DF-12E064FDC3B5}"/>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B79A5114-47D2-4537-B6C3-4504DC7B1DAD}"/>
    <cellStyle name="Normal 12 3 2 3 2 3" xfId="12751" xr:uid="{2BDEC099-EE8A-45DB-BB77-3D060786EF29}"/>
    <cellStyle name="Normal 12 3 2 3 3" xfId="5497" xr:uid="{00000000-0005-0000-0000-0000260E0000}"/>
    <cellStyle name="Normal 12 3 2 3 3 2" xfId="14823" xr:uid="{D6D2B664-3F5B-4596-960F-8A79C075AC0E}"/>
    <cellStyle name="Normal 12 3 2 3 4" xfId="10606" xr:uid="{66DEDADF-B805-4E3E-80CD-D24FA42EC842}"/>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D252D2D5-BD07-45E6-8EF4-020A3A01F95B}"/>
    <cellStyle name="Normal 12 3 2 4 2 3" xfId="13164" xr:uid="{8F7D50EE-EA38-49C0-A725-4E38459A4953}"/>
    <cellStyle name="Normal 12 3 2 4 3" xfId="5910" xr:uid="{00000000-0005-0000-0000-00002A0E0000}"/>
    <cellStyle name="Normal 12 3 2 4 3 2" xfId="15236" xr:uid="{41B5649A-C2CE-4F84-80F7-3AD7748D1882}"/>
    <cellStyle name="Normal 12 3 2 4 4" xfId="11019" xr:uid="{739D4B8A-072E-4089-A674-1630F22E6832}"/>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816E8089-2922-49B0-B5CF-D97390FDA107}"/>
    <cellStyle name="Normal 12 3 2 5 2 3" xfId="13577" xr:uid="{75CD7DCF-AEFB-47D9-A5F0-273083600957}"/>
    <cellStyle name="Normal 12 3 2 5 3" xfId="6323" xr:uid="{00000000-0005-0000-0000-00002E0E0000}"/>
    <cellStyle name="Normal 12 3 2 5 3 2" xfId="15649" xr:uid="{637A7F28-0E33-4DF3-B414-091FE548DC24}"/>
    <cellStyle name="Normal 12 3 2 5 4" xfId="11432" xr:uid="{4FB6DD8B-D173-4687-8A60-769AEF6C5398}"/>
    <cellStyle name="Normal 12 3 2 6" xfId="2453" xr:uid="{00000000-0005-0000-0000-00002F0E0000}"/>
    <cellStyle name="Normal 12 3 2 6 2" xfId="6736" xr:uid="{00000000-0005-0000-0000-0000300E0000}"/>
    <cellStyle name="Normal 12 3 2 6 2 2" xfId="16062" xr:uid="{6EFE0823-10A9-489B-97BC-BFF1985DC242}"/>
    <cellStyle name="Normal 12 3 2 6 3" xfId="11845" xr:uid="{D91596D8-549E-4D0F-942B-546D7BA57BC0}"/>
    <cellStyle name="Normal 12 3 2 7" xfId="4670" xr:uid="{00000000-0005-0000-0000-0000310E0000}"/>
    <cellStyle name="Normal 12 3 2 7 2" xfId="13996" xr:uid="{4C79B34A-5563-495C-A03A-608792ECBE8C}"/>
    <cellStyle name="Normal 12 3 2 8" xfId="9080" xr:uid="{403F3083-4A9F-4295-B676-C31241B8936E}"/>
    <cellStyle name="Normal 12 3 2 9" xfId="9779" xr:uid="{E16E0413-4EFC-4927-87BD-8FA7B30222B0}"/>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3AEB190C-D981-4647-952A-25639DE0FF52}"/>
    <cellStyle name="Normal 12 3 3 2 3" xfId="12337" xr:uid="{FF5C5CCE-41D9-4234-BA1C-D2D3C699E322}"/>
    <cellStyle name="Normal 12 3 3 3" xfId="5083" xr:uid="{00000000-0005-0000-0000-0000350E0000}"/>
    <cellStyle name="Normal 12 3 3 3 2" xfId="14409" xr:uid="{EE73ACCB-E05B-4BEA-90B9-F603F0FFA247}"/>
    <cellStyle name="Normal 12 3 3 4" xfId="9298" xr:uid="{A6F9D711-F86A-406D-B160-91678C261745}"/>
    <cellStyle name="Normal 12 3 3 5" xfId="10192" xr:uid="{3196AC4D-2234-4AD8-B6A8-D56083CE7BAB}"/>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5721AE2C-3E84-47B9-8A9D-21561761815E}"/>
    <cellStyle name="Normal 12 3 4 2 3" xfId="12750" xr:uid="{AD5F7ABE-5EB3-42A4-ADF6-244951925440}"/>
    <cellStyle name="Normal 12 3 4 3" xfId="5496" xr:uid="{00000000-0005-0000-0000-0000390E0000}"/>
    <cellStyle name="Normal 12 3 4 3 2" xfId="14822" xr:uid="{4EA4AD58-4A57-4E00-98BF-BF7B254B178D}"/>
    <cellStyle name="Normal 12 3 4 4" xfId="10605" xr:uid="{32B5C1B8-6C91-4DD4-8B2D-FC4078133CA8}"/>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E6AFEB73-841A-4C04-8303-A0F865945CDF}"/>
    <cellStyle name="Normal 12 3 5 2 3" xfId="13163" xr:uid="{DE2FC575-F81A-4C03-B0F3-BB4FD8938FEA}"/>
    <cellStyle name="Normal 12 3 5 3" xfId="5909" xr:uid="{00000000-0005-0000-0000-00003D0E0000}"/>
    <cellStyle name="Normal 12 3 5 3 2" xfId="15235" xr:uid="{F606958B-5A7E-4A34-BEAF-68C1A6620318}"/>
    <cellStyle name="Normal 12 3 5 4" xfId="11018" xr:uid="{966E2CA3-4390-4FC5-B9A7-1EAAE96A5780}"/>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C48BEEA9-F6B4-496D-B02A-2855EB2A1E92}"/>
    <cellStyle name="Normal 12 3 6 2 3" xfId="13576" xr:uid="{51642BE6-8D1D-4519-9CE0-24850170AC6C}"/>
    <cellStyle name="Normal 12 3 6 3" xfId="6322" xr:uid="{00000000-0005-0000-0000-0000410E0000}"/>
    <cellStyle name="Normal 12 3 6 3 2" xfId="15648" xr:uid="{4434675E-6426-45DC-876C-5A0E5F81F4A9}"/>
    <cellStyle name="Normal 12 3 6 4" xfId="11431" xr:uid="{ADCE37D5-BB26-4CBB-8F18-41313AAD2CF6}"/>
    <cellStyle name="Normal 12 3 7" xfId="2452" xr:uid="{00000000-0005-0000-0000-0000420E0000}"/>
    <cellStyle name="Normal 12 3 7 2" xfId="6735" xr:uid="{00000000-0005-0000-0000-0000430E0000}"/>
    <cellStyle name="Normal 12 3 7 2 2" xfId="16061" xr:uid="{EBF74ADE-BB08-479B-A59F-8D9FD8FB17AA}"/>
    <cellStyle name="Normal 12 3 7 3" xfId="11844" xr:uid="{29E17BF7-F239-4542-BA37-1827830AAEEF}"/>
    <cellStyle name="Normal 12 3 8" xfId="4669" xr:uid="{00000000-0005-0000-0000-0000440E0000}"/>
    <cellStyle name="Normal 12 3 8 2" xfId="13995" xr:uid="{BF328724-CAEA-480C-9B3A-F15C432CCFF3}"/>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91408174-F5E7-4850-8655-CDB111FFFA29}"/>
    <cellStyle name="Normal 12 4 2 2 3" xfId="12339" xr:uid="{50A1837C-800A-4F8F-B0F1-883F03A49549}"/>
    <cellStyle name="Normal 12 4 2 3" xfId="5085" xr:uid="{00000000-0005-0000-0000-0000490E0000}"/>
    <cellStyle name="Normal 12 4 2 3 2" xfId="14411" xr:uid="{4293D8EA-A90A-4652-B943-C5C2458B80F8}"/>
    <cellStyle name="Normal 12 4 2 4" xfId="9402" xr:uid="{F40C9AB7-F4D0-4A65-BBAA-FF5409160FE5}"/>
    <cellStyle name="Normal 12 4 2 5" xfId="10194" xr:uid="{387632D3-FFFE-496F-826D-3D88078E77A6}"/>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B9BED8EE-BCAA-43DD-948E-E4449C37C2B0}"/>
    <cellStyle name="Normal 12 4 3 2 3" xfId="12752" xr:uid="{71B59AF9-809A-46CF-991B-529FC2A56868}"/>
    <cellStyle name="Normal 12 4 3 3" xfId="5498" xr:uid="{00000000-0005-0000-0000-00004D0E0000}"/>
    <cellStyle name="Normal 12 4 3 3 2" xfId="14824" xr:uid="{60E97165-9B93-4615-876C-1D7B7602EA8C}"/>
    <cellStyle name="Normal 12 4 3 4" xfId="10607" xr:uid="{2707982E-0942-48A1-B758-FEC84CED2435}"/>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9405C4C5-0D22-4986-9E95-791D44BF88E7}"/>
    <cellStyle name="Normal 12 4 4 2 3" xfId="13165" xr:uid="{DC26EE4B-B975-4D0B-86BC-189D49BA598E}"/>
    <cellStyle name="Normal 12 4 4 3" xfId="5911" xr:uid="{00000000-0005-0000-0000-0000510E0000}"/>
    <cellStyle name="Normal 12 4 4 3 2" xfId="15237" xr:uid="{C91300FD-4100-40DF-859F-D4458BF3BFE9}"/>
    <cellStyle name="Normal 12 4 4 4" xfId="11020" xr:uid="{2C22344C-85A0-4A15-BBE1-0F62A8871F4C}"/>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F22DAF56-5311-43BC-AA08-D996065B715E}"/>
    <cellStyle name="Normal 12 4 5 2 3" xfId="13578" xr:uid="{AB23A78A-67FF-449A-8507-CB824E679D97}"/>
    <cellStyle name="Normal 12 4 5 3" xfId="6324" xr:uid="{00000000-0005-0000-0000-0000550E0000}"/>
    <cellStyle name="Normal 12 4 5 3 2" xfId="15650" xr:uid="{030C43D1-7897-45DE-8F32-2C7E14445D72}"/>
    <cellStyle name="Normal 12 4 5 4" xfId="11433" xr:uid="{73ED1AE3-05E3-4D90-B44B-76E8E97E15FB}"/>
    <cellStyle name="Normal 12 4 6" xfId="2454" xr:uid="{00000000-0005-0000-0000-0000560E0000}"/>
    <cellStyle name="Normal 12 4 6 2" xfId="6737" xr:uid="{00000000-0005-0000-0000-0000570E0000}"/>
    <cellStyle name="Normal 12 4 6 2 2" xfId="16063" xr:uid="{7381F5C4-93F1-4046-8669-2C93F1CA389B}"/>
    <cellStyle name="Normal 12 4 6 3" xfId="11846" xr:uid="{1816A013-9FE3-42CF-83BC-4C0D98A732D0}"/>
    <cellStyle name="Normal 12 4 7" xfId="4671" xr:uid="{00000000-0005-0000-0000-0000580E0000}"/>
    <cellStyle name="Normal 12 4 7 2" xfId="13997" xr:uid="{9F06FA14-D471-45DC-90C6-1C534D10A7EC}"/>
    <cellStyle name="Normal 12 4 8" xfId="8977" xr:uid="{5BFFE5F3-99F6-4DA1-A3EF-BF749B3B7ACB}"/>
    <cellStyle name="Normal 12 4 9" xfId="9780" xr:uid="{EB56FDDD-F330-4AC3-AA62-37AB92DE2271}"/>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D1EFCD2C-BFC8-4F98-AB26-7F1262491A6E}"/>
    <cellStyle name="Normal 12 6 2 3" xfId="12332" xr:uid="{A1024D5B-185F-4645-AB48-4F09E34F7E5B}"/>
    <cellStyle name="Normal 12 6 3" xfId="5078" xr:uid="{00000000-0005-0000-0000-00005D0E0000}"/>
    <cellStyle name="Normal 12 6 3 2" xfId="14404" xr:uid="{EA4D3E6F-DCAF-4765-8EDB-B9582539D3A3}"/>
    <cellStyle name="Normal 12 6 4" xfId="9194" xr:uid="{92D32932-3865-4F6F-A551-9A99EC116A43}"/>
    <cellStyle name="Normal 12 6 5" xfId="10187" xr:uid="{1C18F9F5-6C4C-4D81-A276-28EAD6535586}"/>
    <cellStyle name="Normal 12 7" xfId="1183" xr:uid="{00000000-0005-0000-0000-00005E0E0000}"/>
    <cellStyle name="Normal 12 7 2" xfId="3414" xr:uid="{00000000-0005-0000-0000-00005F0E0000}"/>
    <cellStyle name="Normal 12 7 2 2" xfId="7636" xr:uid="{00000000-0005-0000-0000-0000600E0000}"/>
    <cellStyle name="Normal 12 7 2 2 2" xfId="16962" xr:uid="{04D8948E-7183-40E0-BDA4-0BA3AB44063A}"/>
    <cellStyle name="Normal 12 7 2 3" xfId="12745" xr:uid="{3E26A7F7-3B54-4D83-9769-CC6186EAC8BB}"/>
    <cellStyle name="Normal 12 7 3" xfId="5491" xr:uid="{00000000-0005-0000-0000-0000610E0000}"/>
    <cellStyle name="Normal 12 7 3 2" xfId="14817" xr:uid="{08BF911D-DAD2-4284-9350-4009C6B7B525}"/>
    <cellStyle name="Normal 12 7 4" xfId="10600" xr:uid="{ACDBA9F6-2067-4909-9791-E83474A3B505}"/>
    <cellStyle name="Normal 12 8" xfId="1597" xr:uid="{00000000-0005-0000-0000-0000620E0000}"/>
    <cellStyle name="Normal 12 8 2" xfId="3827" xr:uid="{00000000-0005-0000-0000-0000630E0000}"/>
    <cellStyle name="Normal 12 8 2 2" xfId="8049" xr:uid="{00000000-0005-0000-0000-0000640E0000}"/>
    <cellStyle name="Normal 12 8 2 2 2" xfId="17375" xr:uid="{FF1EB034-FC75-4AF7-8B23-E63F9F4848BE}"/>
    <cellStyle name="Normal 12 8 2 3" xfId="13158" xr:uid="{9448B2C4-6D2A-4609-96A5-C73B66F5D0E2}"/>
    <cellStyle name="Normal 12 8 3" xfId="5904" xr:uid="{00000000-0005-0000-0000-0000650E0000}"/>
    <cellStyle name="Normal 12 8 3 2" xfId="15230" xr:uid="{DD130509-CBB9-486A-9DE8-2D48909F3BDF}"/>
    <cellStyle name="Normal 12 8 4" xfId="11013" xr:uid="{39519817-9042-4342-8276-F778D35C1031}"/>
    <cellStyle name="Normal 12 9" xfId="2011" xr:uid="{00000000-0005-0000-0000-0000660E0000}"/>
    <cellStyle name="Normal 12 9 2" xfId="4240" xr:uid="{00000000-0005-0000-0000-0000670E0000}"/>
    <cellStyle name="Normal 12 9 2 2" xfId="8462" xr:uid="{00000000-0005-0000-0000-0000680E0000}"/>
    <cellStyle name="Normal 12 9 2 2 2" xfId="17788" xr:uid="{3E706955-02A2-4D91-A236-56F655DEAA03}"/>
    <cellStyle name="Normal 12 9 2 3" xfId="13571" xr:uid="{53C774F2-7C97-4340-BF15-C199C32BEBF1}"/>
    <cellStyle name="Normal 12 9 3" xfId="6317" xr:uid="{00000000-0005-0000-0000-0000690E0000}"/>
    <cellStyle name="Normal 12 9 3 2" xfId="15643" xr:uid="{2292B6B3-3B21-4982-960D-793B73677DFC}"/>
    <cellStyle name="Normal 12 9 4" xfId="11426" xr:uid="{15E51A8A-C8FE-476F-9802-F9198C457D32}"/>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66869599-2713-4CE6-9527-CC5341EF7CF8}"/>
    <cellStyle name="Normal 14 2 2 3" xfId="12340" xr:uid="{80F98D48-53F2-4BF1-B76F-15D4421B4D48}"/>
    <cellStyle name="Normal 14 2 3" xfId="5086" xr:uid="{00000000-0005-0000-0000-0000700E0000}"/>
    <cellStyle name="Normal 14 2 3 2" xfId="14412" xr:uid="{C3533091-7344-44C3-9BDA-4629BBAF6120}"/>
    <cellStyle name="Normal 14 2 4" xfId="9371" xr:uid="{E1AFB5B4-F468-480A-B09F-3374B2F03BDA}"/>
    <cellStyle name="Normal 14 2 5" xfId="10195" xr:uid="{26B94FF7-9C12-469A-9D60-683C2453ED30}"/>
    <cellStyle name="Normal 14 3" xfId="1191" xr:uid="{00000000-0005-0000-0000-0000710E0000}"/>
    <cellStyle name="Normal 14 3 2" xfId="3422" xr:uid="{00000000-0005-0000-0000-0000720E0000}"/>
    <cellStyle name="Normal 14 3 2 2" xfId="7644" xr:uid="{00000000-0005-0000-0000-0000730E0000}"/>
    <cellStyle name="Normal 14 3 2 2 2" xfId="16970" xr:uid="{A39E16A7-9038-42D0-9F55-C8771815FDC7}"/>
    <cellStyle name="Normal 14 3 2 3" xfId="12753" xr:uid="{30C602F3-F63A-4ED0-9A0A-BF07F1E5FA2A}"/>
    <cellStyle name="Normal 14 3 3" xfId="5499" xr:uid="{00000000-0005-0000-0000-0000740E0000}"/>
    <cellStyle name="Normal 14 3 3 2" xfId="14825" xr:uid="{233F3EB9-7B3F-4838-8C51-E8AEA4B3128F}"/>
    <cellStyle name="Normal 14 3 4" xfId="10608" xr:uid="{A99EC509-4F66-437F-AC7F-EDB66E54DBB5}"/>
    <cellStyle name="Normal 14 4" xfId="1605" xr:uid="{00000000-0005-0000-0000-0000750E0000}"/>
    <cellStyle name="Normal 14 4 2" xfId="3835" xr:uid="{00000000-0005-0000-0000-0000760E0000}"/>
    <cellStyle name="Normal 14 4 2 2" xfId="8057" xr:uid="{00000000-0005-0000-0000-0000770E0000}"/>
    <cellStyle name="Normal 14 4 2 2 2" xfId="17383" xr:uid="{8A30EFBF-702F-4939-869E-5367E6F70F9A}"/>
    <cellStyle name="Normal 14 4 2 3" xfId="13166" xr:uid="{339A44C2-E89E-4BB6-B365-A63FD9A4C002}"/>
    <cellStyle name="Normal 14 4 3" xfId="5912" xr:uid="{00000000-0005-0000-0000-0000780E0000}"/>
    <cellStyle name="Normal 14 4 3 2" xfId="15238" xr:uid="{75D9CCFE-30A3-4CA2-B3EC-1319435748E2}"/>
    <cellStyle name="Normal 14 4 4" xfId="11021" xr:uid="{4ED0247F-7F10-4698-AF42-CD89CB813320}"/>
    <cellStyle name="Normal 14 5" xfId="2019" xr:uid="{00000000-0005-0000-0000-0000790E0000}"/>
    <cellStyle name="Normal 14 5 2" xfId="4248" xr:uid="{00000000-0005-0000-0000-00007A0E0000}"/>
    <cellStyle name="Normal 14 5 2 2" xfId="8470" xr:uid="{00000000-0005-0000-0000-00007B0E0000}"/>
    <cellStyle name="Normal 14 5 2 2 2" xfId="17796" xr:uid="{8E526C6E-7CC3-436D-84DE-CA145B0730EF}"/>
    <cellStyle name="Normal 14 5 2 3" xfId="13579" xr:uid="{EB3C1D94-5413-43ED-998C-97F6D0522E05}"/>
    <cellStyle name="Normal 14 5 3" xfId="6325" xr:uid="{00000000-0005-0000-0000-00007C0E0000}"/>
    <cellStyle name="Normal 14 5 3 2" xfId="15651" xr:uid="{91C8E20E-25AE-40FA-A796-8B5E16E52B3C}"/>
    <cellStyle name="Normal 14 5 4" xfId="11434" xr:uid="{73EC4823-4B3A-4A50-A898-39BF9BCEC2D7}"/>
    <cellStyle name="Normal 14 6" xfId="2455" xr:uid="{00000000-0005-0000-0000-00007D0E0000}"/>
    <cellStyle name="Normal 14 6 2" xfId="6738" xr:uid="{00000000-0005-0000-0000-00007E0E0000}"/>
    <cellStyle name="Normal 14 6 2 2" xfId="16064" xr:uid="{24D4B5DF-00B5-4969-A62A-B0DD3D82ACE9}"/>
    <cellStyle name="Normal 14 6 3" xfId="11847" xr:uid="{9B5F9B88-C33F-47BE-9080-D70694265130}"/>
    <cellStyle name="Normal 14 7" xfId="4672" xr:uid="{00000000-0005-0000-0000-00007F0E0000}"/>
    <cellStyle name="Normal 14 7 2" xfId="13998" xr:uid="{35F1CAF7-9550-4F13-8DEB-B89AD693E1B3}"/>
    <cellStyle name="Normal 14 8" xfId="8946" xr:uid="{DD997A1C-6669-41AA-8AC1-78121AFC796C}"/>
    <cellStyle name="Normal 14 9" xfId="9781" xr:uid="{33F5062A-39A2-452A-A124-A7BA9176FC03}"/>
    <cellStyle name="Normal 15" xfId="4496" xr:uid="{00000000-0005-0000-0000-0000800E0000}"/>
    <cellStyle name="Normal 15 2" xfId="9578" xr:uid="{99513E76-E7E2-49D8-ADC5-F882C61FFC79}"/>
    <cellStyle name="Normal 15 3" xfId="9155" xr:uid="{47700DD8-A88A-4CB4-BFAD-BA75A2D4FC8E}"/>
    <cellStyle name="Normal 15 4" xfId="13824" xr:uid="{CC218602-74D1-4CBD-A509-1F8D295A0140}"/>
    <cellStyle name="Normal 16" xfId="4500" xr:uid="{00000000-0005-0000-0000-0000810E0000}"/>
    <cellStyle name="Normal 16 2" xfId="8715" xr:uid="{00000000-0005-0000-0000-0000820E0000}"/>
    <cellStyle name="Normal 16 2 2" xfId="18041" xr:uid="{8D0DC48F-BC4E-4D22-BB12-4C9336BB8CE7}"/>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8057" xr:uid="{081383C7-0218-4319-810F-D125439AAFA6}"/>
    <cellStyle name="Normal 16 3 2 2 2 3" xfId="18054" xr:uid="{BE04ACC0-4E9B-4DF0-8E09-A10ABB6AF6C2}"/>
    <cellStyle name="Normal 16 3 2 2 3" xfId="18050" xr:uid="{F62E30CE-8959-4ACD-813D-6B278AF6CDC4}"/>
    <cellStyle name="Normal 16 3 2 3" xfId="18047" xr:uid="{14115A96-F54F-4577-9F34-DF2CA52F0D2A}"/>
    <cellStyle name="Normal 16 3 3" xfId="18044" xr:uid="{B49222FE-1F09-4DB2-94A3-B449B563B167}"/>
    <cellStyle name="Normal 16 4" xfId="9612" xr:uid="{8729F6E8-3534-4DAE-B0B2-B2AF3CDCD313}"/>
    <cellStyle name="Normal 16 5" xfId="13827" xr:uid="{FCC69B9F-8CD0-4664-A1D7-1B3A36812F2A}"/>
    <cellStyle name="Normal 17" xfId="8728" xr:uid="{3FF0972C-833B-4475-99D8-1A6907499E71}"/>
    <cellStyle name="Normal 17 2" xfId="9157" xr:uid="{6C872296-5E17-4821-9139-E52AD113B06C}"/>
    <cellStyle name="Normal 17 3" xfId="9154" xr:uid="{DC3FF210-EC1F-47CE-8CCE-F8F5460671B1}"/>
    <cellStyle name="Normal 17 4" xfId="18053" xr:uid="{7A13F16C-A9FD-4EE3-82B1-836469CF5B9C}"/>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C8B8D00A-CB89-4448-BFA9-235A02751E15}"/>
    <cellStyle name="Normal 2 4 2 10 2 3" xfId="13580" xr:uid="{3CBD98AB-C7BE-4E68-8155-3BA30F53456B}"/>
    <cellStyle name="Normal 2 4 2 10 3" xfId="6326" xr:uid="{00000000-0005-0000-0000-0000910E0000}"/>
    <cellStyle name="Normal 2 4 2 10 3 2" xfId="15652" xr:uid="{865A6B52-ED0A-405E-9C1D-52AB2A7774FA}"/>
    <cellStyle name="Normal 2 4 2 10 4" xfId="11435" xr:uid="{9153C924-2932-4A80-9FA0-145001EE7DF4}"/>
    <cellStyle name="Normal 2 4 2 11" xfId="2456" xr:uid="{00000000-0005-0000-0000-0000920E0000}"/>
    <cellStyle name="Normal 2 4 2 11 2" xfId="6739" xr:uid="{00000000-0005-0000-0000-0000930E0000}"/>
    <cellStyle name="Normal 2 4 2 11 2 2" xfId="16065" xr:uid="{94CECA9F-5E7F-4CBD-8273-B113791E42B5}"/>
    <cellStyle name="Normal 2 4 2 11 3" xfId="11848" xr:uid="{1ADADB54-8054-4EC6-B896-648ED2F6C72E}"/>
    <cellStyle name="Normal 2 4 2 12" xfId="4673" xr:uid="{00000000-0005-0000-0000-0000940E0000}"/>
    <cellStyle name="Normal 2 4 2 12 2" xfId="13999" xr:uid="{29D45C46-E82D-48BD-B43A-F9A3242DEF36}"/>
    <cellStyle name="Normal 2 4 2 13" xfId="8757" xr:uid="{563A76DD-F7DD-49F0-A61E-0419F4C31301}"/>
    <cellStyle name="Normal 2 4 2 14" xfId="9782" xr:uid="{D3B37D85-1D88-4495-90CD-AEA52B6C278A}"/>
    <cellStyle name="Normal 2 4 2 2" xfId="280" xr:uid="{00000000-0005-0000-0000-0000950E0000}"/>
    <cellStyle name="Normal 2 4 2 3" xfId="281" xr:uid="{00000000-0005-0000-0000-0000960E0000}"/>
    <cellStyle name="Normal 2 4 2 3 10" xfId="4674" xr:uid="{00000000-0005-0000-0000-0000970E0000}"/>
    <cellStyle name="Normal 2 4 2 3 10 2" xfId="14000" xr:uid="{EFF78B26-42C7-4F29-936E-AA6BD62AE65D}"/>
    <cellStyle name="Normal 2 4 2 3 11" xfId="8788" xr:uid="{EAD3D227-C8EF-4F54-8D24-EE1EA1F017BB}"/>
    <cellStyle name="Normal 2 4 2 3 12" xfId="9783" xr:uid="{44759AC5-2915-4F25-8EA6-A54FF57A2376}"/>
    <cellStyle name="Normal 2 4 2 3 2" xfId="282" xr:uid="{00000000-0005-0000-0000-0000980E0000}"/>
    <cellStyle name="Normal 2 4 2 3 2 10" xfId="8813" xr:uid="{C03AE35D-2438-4E07-AE9C-6D04EC6DA2B7}"/>
    <cellStyle name="Normal 2 4 2 3 2 11" xfId="9784" xr:uid="{76841BB4-8E73-48A1-910A-7D7FB1EF2B62}"/>
    <cellStyle name="Normal 2 4 2 3 2 2" xfId="283" xr:uid="{00000000-0005-0000-0000-0000990E0000}"/>
    <cellStyle name="Normal 2 4 2 3 2 2 10" xfId="9785" xr:uid="{B043774E-2AC9-457B-A4D0-764742E757C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AECBB083-6528-4BB8-BE1C-8B9707CF724B}"/>
    <cellStyle name="Normal 2 4 2 3 2 2 2 2 2 3" xfId="12345" xr:uid="{17EC55F0-1056-4550-B028-1BDA35EF2946}"/>
    <cellStyle name="Normal 2 4 2 3 2 2 2 2 3" xfId="5091" xr:uid="{00000000-0005-0000-0000-00009E0E0000}"/>
    <cellStyle name="Normal 2 4 2 3 2 2 2 2 3 2" xfId="14417" xr:uid="{D539E82A-12F0-43E1-AEC7-81AA489C85DB}"/>
    <cellStyle name="Normal 2 4 2 3 2 2 2 2 4" xfId="9548" xr:uid="{29E7289E-B3F4-4F63-9B9C-B531B0E50CEB}"/>
    <cellStyle name="Normal 2 4 2 3 2 2 2 2 5" xfId="10200" xr:uid="{5321EF84-E404-4FAF-8E65-248C2B59985C}"/>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90D973FB-BF52-4BD0-B461-42D1FB33632B}"/>
    <cellStyle name="Normal 2 4 2 3 2 2 2 3 2 3" xfId="12758" xr:uid="{A7EFFE09-35BC-45BF-ABE7-A8F8D98FAC92}"/>
    <cellStyle name="Normal 2 4 2 3 2 2 2 3 3" xfId="5504" xr:uid="{00000000-0005-0000-0000-0000A20E0000}"/>
    <cellStyle name="Normal 2 4 2 3 2 2 2 3 3 2" xfId="14830" xr:uid="{AB746B9F-B496-4621-9B57-99B1EA5F8104}"/>
    <cellStyle name="Normal 2 4 2 3 2 2 2 3 4" xfId="10613" xr:uid="{B3CB8408-4EFE-430D-87B2-9BF63DF7F98E}"/>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F7B77B10-0985-462F-9FB7-8A044CB474B7}"/>
    <cellStyle name="Normal 2 4 2 3 2 2 2 4 2 3" xfId="13171" xr:uid="{793ADE1D-DEB9-437E-931D-7B4B8078D677}"/>
    <cellStyle name="Normal 2 4 2 3 2 2 2 4 3" xfId="5917" xr:uid="{00000000-0005-0000-0000-0000A60E0000}"/>
    <cellStyle name="Normal 2 4 2 3 2 2 2 4 3 2" xfId="15243" xr:uid="{75C94CF9-9A46-4DCC-940D-46E0E4190592}"/>
    <cellStyle name="Normal 2 4 2 3 2 2 2 4 4" xfId="11026" xr:uid="{0801A588-AFDD-4E53-B8A9-0B594A66DC1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93CE01D0-A357-42F0-8D37-38F75E541926}"/>
    <cellStyle name="Normal 2 4 2 3 2 2 2 5 2 3" xfId="13584" xr:uid="{5080515C-EC9B-43CD-BDB5-CBCA04F4F8A5}"/>
    <cellStyle name="Normal 2 4 2 3 2 2 2 5 3" xfId="6330" xr:uid="{00000000-0005-0000-0000-0000AA0E0000}"/>
    <cellStyle name="Normal 2 4 2 3 2 2 2 5 3 2" xfId="15656" xr:uid="{8F8EE105-AB81-40BD-B05F-F540F0A0B037}"/>
    <cellStyle name="Normal 2 4 2 3 2 2 2 5 4" xfId="11439" xr:uid="{6ED9047A-ADBC-47EF-8D89-9CA71673CB80}"/>
    <cellStyle name="Normal 2 4 2 3 2 2 2 6" xfId="2460" xr:uid="{00000000-0005-0000-0000-0000AB0E0000}"/>
    <cellStyle name="Normal 2 4 2 3 2 2 2 6 2" xfId="6743" xr:uid="{00000000-0005-0000-0000-0000AC0E0000}"/>
    <cellStyle name="Normal 2 4 2 3 2 2 2 6 2 2" xfId="16069" xr:uid="{BAF7BC7A-65C4-4068-87BA-B91152902548}"/>
    <cellStyle name="Normal 2 4 2 3 2 2 2 6 3" xfId="11852" xr:uid="{29D3A011-5DC8-4C4E-ACCB-7DAD7CA980ED}"/>
    <cellStyle name="Normal 2 4 2 3 2 2 2 7" xfId="4677" xr:uid="{00000000-0005-0000-0000-0000AD0E0000}"/>
    <cellStyle name="Normal 2 4 2 3 2 2 2 7 2" xfId="14003" xr:uid="{37D2DDB7-2754-45B9-9C5C-2FBB80581663}"/>
    <cellStyle name="Normal 2 4 2 3 2 2 2 8" xfId="9123" xr:uid="{9F0183A9-880D-46D9-BB7D-5696E4723F5F}"/>
    <cellStyle name="Normal 2 4 2 3 2 2 2 9" xfId="9786" xr:uid="{F995358A-B291-4529-BC21-CBA7D343CA49}"/>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7D30A30D-0705-4813-AF38-8A6B7AEEBABC}"/>
    <cellStyle name="Normal 2 4 2 3 2 2 3 2 3" xfId="12344" xr:uid="{68511B49-6B70-4014-99C2-EAFC188825B2}"/>
    <cellStyle name="Normal 2 4 2 3 2 2 3 3" xfId="5090" xr:uid="{00000000-0005-0000-0000-0000B10E0000}"/>
    <cellStyle name="Normal 2 4 2 3 2 2 3 3 2" xfId="14416" xr:uid="{D528923B-C059-484D-AB52-93FBB9E7E104}"/>
    <cellStyle name="Normal 2 4 2 3 2 2 3 4" xfId="9341" xr:uid="{4F113FF5-050D-47D1-A7D5-F829C93D993D}"/>
    <cellStyle name="Normal 2 4 2 3 2 2 3 5" xfId="10199" xr:uid="{B407A2D5-6AB6-4C24-ADD7-3A21970657EC}"/>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3508D171-C820-4D64-A999-7886CD61FF0A}"/>
    <cellStyle name="Normal 2 4 2 3 2 2 4 2 3" xfId="12757" xr:uid="{AE8DC16C-C8FE-45B5-82F8-4959BC7B135D}"/>
    <cellStyle name="Normal 2 4 2 3 2 2 4 3" xfId="5503" xr:uid="{00000000-0005-0000-0000-0000B50E0000}"/>
    <cellStyle name="Normal 2 4 2 3 2 2 4 3 2" xfId="14829" xr:uid="{843B250C-3830-4506-A9CC-F02916CA6CF4}"/>
    <cellStyle name="Normal 2 4 2 3 2 2 4 4" xfId="10612" xr:uid="{525C1F17-48CC-40A7-B2C7-5607567ADF7E}"/>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F911452D-AB2A-4C54-B5D5-2BCBC6A2BDD3}"/>
    <cellStyle name="Normal 2 4 2 3 2 2 5 2 3" xfId="13170" xr:uid="{AA772315-0175-4CCA-A09F-78E88F3A294C}"/>
    <cellStyle name="Normal 2 4 2 3 2 2 5 3" xfId="5916" xr:uid="{00000000-0005-0000-0000-0000B90E0000}"/>
    <cellStyle name="Normal 2 4 2 3 2 2 5 3 2" xfId="15242" xr:uid="{5B001B19-F5CC-45EF-BA77-9927E359C884}"/>
    <cellStyle name="Normal 2 4 2 3 2 2 5 4" xfId="11025" xr:uid="{B97B8945-D7B1-405C-B6B4-E4FE2F9E33A2}"/>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4394977A-372A-42BE-A9B3-B8D07B66D445}"/>
    <cellStyle name="Normal 2 4 2 3 2 2 6 2 3" xfId="13583" xr:uid="{3CB70B58-A551-4F26-A3A3-15239886DE81}"/>
    <cellStyle name="Normal 2 4 2 3 2 2 6 3" xfId="6329" xr:uid="{00000000-0005-0000-0000-0000BD0E0000}"/>
    <cellStyle name="Normal 2 4 2 3 2 2 6 3 2" xfId="15655" xr:uid="{C6123666-A1B3-42B9-8ECC-93DAC0953512}"/>
    <cellStyle name="Normal 2 4 2 3 2 2 6 4" xfId="11438" xr:uid="{A37E8B17-30E6-4B59-BEA4-5907456B65B3}"/>
    <cellStyle name="Normal 2 4 2 3 2 2 7" xfId="2459" xr:uid="{00000000-0005-0000-0000-0000BE0E0000}"/>
    <cellStyle name="Normal 2 4 2 3 2 2 7 2" xfId="6742" xr:uid="{00000000-0005-0000-0000-0000BF0E0000}"/>
    <cellStyle name="Normal 2 4 2 3 2 2 7 2 2" xfId="16068" xr:uid="{B6363781-06D8-41B8-8FE9-995C9662A840}"/>
    <cellStyle name="Normal 2 4 2 3 2 2 7 3" xfId="11851" xr:uid="{CA0E020A-85A8-4FDD-AD29-97B1B807A085}"/>
    <cellStyle name="Normal 2 4 2 3 2 2 8" xfId="4676" xr:uid="{00000000-0005-0000-0000-0000C00E0000}"/>
    <cellStyle name="Normal 2 4 2 3 2 2 8 2" xfId="14002" xr:uid="{C0CC48FB-C242-409B-9F7D-CB4CA36171BF}"/>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CDD08972-547C-47A3-89BC-BA6E5613EC98}"/>
    <cellStyle name="Normal 2 4 2 3 2 3 2 2 3" xfId="12346" xr:uid="{16AFEB8C-DB84-4C4D-AF33-257C7778854B}"/>
    <cellStyle name="Normal 2 4 2 3 2 3 2 3" xfId="5092" xr:uid="{00000000-0005-0000-0000-0000C50E0000}"/>
    <cellStyle name="Normal 2 4 2 3 2 3 2 3 2" xfId="14418" xr:uid="{93EE0791-DFE3-4734-86FD-BB83DB2AFEE2}"/>
    <cellStyle name="Normal 2 4 2 3 2 3 2 4" xfId="9445" xr:uid="{67F9E33C-8554-469D-8D7A-1147F632F3B0}"/>
    <cellStyle name="Normal 2 4 2 3 2 3 2 5" xfId="10201" xr:uid="{39C73203-3242-4459-8CB1-CE6077E5FC72}"/>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014E575A-579A-43B1-97F5-6BB725E91E1A}"/>
    <cellStyle name="Normal 2 4 2 3 2 3 3 2 3" xfId="12759" xr:uid="{FFC6F23A-99D5-4791-9B1B-67E003FB7ACD}"/>
    <cellStyle name="Normal 2 4 2 3 2 3 3 3" xfId="5505" xr:uid="{00000000-0005-0000-0000-0000C90E0000}"/>
    <cellStyle name="Normal 2 4 2 3 2 3 3 3 2" xfId="14831" xr:uid="{E79D6F66-9AA4-4F82-ACC4-069B338CA391}"/>
    <cellStyle name="Normal 2 4 2 3 2 3 3 4" xfId="10614" xr:uid="{2F790649-A3C7-49AC-8FA2-4EB52965E6FE}"/>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10B77EDE-E324-4B3C-83AF-429BEF92BF86}"/>
    <cellStyle name="Normal 2 4 2 3 2 3 4 2 3" xfId="13172" xr:uid="{E2557F18-CF25-4865-924C-6FF0953B76D1}"/>
    <cellStyle name="Normal 2 4 2 3 2 3 4 3" xfId="5918" xr:uid="{00000000-0005-0000-0000-0000CD0E0000}"/>
    <cellStyle name="Normal 2 4 2 3 2 3 4 3 2" xfId="15244" xr:uid="{47F41051-764F-45FD-9CAC-92240DA2A804}"/>
    <cellStyle name="Normal 2 4 2 3 2 3 4 4" xfId="11027" xr:uid="{9D729420-62A7-42EE-B6A6-A2F4B745DD6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F57B0191-6063-45ED-AAE4-559C9578874E}"/>
    <cellStyle name="Normal 2 4 2 3 2 3 5 2 3" xfId="13585" xr:uid="{214F465F-B430-4967-9C89-DF17F92050CA}"/>
    <cellStyle name="Normal 2 4 2 3 2 3 5 3" xfId="6331" xr:uid="{00000000-0005-0000-0000-0000D10E0000}"/>
    <cellStyle name="Normal 2 4 2 3 2 3 5 3 2" xfId="15657" xr:uid="{692D9D20-F970-4AEC-B589-8FF326B5D485}"/>
    <cellStyle name="Normal 2 4 2 3 2 3 5 4" xfId="11440" xr:uid="{B71FBDC0-8116-4B03-BE31-1DD531977ACB}"/>
    <cellStyle name="Normal 2 4 2 3 2 3 6" xfId="2461" xr:uid="{00000000-0005-0000-0000-0000D20E0000}"/>
    <cellStyle name="Normal 2 4 2 3 2 3 6 2" xfId="6744" xr:uid="{00000000-0005-0000-0000-0000D30E0000}"/>
    <cellStyle name="Normal 2 4 2 3 2 3 6 2 2" xfId="16070" xr:uid="{8CF2DC16-3FF3-4064-81FB-252F1AA67628}"/>
    <cellStyle name="Normal 2 4 2 3 2 3 6 3" xfId="11853" xr:uid="{0CC14645-5057-4F33-8AC4-997FA9F31D8D}"/>
    <cellStyle name="Normal 2 4 2 3 2 3 7" xfId="4678" xr:uid="{00000000-0005-0000-0000-0000D40E0000}"/>
    <cellStyle name="Normal 2 4 2 3 2 3 7 2" xfId="14004" xr:uid="{768766A7-17F0-482D-8109-BD7A7CD8674C}"/>
    <cellStyle name="Normal 2 4 2 3 2 3 8" xfId="9020" xr:uid="{5718F785-8E2C-4B45-91D1-4597173D90A6}"/>
    <cellStyle name="Normal 2 4 2 3 2 3 9" xfId="9787" xr:uid="{78CD2CB8-3A3B-4321-B9BC-DCF9F7E3E44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847FAC2F-BDA2-4AD1-99CE-DF05BA9AA5F6}"/>
    <cellStyle name="Normal 2 4 2 3 2 4 2 3" xfId="12343" xr:uid="{6E83DD86-3D2F-49AF-BF5F-E0252ECD437D}"/>
    <cellStyle name="Normal 2 4 2 3 2 4 3" xfId="5089" xr:uid="{00000000-0005-0000-0000-0000D80E0000}"/>
    <cellStyle name="Normal 2 4 2 3 2 4 3 2" xfId="14415" xr:uid="{F3BD0919-D16C-48A1-AFA9-DC540A654F90}"/>
    <cellStyle name="Normal 2 4 2 3 2 4 4" xfId="9238" xr:uid="{BC6E5A3D-C256-46E9-A109-D643C24AA206}"/>
    <cellStyle name="Normal 2 4 2 3 2 4 5" xfId="10198" xr:uid="{6E7C6443-B1B8-492D-921F-841A8FFE9144}"/>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51128C0E-7ABF-4887-A84B-A4B0DC5DFB35}"/>
    <cellStyle name="Normal 2 4 2 3 2 5 2 3" xfId="12756" xr:uid="{1B0C7AEF-021E-4FFF-9810-BEC5142DF5CD}"/>
    <cellStyle name="Normal 2 4 2 3 2 5 3" xfId="5502" xr:uid="{00000000-0005-0000-0000-0000DC0E0000}"/>
    <cellStyle name="Normal 2 4 2 3 2 5 3 2" xfId="14828" xr:uid="{9C124545-59FA-43F2-85BB-80F101DBACCD}"/>
    <cellStyle name="Normal 2 4 2 3 2 5 4" xfId="10611" xr:uid="{D769E6CD-3EC2-4096-9E01-4CF31ED4F82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EEC25EAF-B6EB-4FAE-820C-8FC82EFD5B82}"/>
    <cellStyle name="Normal 2 4 2 3 2 6 2 3" xfId="13169" xr:uid="{0E1A5779-06E1-4F68-9608-20C427DF243D}"/>
    <cellStyle name="Normal 2 4 2 3 2 6 3" xfId="5915" xr:uid="{00000000-0005-0000-0000-0000E00E0000}"/>
    <cellStyle name="Normal 2 4 2 3 2 6 3 2" xfId="15241" xr:uid="{219B9B82-5B44-4236-9F3C-DECDC8B49286}"/>
    <cellStyle name="Normal 2 4 2 3 2 6 4" xfId="11024" xr:uid="{9E628E4D-65E6-4D65-A9D7-CDF860727F22}"/>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180B4DAE-A4ED-42CE-B81C-F791B4EF5250}"/>
    <cellStyle name="Normal 2 4 2 3 2 7 2 3" xfId="13582" xr:uid="{7E01EB6D-0A5C-436D-B9DB-40D6F6E77DC7}"/>
    <cellStyle name="Normal 2 4 2 3 2 7 3" xfId="6328" xr:uid="{00000000-0005-0000-0000-0000E40E0000}"/>
    <cellStyle name="Normal 2 4 2 3 2 7 3 2" xfId="15654" xr:uid="{ADF32A31-C54F-4F5E-B553-2A9667A8D3FD}"/>
    <cellStyle name="Normal 2 4 2 3 2 7 4" xfId="11437" xr:uid="{F0915112-C6FF-476A-B60C-C9673409ACEA}"/>
    <cellStyle name="Normal 2 4 2 3 2 8" xfId="2458" xr:uid="{00000000-0005-0000-0000-0000E50E0000}"/>
    <cellStyle name="Normal 2 4 2 3 2 8 2" xfId="6741" xr:uid="{00000000-0005-0000-0000-0000E60E0000}"/>
    <cellStyle name="Normal 2 4 2 3 2 8 2 2" xfId="16067" xr:uid="{63444C0A-0DC7-4A9C-A97C-3579A300D818}"/>
    <cellStyle name="Normal 2 4 2 3 2 8 3" xfId="11850" xr:uid="{1FCD662E-8CF1-4916-B500-6F19D69306B6}"/>
    <cellStyle name="Normal 2 4 2 3 2 9" xfId="4675" xr:uid="{00000000-0005-0000-0000-0000E70E0000}"/>
    <cellStyle name="Normal 2 4 2 3 2 9 2" xfId="14001" xr:uid="{606F6666-B19E-40CF-8C17-415106BC9EBB}"/>
    <cellStyle name="Normal 2 4 2 3 3" xfId="286" xr:uid="{00000000-0005-0000-0000-0000E80E0000}"/>
    <cellStyle name="Normal 2 4 2 3 3 10" xfId="9788" xr:uid="{CD2813C8-87AC-488D-B874-DF59257AA52C}"/>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9816592B-4925-40E1-91A3-04E3BBCDAA12}"/>
    <cellStyle name="Normal 2 4 2 3 3 2 2 2 3" xfId="12348" xr:uid="{F94F5160-3A7F-432F-9C7E-A370E41EC1F3}"/>
    <cellStyle name="Normal 2 4 2 3 3 2 2 3" xfId="5094" xr:uid="{00000000-0005-0000-0000-0000ED0E0000}"/>
    <cellStyle name="Normal 2 4 2 3 3 2 2 3 2" xfId="14420" xr:uid="{6F3BA50C-5920-45A7-AAE9-655432B61C5B}"/>
    <cellStyle name="Normal 2 4 2 3 3 2 2 4" xfId="9523" xr:uid="{49BCB42B-3FEB-4D87-8E20-52FE775F87DD}"/>
    <cellStyle name="Normal 2 4 2 3 3 2 2 5" xfId="10203" xr:uid="{4031BA95-8497-4FC6-8664-CFFEDA67C1F1}"/>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945D9D81-CD68-46CF-9809-B8F755085018}"/>
    <cellStyle name="Normal 2 4 2 3 3 2 3 2 3" xfId="12761" xr:uid="{548B0A32-9C26-4236-A13A-B2806AA3F071}"/>
    <cellStyle name="Normal 2 4 2 3 3 2 3 3" xfId="5507" xr:uid="{00000000-0005-0000-0000-0000F10E0000}"/>
    <cellStyle name="Normal 2 4 2 3 3 2 3 3 2" xfId="14833" xr:uid="{7FE477F5-AF79-44D3-A080-B42095541497}"/>
    <cellStyle name="Normal 2 4 2 3 3 2 3 4" xfId="10616" xr:uid="{489745EB-C35F-4E92-ACD6-2A91E10AC9A3}"/>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B53AAFB9-647F-4A48-9300-6652F18E5F0B}"/>
    <cellStyle name="Normal 2 4 2 3 3 2 4 2 3" xfId="13174" xr:uid="{DDD077B7-CCFF-4455-8C1A-7D743CF0EE8A}"/>
    <cellStyle name="Normal 2 4 2 3 3 2 4 3" xfId="5920" xr:uid="{00000000-0005-0000-0000-0000F50E0000}"/>
    <cellStyle name="Normal 2 4 2 3 3 2 4 3 2" xfId="15246" xr:uid="{B235957D-C4A1-438D-A28A-D6B9FDD524AF}"/>
    <cellStyle name="Normal 2 4 2 3 3 2 4 4" xfId="11029" xr:uid="{3829270A-E571-4F67-9C7F-9D8DF295E57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75B7F469-B2E4-4A97-BFAD-62EA4CEBD4C2}"/>
    <cellStyle name="Normal 2 4 2 3 3 2 5 2 3" xfId="13587" xr:uid="{CE6E0EF5-5363-4F8D-9C65-B2A34607967B}"/>
    <cellStyle name="Normal 2 4 2 3 3 2 5 3" xfId="6333" xr:uid="{00000000-0005-0000-0000-0000F90E0000}"/>
    <cellStyle name="Normal 2 4 2 3 3 2 5 3 2" xfId="15659" xr:uid="{620D82E3-F4EC-42E9-8537-4CFB41283938}"/>
    <cellStyle name="Normal 2 4 2 3 3 2 5 4" xfId="11442" xr:uid="{1BC53B7A-C152-4D21-9960-8B335610B7FF}"/>
    <cellStyle name="Normal 2 4 2 3 3 2 6" xfId="2463" xr:uid="{00000000-0005-0000-0000-0000FA0E0000}"/>
    <cellStyle name="Normal 2 4 2 3 3 2 6 2" xfId="6746" xr:uid="{00000000-0005-0000-0000-0000FB0E0000}"/>
    <cellStyle name="Normal 2 4 2 3 3 2 6 2 2" xfId="16072" xr:uid="{367A8947-2131-43B6-B826-EF8C22FBBFE4}"/>
    <cellStyle name="Normal 2 4 2 3 3 2 6 3" xfId="11855" xr:uid="{DD38333E-DB1D-4D70-B670-04DCEFAA2E05}"/>
    <cellStyle name="Normal 2 4 2 3 3 2 7" xfId="4680" xr:uid="{00000000-0005-0000-0000-0000FC0E0000}"/>
    <cellStyle name="Normal 2 4 2 3 3 2 7 2" xfId="14006" xr:uid="{025EAF71-AF25-4B00-88C5-5F75A5B210BE}"/>
    <cellStyle name="Normal 2 4 2 3 3 2 8" xfId="9098" xr:uid="{15335B31-FFDD-479D-88EC-FAB83DC4E6EC}"/>
    <cellStyle name="Normal 2 4 2 3 3 2 9" xfId="9789" xr:uid="{4A641D68-E266-42D3-9EB7-C176287473A7}"/>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6312DB54-6C9F-4EFB-912B-D31640ED1B5B}"/>
    <cellStyle name="Normal 2 4 2 3 3 3 2 3" xfId="12347" xr:uid="{12F0AFB5-253D-454F-90AF-3FBA302FA525}"/>
    <cellStyle name="Normal 2 4 2 3 3 3 3" xfId="5093" xr:uid="{00000000-0005-0000-0000-0000000F0000}"/>
    <cellStyle name="Normal 2 4 2 3 3 3 3 2" xfId="14419" xr:uid="{0526A8BD-9143-46E5-BC41-9E544169B498}"/>
    <cellStyle name="Normal 2 4 2 3 3 3 4" xfId="9316" xr:uid="{C8C83D09-5A3A-4C90-8A04-9D7CD8C85B11}"/>
    <cellStyle name="Normal 2 4 2 3 3 3 5" xfId="10202" xr:uid="{1BA29037-86D9-48A9-A862-7332C69CBBAB}"/>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32088745-3D78-4094-A995-40F999785FE5}"/>
    <cellStyle name="Normal 2 4 2 3 3 4 2 3" xfId="12760" xr:uid="{75E27635-C57C-4924-AA88-436B98F78A31}"/>
    <cellStyle name="Normal 2 4 2 3 3 4 3" xfId="5506" xr:uid="{00000000-0005-0000-0000-0000040F0000}"/>
    <cellStyle name="Normal 2 4 2 3 3 4 3 2" xfId="14832" xr:uid="{319F619E-6C16-4BA3-A9AD-F6E162012689}"/>
    <cellStyle name="Normal 2 4 2 3 3 4 4" xfId="10615" xr:uid="{7FB87C3D-C93D-4570-938F-040AB8D20B7A}"/>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A2053AB7-AB0C-4ED7-98FB-07255723B498}"/>
    <cellStyle name="Normal 2 4 2 3 3 5 2 3" xfId="13173" xr:uid="{D0CAD1CE-39BF-4E97-9C36-030A273EE537}"/>
    <cellStyle name="Normal 2 4 2 3 3 5 3" xfId="5919" xr:uid="{00000000-0005-0000-0000-0000080F0000}"/>
    <cellStyle name="Normal 2 4 2 3 3 5 3 2" xfId="15245" xr:uid="{F64B2C22-4AED-432B-A60B-489FC1194630}"/>
    <cellStyle name="Normal 2 4 2 3 3 5 4" xfId="11028" xr:uid="{F79A1BA6-9E12-408A-8699-343AEF69654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BD7F6188-A500-4A81-B7E5-B60EDA227BCA}"/>
    <cellStyle name="Normal 2 4 2 3 3 6 2 3" xfId="13586" xr:uid="{8F7D92BC-F11D-4723-8F8B-66606DD847D6}"/>
    <cellStyle name="Normal 2 4 2 3 3 6 3" xfId="6332" xr:uid="{00000000-0005-0000-0000-00000C0F0000}"/>
    <cellStyle name="Normal 2 4 2 3 3 6 3 2" xfId="15658" xr:uid="{EF567F95-2121-4F66-9F92-F376F70114E3}"/>
    <cellStyle name="Normal 2 4 2 3 3 6 4" xfId="11441" xr:uid="{BDD26AAE-B5BC-4A15-8AFD-4B064CB75408}"/>
    <cellStyle name="Normal 2 4 2 3 3 7" xfId="2462" xr:uid="{00000000-0005-0000-0000-00000D0F0000}"/>
    <cellStyle name="Normal 2 4 2 3 3 7 2" xfId="6745" xr:uid="{00000000-0005-0000-0000-00000E0F0000}"/>
    <cellStyle name="Normal 2 4 2 3 3 7 2 2" xfId="16071" xr:uid="{79113118-E7AE-4546-A66A-5F7935B55D0B}"/>
    <cellStyle name="Normal 2 4 2 3 3 7 3" xfId="11854" xr:uid="{E43DEE49-A070-487B-9F27-F722319C5F4D}"/>
    <cellStyle name="Normal 2 4 2 3 3 8" xfId="4679" xr:uid="{00000000-0005-0000-0000-00000F0F0000}"/>
    <cellStyle name="Normal 2 4 2 3 3 8 2" xfId="14005" xr:uid="{7048B931-404D-4734-89C1-3151417E3EE6}"/>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24159EF1-A4F2-4E60-8170-0DB91393B94F}"/>
    <cellStyle name="Normal 2 4 2 3 4 2 2 3" xfId="12349" xr:uid="{DA0CE772-CB7D-4619-8BEA-63FFF476324C}"/>
    <cellStyle name="Normal 2 4 2 3 4 2 3" xfId="5095" xr:uid="{00000000-0005-0000-0000-0000140F0000}"/>
    <cellStyle name="Normal 2 4 2 3 4 2 3 2" xfId="14421" xr:uid="{BF6A2F72-750A-48F5-9846-DFAD600A9AF8}"/>
    <cellStyle name="Normal 2 4 2 3 4 2 4" xfId="9420" xr:uid="{49E252B3-99BC-416A-A0CB-FE2641ECFDE3}"/>
    <cellStyle name="Normal 2 4 2 3 4 2 5" xfId="10204" xr:uid="{F6277F0B-862F-42C3-A85D-B4AB69B29AB5}"/>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6C29F88B-FDD4-4658-80A0-8C86AF059C73}"/>
    <cellStyle name="Normal 2 4 2 3 4 3 2 3" xfId="12762" xr:uid="{7F7262EC-AD32-4BE5-A035-389E16CE259E}"/>
    <cellStyle name="Normal 2 4 2 3 4 3 3" xfId="5508" xr:uid="{00000000-0005-0000-0000-0000180F0000}"/>
    <cellStyle name="Normal 2 4 2 3 4 3 3 2" xfId="14834" xr:uid="{7DD51D11-4393-4FBD-BEBC-90562BEE2CF0}"/>
    <cellStyle name="Normal 2 4 2 3 4 3 4" xfId="10617" xr:uid="{F1E1D5A0-E81A-488E-848F-5CB7A44B83D9}"/>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7822FE7E-2946-4836-9586-CE756158E844}"/>
    <cellStyle name="Normal 2 4 2 3 4 4 2 3" xfId="13175" xr:uid="{58EF1389-B8D5-4672-A164-869F03580665}"/>
    <cellStyle name="Normal 2 4 2 3 4 4 3" xfId="5921" xr:uid="{00000000-0005-0000-0000-00001C0F0000}"/>
    <cellStyle name="Normal 2 4 2 3 4 4 3 2" xfId="15247" xr:uid="{2A349A07-472D-41C8-8652-A4F84A53BB37}"/>
    <cellStyle name="Normal 2 4 2 3 4 4 4" xfId="11030" xr:uid="{2E95F702-C382-4339-A9B7-D6EED86EFCC3}"/>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7241E092-8A27-4F99-9952-CBC4DAD7C4FE}"/>
    <cellStyle name="Normal 2 4 2 3 4 5 2 3" xfId="13588" xr:uid="{E43109CB-AA59-4273-A26B-C204CAA505EE}"/>
    <cellStyle name="Normal 2 4 2 3 4 5 3" xfId="6334" xr:uid="{00000000-0005-0000-0000-0000200F0000}"/>
    <cellStyle name="Normal 2 4 2 3 4 5 3 2" xfId="15660" xr:uid="{98AA786A-97EB-4AB7-BE3D-8B0FAE8F57B8}"/>
    <cellStyle name="Normal 2 4 2 3 4 5 4" xfId="11443" xr:uid="{80DD4273-303A-46BC-96A4-4F2C9B820741}"/>
    <cellStyle name="Normal 2 4 2 3 4 6" xfId="2464" xr:uid="{00000000-0005-0000-0000-0000210F0000}"/>
    <cellStyle name="Normal 2 4 2 3 4 6 2" xfId="6747" xr:uid="{00000000-0005-0000-0000-0000220F0000}"/>
    <cellStyle name="Normal 2 4 2 3 4 6 2 2" xfId="16073" xr:uid="{BD32F271-4DC0-4557-8803-12DA51ED6CE9}"/>
    <cellStyle name="Normal 2 4 2 3 4 6 3" xfId="11856" xr:uid="{7371326F-55EF-48D7-8E40-BBFDDC293568}"/>
    <cellStyle name="Normal 2 4 2 3 4 7" xfId="4681" xr:uid="{00000000-0005-0000-0000-0000230F0000}"/>
    <cellStyle name="Normal 2 4 2 3 4 7 2" xfId="14007" xr:uid="{24694C49-E1DD-4195-BAA2-FE3B7C685265}"/>
    <cellStyle name="Normal 2 4 2 3 4 8" xfId="8995" xr:uid="{EEE25A27-4C18-4948-8341-FF27707A7A86}"/>
    <cellStyle name="Normal 2 4 2 3 4 9" xfId="9790" xr:uid="{500695A9-627B-455E-801F-093F9B9F631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3A311E87-3DBD-4C8C-A390-718FD990FA39}"/>
    <cellStyle name="Normal 2 4 2 3 5 2 3" xfId="12342" xr:uid="{2F37BB99-F8B6-4B7B-A4F1-BE3346FCCDB5}"/>
    <cellStyle name="Normal 2 4 2 3 5 3" xfId="5088" xr:uid="{00000000-0005-0000-0000-0000270F0000}"/>
    <cellStyle name="Normal 2 4 2 3 5 3 2" xfId="14414" xr:uid="{67568ECB-5FDA-4C33-80FC-29898EFCFF01}"/>
    <cellStyle name="Normal 2 4 2 3 5 4" xfId="9212" xr:uid="{39F1BF9F-C79C-4226-B2D8-665EAA6F3686}"/>
    <cellStyle name="Normal 2 4 2 3 5 5" xfId="10197" xr:uid="{8D973410-546B-4B4A-A9B7-2E86A9B9F39E}"/>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FCD20940-D124-4717-8C04-2948C89C592B}"/>
    <cellStyle name="Normal 2 4 2 3 6 2 3" xfId="12755" xr:uid="{616AE694-AC38-451D-99BA-A0BDF0691483}"/>
    <cellStyle name="Normal 2 4 2 3 6 3" xfId="5501" xr:uid="{00000000-0005-0000-0000-00002B0F0000}"/>
    <cellStyle name="Normal 2 4 2 3 6 3 2" xfId="14827" xr:uid="{EB961453-A7E4-414A-B887-221097D3399C}"/>
    <cellStyle name="Normal 2 4 2 3 6 4" xfId="10610" xr:uid="{EE6416F5-EE78-46F8-B9C9-A55EA6952325}"/>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470AC766-360A-4D9D-9DB5-5A7CB60112B7}"/>
    <cellStyle name="Normal 2 4 2 3 7 2 3" xfId="13168" xr:uid="{42B0EAB1-33B1-4B59-A8D5-F7F0E76924C9}"/>
    <cellStyle name="Normal 2 4 2 3 7 3" xfId="5914" xr:uid="{00000000-0005-0000-0000-00002F0F0000}"/>
    <cellStyle name="Normal 2 4 2 3 7 3 2" xfId="15240" xr:uid="{84ADFAF6-B9E3-40E3-9CFC-392A4BB80659}"/>
    <cellStyle name="Normal 2 4 2 3 7 4" xfId="11023" xr:uid="{70AF7DCD-9571-40F4-ACE9-F8C9E98F5E7F}"/>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539B91F5-1924-4269-9CD1-228388FDFF4E}"/>
    <cellStyle name="Normal 2 4 2 3 8 2 3" xfId="13581" xr:uid="{92A2E97C-76A6-44A9-A789-70EEF8554CCC}"/>
    <cellStyle name="Normal 2 4 2 3 8 3" xfId="6327" xr:uid="{00000000-0005-0000-0000-0000330F0000}"/>
    <cellStyle name="Normal 2 4 2 3 8 3 2" xfId="15653" xr:uid="{580F0BC4-6699-42DE-9021-F30D2DF2EAC9}"/>
    <cellStyle name="Normal 2 4 2 3 8 4" xfId="11436" xr:uid="{AEC86A76-0799-4880-9EB8-6BB08783852C}"/>
    <cellStyle name="Normal 2 4 2 3 9" xfId="2457" xr:uid="{00000000-0005-0000-0000-0000340F0000}"/>
    <cellStyle name="Normal 2 4 2 3 9 2" xfId="6740" xr:uid="{00000000-0005-0000-0000-0000350F0000}"/>
    <cellStyle name="Normal 2 4 2 3 9 2 2" xfId="16066" xr:uid="{E5DC0A34-9BBE-4AE8-8990-C76CC6ED5D13}"/>
    <cellStyle name="Normal 2 4 2 3 9 3" xfId="11849" xr:uid="{477E9CB8-CD3D-4B72-AFC5-E03937202DF5}"/>
    <cellStyle name="Normal 2 4 2 4" xfId="289" xr:uid="{00000000-0005-0000-0000-0000360F0000}"/>
    <cellStyle name="Normal 2 4 2 4 10" xfId="8812" xr:uid="{C2E08BA7-2068-4F74-AFE2-E0AED0B82FE2}"/>
    <cellStyle name="Normal 2 4 2 4 11" xfId="9791" xr:uid="{7C58BD27-809A-47DB-A977-2DC23AFC5F1E}"/>
    <cellStyle name="Normal 2 4 2 4 2" xfId="290" xr:uid="{00000000-0005-0000-0000-0000370F0000}"/>
    <cellStyle name="Normal 2 4 2 4 2 10" xfId="9792" xr:uid="{E5595757-62B0-416F-A0D8-76BB83AFA1E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E91CDC79-E3A6-451E-98D5-913895A98A44}"/>
    <cellStyle name="Normal 2 4 2 4 2 2 2 2 3" xfId="12352" xr:uid="{7D3E0DF4-A457-48DA-B23D-9CB872F63DE2}"/>
    <cellStyle name="Normal 2 4 2 4 2 2 2 3" xfId="5098" xr:uid="{00000000-0005-0000-0000-00003C0F0000}"/>
    <cellStyle name="Normal 2 4 2 4 2 2 2 3 2" xfId="14424" xr:uid="{5100DF9A-624C-4F5E-BCE3-FDEAAA152344}"/>
    <cellStyle name="Normal 2 4 2 4 2 2 2 4" xfId="9547" xr:uid="{F8909421-8B16-4168-8B85-A5523C430C3C}"/>
    <cellStyle name="Normal 2 4 2 4 2 2 2 5" xfId="10207" xr:uid="{B7914737-19CD-4A24-9B76-F7F6E3962533}"/>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FD7AE9E1-C7A1-49AA-8936-0E7985CD2D20}"/>
    <cellStyle name="Normal 2 4 2 4 2 2 3 2 3" xfId="12765" xr:uid="{6E79BE5D-711E-4D79-8EE9-A4F6A0057637}"/>
    <cellStyle name="Normal 2 4 2 4 2 2 3 3" xfId="5511" xr:uid="{00000000-0005-0000-0000-0000400F0000}"/>
    <cellStyle name="Normal 2 4 2 4 2 2 3 3 2" xfId="14837" xr:uid="{BAAA5EAD-2DBB-4343-B14C-CC7E1B18E7AB}"/>
    <cellStyle name="Normal 2 4 2 4 2 2 3 4" xfId="10620" xr:uid="{41C83C5E-AA3A-4511-9541-629877451AE6}"/>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5F8CE53E-60EE-4A71-9668-AB7DE7637513}"/>
    <cellStyle name="Normal 2 4 2 4 2 2 4 2 3" xfId="13178" xr:uid="{F15B135E-C33E-436D-BB81-4055FE851500}"/>
    <cellStyle name="Normal 2 4 2 4 2 2 4 3" xfId="5924" xr:uid="{00000000-0005-0000-0000-0000440F0000}"/>
    <cellStyle name="Normal 2 4 2 4 2 2 4 3 2" xfId="15250" xr:uid="{8E351BEE-F1C5-4CC9-8E77-C0DB3817910E}"/>
    <cellStyle name="Normal 2 4 2 4 2 2 4 4" xfId="11033" xr:uid="{DE6992D3-480A-4655-8893-3A81E56962FB}"/>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64294683-7D8B-4AA6-957C-1AFA02A4026A}"/>
    <cellStyle name="Normal 2 4 2 4 2 2 5 2 3" xfId="13591" xr:uid="{0D51FE55-2454-4AA5-B422-C5110B7A672D}"/>
    <cellStyle name="Normal 2 4 2 4 2 2 5 3" xfId="6337" xr:uid="{00000000-0005-0000-0000-0000480F0000}"/>
    <cellStyle name="Normal 2 4 2 4 2 2 5 3 2" xfId="15663" xr:uid="{F32AE31F-317F-4805-BCE1-D3061AD26131}"/>
    <cellStyle name="Normal 2 4 2 4 2 2 5 4" xfId="11446" xr:uid="{48B4EC92-C7DA-4E9C-8C8C-F267C2854693}"/>
    <cellStyle name="Normal 2 4 2 4 2 2 6" xfId="2467" xr:uid="{00000000-0005-0000-0000-0000490F0000}"/>
    <cellStyle name="Normal 2 4 2 4 2 2 6 2" xfId="6750" xr:uid="{00000000-0005-0000-0000-00004A0F0000}"/>
    <cellStyle name="Normal 2 4 2 4 2 2 6 2 2" xfId="16076" xr:uid="{CD3B1445-B375-4A9A-8460-A9ACA342F370}"/>
    <cellStyle name="Normal 2 4 2 4 2 2 6 3" xfId="11859" xr:uid="{0E9992A3-9497-44F7-9805-3EB00DB46761}"/>
    <cellStyle name="Normal 2 4 2 4 2 2 7" xfId="4684" xr:uid="{00000000-0005-0000-0000-00004B0F0000}"/>
    <cellStyle name="Normal 2 4 2 4 2 2 7 2" xfId="14010" xr:uid="{5B869DF0-AEA8-44D5-8CC9-3E8E55AA8C00}"/>
    <cellStyle name="Normal 2 4 2 4 2 2 8" xfId="9122" xr:uid="{861CB008-611F-4F3F-9D09-5BCA5A4CB255}"/>
    <cellStyle name="Normal 2 4 2 4 2 2 9" xfId="9793" xr:uid="{3063F818-FED1-468E-9FC4-A26861BA6BA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3467B823-5E3B-443B-9F55-DB30C7B09012}"/>
    <cellStyle name="Normal 2 4 2 4 2 3 2 3" xfId="12351" xr:uid="{585B6CEF-537A-4945-B628-5C21910345C8}"/>
    <cellStyle name="Normal 2 4 2 4 2 3 3" xfId="5097" xr:uid="{00000000-0005-0000-0000-00004F0F0000}"/>
    <cellStyle name="Normal 2 4 2 4 2 3 3 2" xfId="14423" xr:uid="{B9BC6944-4AB4-48D1-8887-8B482E3520B8}"/>
    <cellStyle name="Normal 2 4 2 4 2 3 4" xfId="9340" xr:uid="{2D1F2F91-F6E8-42AC-98D0-B8667E0ECE37}"/>
    <cellStyle name="Normal 2 4 2 4 2 3 5" xfId="10206" xr:uid="{7704511D-1977-4FD3-A56D-17301C3256CF}"/>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84905CF6-8CFC-4B10-989D-B2333F419763}"/>
    <cellStyle name="Normal 2 4 2 4 2 4 2 3" xfId="12764" xr:uid="{0B9DCF1C-B065-4DEB-9802-3AD45E2652A4}"/>
    <cellStyle name="Normal 2 4 2 4 2 4 3" xfId="5510" xr:uid="{00000000-0005-0000-0000-0000530F0000}"/>
    <cellStyle name="Normal 2 4 2 4 2 4 3 2" xfId="14836" xr:uid="{25820B9B-11E1-463A-B252-E008E22D99BA}"/>
    <cellStyle name="Normal 2 4 2 4 2 4 4" xfId="10619" xr:uid="{B582AE01-2FF0-4A28-BB9F-8D1CB3D2205C}"/>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9663EEF8-22D4-4CBA-B068-DCF5EB6828CC}"/>
    <cellStyle name="Normal 2 4 2 4 2 5 2 3" xfId="13177" xr:uid="{570254EA-2088-42F5-AF87-4298652B37AC}"/>
    <cellStyle name="Normal 2 4 2 4 2 5 3" xfId="5923" xr:uid="{00000000-0005-0000-0000-0000570F0000}"/>
    <cellStyle name="Normal 2 4 2 4 2 5 3 2" xfId="15249" xr:uid="{26724FC6-E682-4F67-9EB9-40D312B0E821}"/>
    <cellStyle name="Normal 2 4 2 4 2 5 4" xfId="11032" xr:uid="{5D39C2F2-5FC3-41F3-931C-8A700EF70BE2}"/>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DB9CB0B1-8E91-4499-A8EA-955F5E390800}"/>
    <cellStyle name="Normal 2 4 2 4 2 6 2 3" xfId="13590" xr:uid="{918EAFA4-099D-448C-877A-4108EFE0F01D}"/>
    <cellStyle name="Normal 2 4 2 4 2 6 3" xfId="6336" xr:uid="{00000000-0005-0000-0000-00005B0F0000}"/>
    <cellStyle name="Normal 2 4 2 4 2 6 3 2" xfId="15662" xr:uid="{1F219BD3-A5AF-4263-8D19-E0E3602C5EF2}"/>
    <cellStyle name="Normal 2 4 2 4 2 6 4" xfId="11445" xr:uid="{0D40291A-A50E-4BE0-B8B5-0EA1C60C95AF}"/>
    <cellStyle name="Normal 2 4 2 4 2 7" xfId="2466" xr:uid="{00000000-0005-0000-0000-00005C0F0000}"/>
    <cellStyle name="Normal 2 4 2 4 2 7 2" xfId="6749" xr:uid="{00000000-0005-0000-0000-00005D0F0000}"/>
    <cellStyle name="Normal 2 4 2 4 2 7 2 2" xfId="16075" xr:uid="{25EC86BB-3F8F-468A-85E0-40CB785CD2C8}"/>
    <cellStyle name="Normal 2 4 2 4 2 7 3" xfId="11858" xr:uid="{AAB13D52-4AD3-49EA-8A75-C8AC238F894B}"/>
    <cellStyle name="Normal 2 4 2 4 2 8" xfId="4683" xr:uid="{00000000-0005-0000-0000-00005E0F0000}"/>
    <cellStyle name="Normal 2 4 2 4 2 8 2" xfId="14009" xr:uid="{08565C37-6F36-4A06-83C9-0FB70E731591}"/>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388CAE8A-1884-42A1-8C09-999A87CCF166}"/>
    <cellStyle name="Normal 2 4 2 4 3 2 2 3" xfId="12353" xr:uid="{61C50720-F373-4DED-B496-D18A50AC8F7E}"/>
    <cellStyle name="Normal 2 4 2 4 3 2 3" xfId="5099" xr:uid="{00000000-0005-0000-0000-0000630F0000}"/>
    <cellStyle name="Normal 2 4 2 4 3 2 3 2" xfId="14425" xr:uid="{AAFBAC49-0964-46BC-8DD8-FF7DFF8A40EA}"/>
    <cellStyle name="Normal 2 4 2 4 3 2 4" xfId="9444" xr:uid="{807939DF-E7C0-4015-A3D8-AE9E56020172}"/>
    <cellStyle name="Normal 2 4 2 4 3 2 5" xfId="10208" xr:uid="{13098915-F981-4C3F-A51E-748D29B5BE51}"/>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432A0433-BFF5-4935-9B11-0DF8A54D301D}"/>
    <cellStyle name="Normal 2 4 2 4 3 3 2 3" xfId="12766" xr:uid="{F880EF2F-580B-44B6-8971-14AC6D07F56E}"/>
    <cellStyle name="Normal 2 4 2 4 3 3 3" xfId="5512" xr:uid="{00000000-0005-0000-0000-0000670F0000}"/>
    <cellStyle name="Normal 2 4 2 4 3 3 3 2" xfId="14838" xr:uid="{A3C92397-8A20-4E83-9E28-758D5B0F8262}"/>
    <cellStyle name="Normal 2 4 2 4 3 3 4" xfId="10621" xr:uid="{2E0E54CC-88D8-42E7-A4F8-35F6E551877A}"/>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8D8118F8-8D04-4C7B-8A63-A79ED6540C27}"/>
    <cellStyle name="Normal 2 4 2 4 3 4 2 3" xfId="13179" xr:uid="{512545D8-B6B4-427E-961F-E0B7AD42FE8A}"/>
    <cellStyle name="Normal 2 4 2 4 3 4 3" xfId="5925" xr:uid="{00000000-0005-0000-0000-00006B0F0000}"/>
    <cellStyle name="Normal 2 4 2 4 3 4 3 2" xfId="15251" xr:uid="{502A24B7-5EF9-4E62-B4C1-3FA1CE65EF3E}"/>
    <cellStyle name="Normal 2 4 2 4 3 4 4" xfId="11034" xr:uid="{26BCF86A-8BF4-4EBD-A9D0-55F5E834C737}"/>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34D8805C-D60F-40DA-A844-F238070A9FB7}"/>
    <cellStyle name="Normal 2 4 2 4 3 5 2 3" xfId="13592" xr:uid="{C535DD7B-D8B5-4CAA-B797-9F2AFDC727CC}"/>
    <cellStyle name="Normal 2 4 2 4 3 5 3" xfId="6338" xr:uid="{00000000-0005-0000-0000-00006F0F0000}"/>
    <cellStyle name="Normal 2 4 2 4 3 5 3 2" xfId="15664" xr:uid="{82A7C73E-224B-4D0D-B311-0C21D53971F7}"/>
    <cellStyle name="Normal 2 4 2 4 3 5 4" xfId="11447" xr:uid="{10195548-91DD-467A-ABAB-D2F7909E2145}"/>
    <cellStyle name="Normal 2 4 2 4 3 6" xfId="2468" xr:uid="{00000000-0005-0000-0000-0000700F0000}"/>
    <cellStyle name="Normal 2 4 2 4 3 6 2" xfId="6751" xr:uid="{00000000-0005-0000-0000-0000710F0000}"/>
    <cellStyle name="Normal 2 4 2 4 3 6 2 2" xfId="16077" xr:uid="{56B73231-BD0C-4862-8D93-B75CE159D1FD}"/>
    <cellStyle name="Normal 2 4 2 4 3 6 3" xfId="11860" xr:uid="{2EF3E4E0-9627-4AF5-955C-02CB61626801}"/>
    <cellStyle name="Normal 2 4 2 4 3 7" xfId="4685" xr:uid="{00000000-0005-0000-0000-0000720F0000}"/>
    <cellStyle name="Normal 2 4 2 4 3 7 2" xfId="14011" xr:uid="{77E5523A-CE5C-4B8D-93F8-39F3C8826147}"/>
    <cellStyle name="Normal 2 4 2 4 3 8" xfId="9019" xr:uid="{1F22810F-FF7D-4FF4-861A-F2BA8F253428}"/>
    <cellStyle name="Normal 2 4 2 4 3 9" xfId="9794" xr:uid="{93DDAC1F-48EA-4306-82E6-F4B950285BD6}"/>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2B96EF8B-B04E-4023-A9A2-8087BA26BAFD}"/>
    <cellStyle name="Normal 2 4 2 4 4 2 3" xfId="12350" xr:uid="{5F73221D-3CD1-489C-899B-9C29B4294EC8}"/>
    <cellStyle name="Normal 2 4 2 4 4 3" xfId="5096" xr:uid="{00000000-0005-0000-0000-0000760F0000}"/>
    <cellStyle name="Normal 2 4 2 4 4 3 2" xfId="14422" xr:uid="{C9F27CBA-4522-4ADD-ADF5-9B5674244698}"/>
    <cellStyle name="Normal 2 4 2 4 4 4" xfId="9237" xr:uid="{FF4B133D-A40B-4895-9E3D-E727B18E66C8}"/>
    <cellStyle name="Normal 2 4 2 4 4 5" xfId="10205" xr:uid="{790722F4-7DA6-40A7-BA6C-61E09A886F08}"/>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83495F2C-5D4B-477F-A4AE-01D54ACBE56F}"/>
    <cellStyle name="Normal 2 4 2 4 5 2 3" xfId="12763" xr:uid="{F4AA7529-D4AD-4DCC-8D85-F9D1EFFF142F}"/>
    <cellStyle name="Normal 2 4 2 4 5 3" xfId="5509" xr:uid="{00000000-0005-0000-0000-00007A0F0000}"/>
    <cellStyle name="Normal 2 4 2 4 5 3 2" xfId="14835" xr:uid="{F425DF63-56A4-4A7E-A604-1E13A6A9B4DB}"/>
    <cellStyle name="Normal 2 4 2 4 5 4" xfId="10618" xr:uid="{F29B6955-7DB2-49A0-8111-4AFE22776C6E}"/>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5131BD07-51A2-46E8-B6E3-06E8BC0F3E16}"/>
    <cellStyle name="Normal 2 4 2 4 6 2 3" xfId="13176" xr:uid="{C562E264-F42F-4EDC-AC94-ACBB9DF2D164}"/>
    <cellStyle name="Normal 2 4 2 4 6 3" xfId="5922" xr:uid="{00000000-0005-0000-0000-00007E0F0000}"/>
    <cellStyle name="Normal 2 4 2 4 6 3 2" xfId="15248" xr:uid="{22157997-D992-44CF-9C1A-F1F5D2DD47EB}"/>
    <cellStyle name="Normal 2 4 2 4 6 4" xfId="11031" xr:uid="{694FB54D-CE62-4ADD-963A-BBCD2D807F44}"/>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138C0B93-64BE-4300-9F14-E92895F34C93}"/>
    <cellStyle name="Normal 2 4 2 4 7 2 3" xfId="13589" xr:uid="{43BE4974-2F7D-4965-8C53-5E84CF7DC801}"/>
    <cellStyle name="Normal 2 4 2 4 7 3" xfId="6335" xr:uid="{00000000-0005-0000-0000-0000820F0000}"/>
    <cellStyle name="Normal 2 4 2 4 7 3 2" xfId="15661" xr:uid="{428EEF73-B2C4-4EFA-9CA4-DB6F9992575F}"/>
    <cellStyle name="Normal 2 4 2 4 7 4" xfId="11444" xr:uid="{2F60115F-50C2-4F5F-91CC-CAE1C39E1B27}"/>
    <cellStyle name="Normal 2 4 2 4 8" xfId="2465" xr:uid="{00000000-0005-0000-0000-0000830F0000}"/>
    <cellStyle name="Normal 2 4 2 4 8 2" xfId="6748" xr:uid="{00000000-0005-0000-0000-0000840F0000}"/>
    <cellStyle name="Normal 2 4 2 4 8 2 2" xfId="16074" xr:uid="{4678A024-3504-438D-A739-FDA206AF939D}"/>
    <cellStyle name="Normal 2 4 2 4 8 3" xfId="11857" xr:uid="{D3AC369C-F56A-4A37-B565-84DC239A9BC1}"/>
    <cellStyle name="Normal 2 4 2 4 9" xfId="4682" xr:uid="{00000000-0005-0000-0000-0000850F0000}"/>
    <cellStyle name="Normal 2 4 2 4 9 2" xfId="14008" xr:uid="{9EE5E531-7313-44F8-B015-568BB9B3FAAB}"/>
    <cellStyle name="Normal 2 4 2 5" xfId="293" xr:uid="{00000000-0005-0000-0000-0000860F0000}"/>
    <cellStyle name="Normal 2 4 2 5 10" xfId="9795" xr:uid="{59ECA955-AFD3-45F0-8B06-D48605B13F33}"/>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3744FD3D-248F-49D1-A79C-830534B09754}"/>
    <cellStyle name="Normal 2 4 2 5 2 2 2 3" xfId="12355" xr:uid="{89F9CBA2-C86A-4ED2-AB0A-2D915FB733BD}"/>
    <cellStyle name="Normal 2 4 2 5 2 2 3" xfId="5101" xr:uid="{00000000-0005-0000-0000-00008B0F0000}"/>
    <cellStyle name="Normal 2 4 2 5 2 2 3 2" xfId="14427" xr:uid="{34979572-584B-45BF-A9B8-8E539860B091}"/>
    <cellStyle name="Normal 2 4 2 5 2 2 4" xfId="9492" xr:uid="{07DC9204-2F52-408E-80EE-617A106DD9FD}"/>
    <cellStyle name="Normal 2 4 2 5 2 2 5" xfId="10210" xr:uid="{C40422B1-C891-4447-8F20-6E4B28FCBC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8C5D3F66-EF0E-45DD-9869-1085FAA49C98}"/>
    <cellStyle name="Normal 2 4 2 5 2 3 2 3" xfId="12768" xr:uid="{FFC34630-1F6A-4C72-8D1B-78C13D6E1F75}"/>
    <cellStyle name="Normal 2 4 2 5 2 3 3" xfId="5514" xr:uid="{00000000-0005-0000-0000-00008F0F0000}"/>
    <cellStyle name="Normal 2 4 2 5 2 3 3 2" xfId="14840" xr:uid="{4586BF33-D377-478A-BA81-73B968C27FD0}"/>
    <cellStyle name="Normal 2 4 2 5 2 3 4" xfId="10623" xr:uid="{5ED1331B-451A-45EC-A1A8-A48E51C825F7}"/>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52BCCC8D-E252-4F5D-A335-4B4E44262792}"/>
    <cellStyle name="Normal 2 4 2 5 2 4 2 3" xfId="13181" xr:uid="{5A26CE62-DCD7-473B-AF38-365AEADE5AB4}"/>
    <cellStyle name="Normal 2 4 2 5 2 4 3" xfId="5927" xr:uid="{00000000-0005-0000-0000-0000930F0000}"/>
    <cellStyle name="Normal 2 4 2 5 2 4 3 2" xfId="15253" xr:uid="{DEDAE988-392A-4E04-BA6A-FCD404E4FB0F}"/>
    <cellStyle name="Normal 2 4 2 5 2 4 4" xfId="11036" xr:uid="{1DAA3BB4-BF5C-4315-99BE-88FC5F3973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38014BB4-7528-4334-8487-A3C0EB278145}"/>
    <cellStyle name="Normal 2 4 2 5 2 5 2 3" xfId="13594" xr:uid="{806B5B5F-4F0C-4094-97AF-10870A49A0C5}"/>
    <cellStyle name="Normal 2 4 2 5 2 5 3" xfId="6340" xr:uid="{00000000-0005-0000-0000-0000970F0000}"/>
    <cellStyle name="Normal 2 4 2 5 2 5 3 2" xfId="15666" xr:uid="{DF7871D7-37C0-4F55-9576-3223C2440ED0}"/>
    <cellStyle name="Normal 2 4 2 5 2 5 4" xfId="11449" xr:uid="{7498A9D5-2B5D-453C-9F5F-06B34404CE2B}"/>
    <cellStyle name="Normal 2 4 2 5 2 6" xfId="2470" xr:uid="{00000000-0005-0000-0000-0000980F0000}"/>
    <cellStyle name="Normal 2 4 2 5 2 6 2" xfId="6753" xr:uid="{00000000-0005-0000-0000-0000990F0000}"/>
    <cellStyle name="Normal 2 4 2 5 2 6 2 2" xfId="16079" xr:uid="{C1C3562E-46BB-4EB4-9BF2-C20BDDF52ACC}"/>
    <cellStyle name="Normal 2 4 2 5 2 6 3" xfId="11862" xr:uid="{3F9F3C1A-4B8E-4AE3-8951-9E1D28BF91D6}"/>
    <cellStyle name="Normal 2 4 2 5 2 7" xfId="4687" xr:uid="{00000000-0005-0000-0000-00009A0F0000}"/>
    <cellStyle name="Normal 2 4 2 5 2 7 2" xfId="14013" xr:uid="{CDAFB76B-6198-4562-BCCB-3F3552D6BEA1}"/>
    <cellStyle name="Normal 2 4 2 5 2 8" xfId="9067" xr:uid="{89D5CB5A-ADE0-44B8-BC1E-FDE984B579C9}"/>
    <cellStyle name="Normal 2 4 2 5 2 9" xfId="9796" xr:uid="{E80BB675-E7E2-42D8-8049-FDF6179A6D0F}"/>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6D978DF3-5292-492A-AF7A-0EEAF0EBAC2E}"/>
    <cellStyle name="Normal 2 4 2 5 3 2 3" xfId="12354" xr:uid="{9CE44BA7-A72A-4DD3-919B-90FD365A46D2}"/>
    <cellStyle name="Normal 2 4 2 5 3 3" xfId="5100" xr:uid="{00000000-0005-0000-0000-00009E0F0000}"/>
    <cellStyle name="Normal 2 4 2 5 3 3 2" xfId="14426" xr:uid="{64025E1E-9197-42C1-B260-28621832633A}"/>
    <cellStyle name="Normal 2 4 2 5 3 4" xfId="9285" xr:uid="{5DA39FB9-904E-46D3-8E24-58BF2F19DA5B}"/>
    <cellStyle name="Normal 2 4 2 5 3 5" xfId="10209" xr:uid="{7D55108C-37AF-4552-A2DF-21A56F9BCEAF}"/>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CAFC32AC-B887-4EDF-924D-10BC16C72270}"/>
    <cellStyle name="Normal 2 4 2 5 4 2 3" xfId="12767" xr:uid="{8A7E119D-2593-428B-A256-88B1DB767829}"/>
    <cellStyle name="Normal 2 4 2 5 4 3" xfId="5513" xr:uid="{00000000-0005-0000-0000-0000A20F0000}"/>
    <cellStyle name="Normal 2 4 2 5 4 3 2" xfId="14839" xr:uid="{6E2062EE-CC04-464D-9550-6648868FBB25}"/>
    <cellStyle name="Normal 2 4 2 5 4 4" xfId="10622" xr:uid="{8CA52C20-A7BD-4974-B8D0-A433FA12FF2A}"/>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F426B744-4E6E-4884-9812-0C6FDEE976CA}"/>
    <cellStyle name="Normal 2 4 2 5 5 2 3" xfId="13180" xr:uid="{F8DE0D50-5B07-473A-A900-C6C995794433}"/>
    <cellStyle name="Normal 2 4 2 5 5 3" xfId="5926" xr:uid="{00000000-0005-0000-0000-0000A60F0000}"/>
    <cellStyle name="Normal 2 4 2 5 5 3 2" xfId="15252" xr:uid="{01B58212-6AD5-4F72-A59D-47841B308B8D}"/>
    <cellStyle name="Normal 2 4 2 5 5 4" xfId="11035" xr:uid="{D9B1579F-F149-43C2-BCCF-EFA1C4AFFD89}"/>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426AE360-B714-4C6F-A779-F4AE057F288E}"/>
    <cellStyle name="Normal 2 4 2 5 6 2 3" xfId="13593" xr:uid="{4F6C1506-CBF3-4ECC-9300-B872EAF909F9}"/>
    <cellStyle name="Normal 2 4 2 5 6 3" xfId="6339" xr:uid="{00000000-0005-0000-0000-0000AA0F0000}"/>
    <cellStyle name="Normal 2 4 2 5 6 3 2" xfId="15665" xr:uid="{236EAE88-6E9E-497F-9D85-46C0678E1487}"/>
    <cellStyle name="Normal 2 4 2 5 6 4" xfId="11448" xr:uid="{7755EFD7-CDB6-4ED9-9D77-7478266DBCE5}"/>
    <cellStyle name="Normal 2 4 2 5 7" xfId="2469" xr:uid="{00000000-0005-0000-0000-0000AB0F0000}"/>
    <cellStyle name="Normal 2 4 2 5 7 2" xfId="6752" xr:uid="{00000000-0005-0000-0000-0000AC0F0000}"/>
    <cellStyle name="Normal 2 4 2 5 7 2 2" xfId="16078" xr:uid="{BEC30532-E24C-419C-950E-AD204C20C51C}"/>
    <cellStyle name="Normal 2 4 2 5 7 3" xfId="11861" xr:uid="{9B2A27E4-152D-46F2-B274-89A328F397FE}"/>
    <cellStyle name="Normal 2 4 2 5 8" xfId="4686" xr:uid="{00000000-0005-0000-0000-0000AD0F0000}"/>
    <cellStyle name="Normal 2 4 2 5 8 2" xfId="14012" xr:uid="{3F43973A-335A-4B1A-9CE8-0DCB198F4063}"/>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83608D42-DC20-4E4C-8506-3D4BD0C843AC}"/>
    <cellStyle name="Normal 2 4 2 6 2 2 3" xfId="12356" xr:uid="{07F65819-088C-49C2-B300-B9BEF3C9F277}"/>
    <cellStyle name="Normal 2 4 2 6 2 3" xfId="5102" xr:uid="{00000000-0005-0000-0000-0000B20F0000}"/>
    <cellStyle name="Normal 2 4 2 6 2 3 2" xfId="14428" xr:uid="{4C63EBEA-8DCE-48FD-B4B3-2892DBF0496D}"/>
    <cellStyle name="Normal 2 4 2 6 2 4" xfId="9401" xr:uid="{C89DD342-23DD-474B-84C5-F9DED42F169B}"/>
    <cellStyle name="Normal 2 4 2 6 2 5" xfId="10211" xr:uid="{0BA065DF-A0B7-4630-A036-EB1D17097EBF}"/>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A80E120E-7EF0-451E-8030-E075558843F0}"/>
    <cellStyle name="Normal 2 4 2 6 3 2 3" xfId="12769" xr:uid="{D01FC7DE-5EA6-4CCA-8DB2-D43CCAA26E7B}"/>
    <cellStyle name="Normal 2 4 2 6 3 3" xfId="5515" xr:uid="{00000000-0005-0000-0000-0000B60F0000}"/>
    <cellStyle name="Normal 2 4 2 6 3 3 2" xfId="14841" xr:uid="{3E75CEF1-4D76-47E3-A2AD-FD78B9D02B2B}"/>
    <cellStyle name="Normal 2 4 2 6 3 4" xfId="10624" xr:uid="{D670C585-37B0-4EAD-91C4-5102110FD52D}"/>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0A797EEA-14EA-4ECB-96F2-62EBD9793B89}"/>
    <cellStyle name="Normal 2 4 2 6 4 2 3" xfId="13182" xr:uid="{77BE2D00-1E80-4CEB-A007-0A77D6262FD4}"/>
    <cellStyle name="Normal 2 4 2 6 4 3" xfId="5928" xr:uid="{00000000-0005-0000-0000-0000BA0F0000}"/>
    <cellStyle name="Normal 2 4 2 6 4 3 2" xfId="15254" xr:uid="{0E03578D-BE37-496D-81E2-3807634C159E}"/>
    <cellStyle name="Normal 2 4 2 6 4 4" xfId="11037" xr:uid="{C345467D-F3A8-4A92-9F42-B088F5A4DD73}"/>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B6C8885C-4C39-4BB8-A1E4-CC0387C3EA8D}"/>
    <cellStyle name="Normal 2 4 2 6 5 2 3" xfId="13595" xr:uid="{877FFEE8-D0A5-43EF-9681-771A3652AE04}"/>
    <cellStyle name="Normal 2 4 2 6 5 3" xfId="6341" xr:uid="{00000000-0005-0000-0000-0000BE0F0000}"/>
    <cellStyle name="Normal 2 4 2 6 5 3 2" xfId="15667" xr:uid="{0F060C1A-5091-4218-BCEF-1C76FEB3E738}"/>
    <cellStyle name="Normal 2 4 2 6 5 4" xfId="11450" xr:uid="{917E6879-529D-4740-83BD-8393D718E09A}"/>
    <cellStyle name="Normal 2 4 2 6 6" xfId="2471" xr:uid="{00000000-0005-0000-0000-0000BF0F0000}"/>
    <cellStyle name="Normal 2 4 2 6 6 2" xfId="6754" xr:uid="{00000000-0005-0000-0000-0000C00F0000}"/>
    <cellStyle name="Normal 2 4 2 6 6 2 2" xfId="16080" xr:uid="{ED4438BA-CB11-4275-8B6C-DF7D340D7EA3}"/>
    <cellStyle name="Normal 2 4 2 6 6 3" xfId="11863" xr:uid="{3B03ACF5-DD7A-4263-B607-C7C981562D5A}"/>
    <cellStyle name="Normal 2 4 2 6 7" xfId="4688" xr:uid="{00000000-0005-0000-0000-0000C10F0000}"/>
    <cellStyle name="Normal 2 4 2 6 7 2" xfId="14014" xr:uid="{C19C44D5-7E4C-40CD-9D9D-32EF024A230C}"/>
    <cellStyle name="Normal 2 4 2 6 8" xfId="8976" xr:uid="{6DEAFF8C-68CB-4364-A161-479509F453AE}"/>
    <cellStyle name="Normal 2 4 2 6 9" xfId="9797" xr:uid="{322A505C-5565-4514-85F7-BF2D775FC3CD}"/>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2726584B-BA3A-48CC-8FE5-9DAB25723E43}"/>
    <cellStyle name="Normal 2 4 2 7 2 3" xfId="12341" xr:uid="{3937BF5E-8D22-48FE-BAF8-8BCA5C67F36C}"/>
    <cellStyle name="Normal 2 4 2 7 3" xfId="5087" xr:uid="{00000000-0005-0000-0000-0000C50F0000}"/>
    <cellStyle name="Normal 2 4 2 7 3 2" xfId="14413" xr:uid="{0094BD70-4122-462A-BE29-43187454250F}"/>
    <cellStyle name="Normal 2 4 2 7 4" xfId="9179" xr:uid="{D1C44CED-398E-43B3-AFA3-1E7DC60C5D92}"/>
    <cellStyle name="Normal 2 4 2 7 5" xfId="10196" xr:uid="{57A9D0CA-5088-4F45-A1F1-574DDB29917C}"/>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3FA15EBC-CCAC-468F-8B3D-B22F1BEDA5F4}"/>
    <cellStyle name="Normal 2 4 2 8 2 3" xfId="12754" xr:uid="{11A44DCD-D6FD-4996-B1F5-DDFAB06D8E5E}"/>
    <cellStyle name="Normal 2 4 2 8 3" xfId="5500" xr:uid="{00000000-0005-0000-0000-0000C90F0000}"/>
    <cellStyle name="Normal 2 4 2 8 3 2" xfId="14826" xr:uid="{5AD1EF52-6983-46F0-AB17-3CE3D0EEF9DE}"/>
    <cellStyle name="Normal 2 4 2 8 4" xfId="10609" xr:uid="{EF6D2070-8B62-4AC2-9FD6-16100A3B6876}"/>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46C15605-1537-4C1D-9459-DC77E3E8B7DB}"/>
    <cellStyle name="Normal 2 4 2 9 2 3" xfId="13167" xr:uid="{EBCAD35A-9F0F-4948-BB25-4D349810BB04}"/>
    <cellStyle name="Normal 2 4 2 9 3" xfId="5913" xr:uid="{00000000-0005-0000-0000-0000CD0F0000}"/>
    <cellStyle name="Normal 2 4 2 9 3 2" xfId="15239" xr:uid="{5129C240-AF66-4C6E-983F-D4C607C0E60F}"/>
    <cellStyle name="Normal 2 4 2 9 4" xfId="11022" xr:uid="{EE494F8E-BF0D-42B3-AE0A-881C4EFC8958}"/>
    <cellStyle name="Normal 2 4 3" xfId="296" xr:uid="{00000000-0005-0000-0000-0000CE0F0000}"/>
    <cellStyle name="Normal 2 4 3 10" xfId="9798" xr:uid="{6829673E-9FF2-47CE-8A61-09D3365FAAF4}"/>
    <cellStyle name="Normal 2 4 3 2" xfId="297" xr:uid="{00000000-0005-0000-0000-0000CF0F0000}"/>
    <cellStyle name="Normal 2 4 3 3" xfId="298" xr:uid="{00000000-0005-0000-0000-0000D00F0000}"/>
    <cellStyle name="Normal 2 4 3 3 10" xfId="8814" xr:uid="{F78EFD99-FCC5-4915-ACA3-DFC3FC0D45A5}"/>
    <cellStyle name="Normal 2 4 3 3 11" xfId="9799" xr:uid="{48222B6C-DAB0-43DC-8B19-1CB59271665D}"/>
    <cellStyle name="Normal 2 4 3 3 2" xfId="299" xr:uid="{00000000-0005-0000-0000-0000D10F0000}"/>
    <cellStyle name="Normal 2 4 3 3 2 10" xfId="9800" xr:uid="{55929D99-89CF-49F3-87CC-E6BF530B3986}"/>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9BD0F47A-EF2A-4F03-8919-EDEC02C06AD0}"/>
    <cellStyle name="Normal 2 4 3 3 2 2 2 2 3" xfId="12360" xr:uid="{8A39BC4E-CD65-4D8D-9270-751FBB1242DC}"/>
    <cellStyle name="Normal 2 4 3 3 2 2 2 3" xfId="5106" xr:uid="{00000000-0005-0000-0000-0000D60F0000}"/>
    <cellStyle name="Normal 2 4 3 3 2 2 2 3 2" xfId="14432" xr:uid="{1607F604-8577-476E-86FE-ACEF7FDACDD8}"/>
    <cellStyle name="Normal 2 4 3 3 2 2 2 4" xfId="9549" xr:uid="{EA88B7BC-E37D-4688-A768-0D7FE5EF9F42}"/>
    <cellStyle name="Normal 2 4 3 3 2 2 2 5" xfId="10215" xr:uid="{BFBF1D6F-5EA4-4990-BECD-A571976562FE}"/>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0DDC0A3A-280D-47AF-896C-EA703F3B1093}"/>
    <cellStyle name="Normal 2 4 3 3 2 2 3 2 3" xfId="12773" xr:uid="{B1C8DAFC-D3EC-4F98-83EE-D3E609C815E0}"/>
    <cellStyle name="Normal 2 4 3 3 2 2 3 3" xfId="5519" xr:uid="{00000000-0005-0000-0000-0000DA0F0000}"/>
    <cellStyle name="Normal 2 4 3 3 2 2 3 3 2" xfId="14845" xr:uid="{9C11793B-637A-4867-9099-0114DE1112F8}"/>
    <cellStyle name="Normal 2 4 3 3 2 2 3 4" xfId="10628" xr:uid="{A22453FC-548B-48DD-99EF-00382F71A6F7}"/>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F839A553-4693-40D0-A86F-3BE83D1E04E3}"/>
    <cellStyle name="Normal 2 4 3 3 2 2 4 2 3" xfId="13186" xr:uid="{091ADBBB-1472-4DED-B57C-CE01BEB30028}"/>
    <cellStyle name="Normal 2 4 3 3 2 2 4 3" xfId="5932" xr:uid="{00000000-0005-0000-0000-0000DE0F0000}"/>
    <cellStyle name="Normal 2 4 3 3 2 2 4 3 2" xfId="15258" xr:uid="{DDFA34EE-91F1-4919-807F-4F24DE118772}"/>
    <cellStyle name="Normal 2 4 3 3 2 2 4 4" xfId="11041" xr:uid="{13FD8A1D-32CC-4551-8605-53D98E614E31}"/>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4C2FFA69-0A68-45FB-899E-8C0A8B68E56E}"/>
    <cellStyle name="Normal 2 4 3 3 2 2 5 2 3" xfId="13599" xr:uid="{C8F476D2-8E12-4EFB-B6E9-85E61960EDC6}"/>
    <cellStyle name="Normal 2 4 3 3 2 2 5 3" xfId="6345" xr:uid="{00000000-0005-0000-0000-0000E20F0000}"/>
    <cellStyle name="Normal 2 4 3 3 2 2 5 3 2" xfId="15671" xr:uid="{A4BA37BE-A47A-4474-A91C-743E6407B89D}"/>
    <cellStyle name="Normal 2 4 3 3 2 2 5 4" xfId="11454" xr:uid="{39A85624-E193-4AEC-9015-793DC1522888}"/>
    <cellStyle name="Normal 2 4 3 3 2 2 6" xfId="2475" xr:uid="{00000000-0005-0000-0000-0000E30F0000}"/>
    <cellStyle name="Normal 2 4 3 3 2 2 6 2" xfId="6758" xr:uid="{00000000-0005-0000-0000-0000E40F0000}"/>
    <cellStyle name="Normal 2 4 3 3 2 2 6 2 2" xfId="16084" xr:uid="{BC6CFF0C-8A0A-4390-8C6B-E8F67056E6F9}"/>
    <cellStyle name="Normal 2 4 3 3 2 2 6 3" xfId="11867" xr:uid="{8331E9FB-1A12-4AF5-B94E-382665AD9F7B}"/>
    <cellStyle name="Normal 2 4 3 3 2 2 7" xfId="4692" xr:uid="{00000000-0005-0000-0000-0000E50F0000}"/>
    <cellStyle name="Normal 2 4 3 3 2 2 7 2" xfId="14018" xr:uid="{26C21E57-9041-45D6-91B0-93FDC29A41AD}"/>
    <cellStyle name="Normal 2 4 3 3 2 2 8" xfId="9124" xr:uid="{1FF2B195-09C8-4D7B-A363-E8AF809A669B}"/>
    <cellStyle name="Normal 2 4 3 3 2 2 9" xfId="9801" xr:uid="{9506D491-010B-4EC9-83E1-C4E603CB9F3A}"/>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EACC1E1F-992C-4382-AFA9-B02AEBA2478A}"/>
    <cellStyle name="Normal 2 4 3 3 2 3 2 3" xfId="12359" xr:uid="{072AE4F4-F3FF-4E4E-AD57-2B0EFE7BF6C2}"/>
    <cellStyle name="Normal 2 4 3 3 2 3 3" xfId="5105" xr:uid="{00000000-0005-0000-0000-0000E90F0000}"/>
    <cellStyle name="Normal 2 4 3 3 2 3 3 2" xfId="14431" xr:uid="{24116487-D637-4000-92FC-8B26EDD06E58}"/>
    <cellStyle name="Normal 2 4 3 3 2 3 4" xfId="9342" xr:uid="{41454CF9-47C1-4E8A-868A-8F39341308EB}"/>
    <cellStyle name="Normal 2 4 3 3 2 3 5" xfId="10214" xr:uid="{AAEA2D08-D970-4681-807E-5AB142B97D8A}"/>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ECA14B8B-7330-4563-8A1A-5B9DED4BE372}"/>
    <cellStyle name="Normal 2 4 3 3 2 4 2 3" xfId="12772" xr:uid="{3EB087FB-4A03-450B-B75F-1A31BE72F062}"/>
    <cellStyle name="Normal 2 4 3 3 2 4 3" xfId="5518" xr:uid="{00000000-0005-0000-0000-0000ED0F0000}"/>
    <cellStyle name="Normal 2 4 3 3 2 4 3 2" xfId="14844" xr:uid="{EAAC0E7E-B32E-4718-9671-F79FCDA2611D}"/>
    <cellStyle name="Normal 2 4 3 3 2 4 4" xfId="10627" xr:uid="{6BC0100C-1DF0-4B41-9972-B61A9C46A4F4}"/>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3ACA4724-C95C-4C08-A8B1-EACF92B50713}"/>
    <cellStyle name="Normal 2 4 3 3 2 5 2 3" xfId="13185" xr:uid="{55BB8E55-46D5-42B9-B8C8-C20B06478645}"/>
    <cellStyle name="Normal 2 4 3 3 2 5 3" xfId="5931" xr:uid="{00000000-0005-0000-0000-0000F10F0000}"/>
    <cellStyle name="Normal 2 4 3 3 2 5 3 2" xfId="15257" xr:uid="{1DF87225-7610-4E52-BD0E-CD772484D993}"/>
    <cellStyle name="Normal 2 4 3 3 2 5 4" xfId="11040" xr:uid="{CB02979B-140D-4DDD-A9DD-8FADE05F13D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AB4BB6A2-36CA-44B2-8163-706304CAF1CF}"/>
    <cellStyle name="Normal 2 4 3 3 2 6 2 3" xfId="13598" xr:uid="{EA79DEFC-8E4F-4500-A344-6ECE80E78C33}"/>
    <cellStyle name="Normal 2 4 3 3 2 6 3" xfId="6344" xr:uid="{00000000-0005-0000-0000-0000F50F0000}"/>
    <cellStyle name="Normal 2 4 3 3 2 6 3 2" xfId="15670" xr:uid="{024CFE93-D70A-470A-9E72-012546A2FB6C}"/>
    <cellStyle name="Normal 2 4 3 3 2 6 4" xfId="11453" xr:uid="{C4E7D395-79FD-495F-83E6-5CB69F6D7A2D}"/>
    <cellStyle name="Normal 2 4 3 3 2 7" xfId="2474" xr:uid="{00000000-0005-0000-0000-0000F60F0000}"/>
    <cellStyle name="Normal 2 4 3 3 2 7 2" xfId="6757" xr:uid="{00000000-0005-0000-0000-0000F70F0000}"/>
    <cellStyle name="Normal 2 4 3 3 2 7 2 2" xfId="16083" xr:uid="{6563DA96-D426-4F3B-8787-A59EA8004C6D}"/>
    <cellStyle name="Normal 2 4 3 3 2 7 3" xfId="11866" xr:uid="{D77F1646-386E-4109-81CC-A3E7A63F1898}"/>
    <cellStyle name="Normal 2 4 3 3 2 8" xfId="4691" xr:uid="{00000000-0005-0000-0000-0000F80F0000}"/>
    <cellStyle name="Normal 2 4 3 3 2 8 2" xfId="14017" xr:uid="{D49A2F5D-F3AF-4F2A-8988-C116ADB2B99B}"/>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05D1D3D9-45FF-4E30-81D5-20DA07B433BA}"/>
    <cellStyle name="Normal 2 4 3 3 3 2 2 3" xfId="12361" xr:uid="{82B652FE-17DB-41B5-972F-E3ACE4CAB5F6}"/>
    <cellStyle name="Normal 2 4 3 3 3 2 3" xfId="5107" xr:uid="{00000000-0005-0000-0000-0000FD0F0000}"/>
    <cellStyle name="Normal 2 4 3 3 3 2 3 2" xfId="14433" xr:uid="{4A2056A4-58C8-4427-AA62-4580E44A0E4A}"/>
    <cellStyle name="Normal 2 4 3 3 3 2 4" xfId="9446" xr:uid="{7ACDBBC8-943F-41CF-9832-96F56BCB3985}"/>
    <cellStyle name="Normal 2 4 3 3 3 2 5" xfId="10216" xr:uid="{D72FA04E-CA31-4E8D-A795-E075B51ECD31}"/>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D7FE523C-ADBB-4399-96C1-39418B005490}"/>
    <cellStyle name="Normal 2 4 3 3 3 3 2 3" xfId="12774" xr:uid="{854E5C71-93D3-4B40-86B6-26A97B2B20B9}"/>
    <cellStyle name="Normal 2 4 3 3 3 3 3" xfId="5520" xr:uid="{00000000-0005-0000-0000-000001100000}"/>
    <cellStyle name="Normal 2 4 3 3 3 3 3 2" xfId="14846" xr:uid="{8045FA25-0F4B-429F-873D-95A0AAE1F2D2}"/>
    <cellStyle name="Normal 2 4 3 3 3 3 4" xfId="10629" xr:uid="{DB29CC7B-37AA-40D4-8BDE-84BFA6DF2CF7}"/>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098F37CE-04FF-440E-9343-EB634E15D020}"/>
    <cellStyle name="Normal 2 4 3 3 3 4 2 3" xfId="13187" xr:uid="{EDFEF7A0-2C21-4FC7-804C-2A48D86056E8}"/>
    <cellStyle name="Normal 2 4 3 3 3 4 3" xfId="5933" xr:uid="{00000000-0005-0000-0000-000005100000}"/>
    <cellStyle name="Normal 2 4 3 3 3 4 3 2" xfId="15259" xr:uid="{A3DA8637-4941-48D9-8C91-08A35DFFCF16}"/>
    <cellStyle name="Normal 2 4 3 3 3 4 4" xfId="11042" xr:uid="{B88D27B1-5A24-414B-82F0-E86F8C0A0BCB}"/>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FC02968C-0FEB-4D2C-AE9D-D00DD8319BDD}"/>
    <cellStyle name="Normal 2 4 3 3 3 5 2 3" xfId="13600" xr:uid="{5DCE8801-6AD0-4374-8350-B1BBEDB5BBF3}"/>
    <cellStyle name="Normal 2 4 3 3 3 5 3" xfId="6346" xr:uid="{00000000-0005-0000-0000-000009100000}"/>
    <cellStyle name="Normal 2 4 3 3 3 5 3 2" xfId="15672" xr:uid="{69571E33-32A5-49A0-A807-A026E71E30D9}"/>
    <cellStyle name="Normal 2 4 3 3 3 5 4" xfId="11455" xr:uid="{E9ADBFC5-BEB7-43D1-A70D-0A21DD76E517}"/>
    <cellStyle name="Normal 2 4 3 3 3 6" xfId="2476" xr:uid="{00000000-0005-0000-0000-00000A100000}"/>
    <cellStyle name="Normal 2 4 3 3 3 6 2" xfId="6759" xr:uid="{00000000-0005-0000-0000-00000B100000}"/>
    <cellStyle name="Normal 2 4 3 3 3 6 2 2" xfId="16085" xr:uid="{FD229CA9-0CB6-4394-8A03-26A8A153ED1C}"/>
    <cellStyle name="Normal 2 4 3 3 3 6 3" xfId="11868" xr:uid="{E9D6D2C6-F34E-483A-9F67-A131CE402D03}"/>
    <cellStyle name="Normal 2 4 3 3 3 7" xfId="4693" xr:uid="{00000000-0005-0000-0000-00000C100000}"/>
    <cellStyle name="Normal 2 4 3 3 3 7 2" xfId="14019" xr:uid="{66A208D4-99E4-4946-85E5-12A9CFC77530}"/>
    <cellStyle name="Normal 2 4 3 3 3 8" xfId="9021" xr:uid="{4EC0F035-DC07-4262-9C58-7142AC357944}"/>
    <cellStyle name="Normal 2 4 3 3 3 9" xfId="9802" xr:uid="{F7EDF686-D8DA-4633-B95C-1D2E5DEF7477}"/>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75B55585-9DC8-47F2-85C8-748D618F7C92}"/>
    <cellStyle name="Normal 2 4 3 3 4 2 3" xfId="12358" xr:uid="{30C3F239-150A-47CA-A9A4-7DCA764ECAB3}"/>
    <cellStyle name="Normal 2 4 3 3 4 3" xfId="5104" xr:uid="{00000000-0005-0000-0000-000010100000}"/>
    <cellStyle name="Normal 2 4 3 3 4 3 2" xfId="14430" xr:uid="{D318993B-68A1-476E-82D0-4BE69571B31A}"/>
    <cellStyle name="Normal 2 4 3 3 4 4" xfId="9239" xr:uid="{3DCBA9AF-C63D-4CA9-81B6-AC7CB7B67292}"/>
    <cellStyle name="Normal 2 4 3 3 4 5" xfId="10213" xr:uid="{9C7F7875-9738-4152-AAEA-D4A2B7224F26}"/>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2FCD70E7-7832-43F0-A057-56A75601455B}"/>
    <cellStyle name="Normal 2 4 3 3 5 2 3" xfId="12771" xr:uid="{3C43B8C9-AC1B-4CCC-BC65-3949C627F711}"/>
    <cellStyle name="Normal 2 4 3 3 5 3" xfId="5517" xr:uid="{00000000-0005-0000-0000-000014100000}"/>
    <cellStyle name="Normal 2 4 3 3 5 3 2" xfId="14843" xr:uid="{F51CC1AB-FC22-4900-B193-B8258EDB350A}"/>
    <cellStyle name="Normal 2 4 3 3 5 4" xfId="10626" xr:uid="{59E9F80A-A24D-4FC9-BE95-285B0FD5E2F7}"/>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9ECF6D8F-2568-4906-9CD2-06F789AA6FF0}"/>
    <cellStyle name="Normal 2 4 3 3 6 2 3" xfId="13184" xr:uid="{C00FFCBC-8104-4AE8-9AE4-838001DFA05A}"/>
    <cellStyle name="Normal 2 4 3 3 6 3" xfId="5930" xr:uid="{00000000-0005-0000-0000-000018100000}"/>
    <cellStyle name="Normal 2 4 3 3 6 3 2" xfId="15256" xr:uid="{77F246A1-6ABC-4F09-8100-93C7926803C7}"/>
    <cellStyle name="Normal 2 4 3 3 6 4" xfId="11039" xr:uid="{C8E4ACF7-A4DF-421A-889C-E7CC32876222}"/>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A4AE745E-5131-4C86-AF3C-335BD28DA0EE}"/>
    <cellStyle name="Normal 2 4 3 3 7 2 3" xfId="13597" xr:uid="{B1B7F952-3788-43DD-974E-5DAB3AF09608}"/>
    <cellStyle name="Normal 2 4 3 3 7 3" xfId="6343" xr:uid="{00000000-0005-0000-0000-00001C100000}"/>
    <cellStyle name="Normal 2 4 3 3 7 3 2" xfId="15669" xr:uid="{98F26018-FCFE-491E-885E-93027FD3A8C2}"/>
    <cellStyle name="Normal 2 4 3 3 7 4" xfId="11452" xr:uid="{9C3322A3-753C-4DC3-8BC6-4DA568838A92}"/>
    <cellStyle name="Normal 2 4 3 3 8" xfId="2473" xr:uid="{00000000-0005-0000-0000-00001D100000}"/>
    <cellStyle name="Normal 2 4 3 3 8 2" xfId="6756" xr:uid="{00000000-0005-0000-0000-00001E100000}"/>
    <cellStyle name="Normal 2 4 3 3 8 2 2" xfId="16082" xr:uid="{CC27E691-5796-4548-BED5-9F69F6D2669F}"/>
    <cellStyle name="Normal 2 4 3 3 8 3" xfId="11865" xr:uid="{FD3E4678-92BA-4C1E-9DD0-971A792FD40A}"/>
    <cellStyle name="Normal 2 4 3 3 9" xfId="4690" xr:uid="{00000000-0005-0000-0000-00001F100000}"/>
    <cellStyle name="Normal 2 4 3 3 9 2" xfId="14016" xr:uid="{A410B5AF-D584-4347-8250-3837A2B929E4}"/>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1E4D5DDC-58A2-468F-AB5C-65F2DC0FA7F4}"/>
    <cellStyle name="Normal 2 4 3 4 2 3" xfId="12357" xr:uid="{7F96C6E8-3FA2-493A-ACDF-E4316704FF0B}"/>
    <cellStyle name="Normal 2 4 3 4 3" xfId="5103" xr:uid="{00000000-0005-0000-0000-000023100000}"/>
    <cellStyle name="Normal 2 4 3 4 3 2" xfId="14429" xr:uid="{9FAFDA92-212E-4A83-A0B3-75BDB204B07D}"/>
    <cellStyle name="Normal 2 4 3 4 4" xfId="9605" xr:uid="{31B075F0-6828-4EC6-AC77-4B4B0626A722}"/>
    <cellStyle name="Normal 2 4 3 4 5" xfId="10212" xr:uid="{03EB7E43-0F56-47B8-81B6-5DFBDD4FBF34}"/>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E40F7623-9C05-4AF0-B1AC-72965D8E5723}"/>
    <cellStyle name="Normal 2 4 3 5 2 3" xfId="12770" xr:uid="{9D9CE7F6-B6BE-46ED-BD17-F71A79A8AA70}"/>
    <cellStyle name="Normal 2 4 3 5 3" xfId="5516" xr:uid="{00000000-0005-0000-0000-000027100000}"/>
    <cellStyle name="Normal 2 4 3 5 3 2" xfId="14842" xr:uid="{0F02D002-7B46-459C-A965-587F596FA0CC}"/>
    <cellStyle name="Normal 2 4 3 5 4" xfId="10625" xr:uid="{9924ED3B-6FE4-45A6-BDE7-3DAD6EA578FE}"/>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4539CC6B-C6A6-45EC-952E-FF70D15BB572}"/>
    <cellStyle name="Normal 2 4 3 6 2 3" xfId="13183" xr:uid="{EF520EBE-E813-4EB1-AE4B-75371BE6599F}"/>
    <cellStyle name="Normal 2 4 3 6 3" xfId="5929" xr:uid="{00000000-0005-0000-0000-00002B100000}"/>
    <cellStyle name="Normal 2 4 3 6 3 2" xfId="15255" xr:uid="{28DC4169-CAF5-48A4-92D7-1BC944AB4723}"/>
    <cellStyle name="Normal 2 4 3 6 4" xfId="11038" xr:uid="{74A7281E-5EC8-4CCA-8C59-3427657EF28B}"/>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15CA7FDD-4084-4899-8C8D-D781B6DCA02D}"/>
    <cellStyle name="Normal 2 4 3 7 2 3" xfId="13596" xr:uid="{8E7C62B8-A9B7-4AEB-8A46-20D712B1A16B}"/>
    <cellStyle name="Normal 2 4 3 7 3" xfId="6342" xr:uid="{00000000-0005-0000-0000-00002F100000}"/>
    <cellStyle name="Normal 2 4 3 7 3 2" xfId="15668" xr:uid="{A6D4CF69-1C8B-4DFD-A2A4-2FE43F68B352}"/>
    <cellStyle name="Normal 2 4 3 7 4" xfId="11451" xr:uid="{0B31A458-F8B6-44FA-A034-6BFA4AE46306}"/>
    <cellStyle name="Normal 2 4 3 8" xfId="2472" xr:uid="{00000000-0005-0000-0000-000030100000}"/>
    <cellStyle name="Normal 2 4 3 8 2" xfId="6755" xr:uid="{00000000-0005-0000-0000-000031100000}"/>
    <cellStyle name="Normal 2 4 3 8 2 2" xfId="16081" xr:uid="{5174FF00-3F80-4320-AD4D-37D70A2ED2D2}"/>
    <cellStyle name="Normal 2 4 3 8 3" xfId="11864" xr:uid="{A30EC1EE-A210-4E39-9791-F155AEDC486D}"/>
    <cellStyle name="Normal 2 4 3 9" xfId="4689" xr:uid="{00000000-0005-0000-0000-000032100000}"/>
    <cellStyle name="Normal 2 4 3 9 2" xfId="14015" xr:uid="{B66D6720-F670-496D-AAB4-B335C0329EB5}"/>
    <cellStyle name="Normal 2 4 4" xfId="302" xr:uid="{00000000-0005-0000-0000-000033100000}"/>
    <cellStyle name="Normal 2 4 5" xfId="303" xr:uid="{00000000-0005-0000-0000-000034100000}"/>
    <cellStyle name="Normal 2 4 5 10" xfId="4694" xr:uid="{00000000-0005-0000-0000-000035100000}"/>
    <cellStyle name="Normal 2 4 5 10 2" xfId="14020" xr:uid="{2DA63AF6-CB80-4914-963A-E9EE17BC1AF9}"/>
    <cellStyle name="Normal 2 4 5 11" xfId="8780" xr:uid="{7650B30D-5C17-47F0-B17B-A5E27258C29E}"/>
    <cellStyle name="Normal 2 4 5 12" xfId="9803" xr:uid="{B7E696FA-8C17-4607-B458-21D79BB548E3}"/>
    <cellStyle name="Normal 2 4 5 2" xfId="304" xr:uid="{00000000-0005-0000-0000-000036100000}"/>
    <cellStyle name="Normal 2 4 5 2 10" xfId="8815" xr:uid="{40A5EFE5-2EC9-4F25-B9EC-CAF9321E00F7}"/>
    <cellStyle name="Normal 2 4 5 2 11" xfId="9804" xr:uid="{575561F8-A104-490C-BE56-0F826348E20F}"/>
    <cellStyle name="Normal 2 4 5 2 2" xfId="305" xr:uid="{00000000-0005-0000-0000-000037100000}"/>
    <cellStyle name="Normal 2 4 5 2 2 10" xfId="9805" xr:uid="{E1F2E955-84AD-4C2A-BB2C-260D2147AB17}"/>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F92BA89F-7931-4542-B682-3574A8907309}"/>
    <cellStyle name="Normal 2 4 5 2 2 2 2 2 3" xfId="12365" xr:uid="{FAEC5A32-FCB1-4290-9EE8-ABF38FDE26F0}"/>
    <cellStyle name="Normal 2 4 5 2 2 2 2 3" xfId="5111" xr:uid="{00000000-0005-0000-0000-00003C100000}"/>
    <cellStyle name="Normal 2 4 5 2 2 2 2 3 2" xfId="14437" xr:uid="{4E079ED3-9A59-41A0-9EC3-99D991B2BC28}"/>
    <cellStyle name="Normal 2 4 5 2 2 2 2 4" xfId="9550" xr:uid="{8A7671EC-AB7E-4F51-9B1B-FE1F0FDC42A9}"/>
    <cellStyle name="Normal 2 4 5 2 2 2 2 5" xfId="10220" xr:uid="{7B2F9C24-E304-4CBC-8235-EB22E55DE48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337824BD-2E11-4658-81F3-4A739DBD7725}"/>
    <cellStyle name="Normal 2 4 5 2 2 2 3 2 3" xfId="12778" xr:uid="{80890521-B863-4747-BCD0-3FF42B02401E}"/>
    <cellStyle name="Normal 2 4 5 2 2 2 3 3" xfId="5524" xr:uid="{00000000-0005-0000-0000-000040100000}"/>
    <cellStyle name="Normal 2 4 5 2 2 2 3 3 2" xfId="14850" xr:uid="{A32BF21B-5CB1-4F44-808E-014305E5488E}"/>
    <cellStyle name="Normal 2 4 5 2 2 2 3 4" xfId="10633" xr:uid="{CACCBD0C-36D3-4041-BDB5-071A3981E2C5}"/>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428880DE-6978-40B4-A7CD-546616E3E64F}"/>
    <cellStyle name="Normal 2 4 5 2 2 2 4 2 3" xfId="13191" xr:uid="{B34709CD-3109-4B95-A4E0-6E237429C371}"/>
    <cellStyle name="Normal 2 4 5 2 2 2 4 3" xfId="5937" xr:uid="{00000000-0005-0000-0000-000044100000}"/>
    <cellStyle name="Normal 2 4 5 2 2 2 4 3 2" xfId="15263" xr:uid="{7DAC367E-8236-4858-A848-D67506D96A3E}"/>
    <cellStyle name="Normal 2 4 5 2 2 2 4 4" xfId="11046" xr:uid="{AF00DB88-D7E7-4119-800D-E0A30DE6C73C}"/>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863283F6-878E-4E36-AC71-55114B0F53C9}"/>
    <cellStyle name="Normal 2 4 5 2 2 2 5 2 3" xfId="13604" xr:uid="{62D8C31A-305B-4645-A8C1-A6B93F18216E}"/>
    <cellStyle name="Normal 2 4 5 2 2 2 5 3" xfId="6350" xr:uid="{00000000-0005-0000-0000-000048100000}"/>
    <cellStyle name="Normal 2 4 5 2 2 2 5 3 2" xfId="15676" xr:uid="{59604FDE-9FFC-4D82-BF40-205EA1A74FDC}"/>
    <cellStyle name="Normal 2 4 5 2 2 2 5 4" xfId="11459" xr:uid="{A2F3DCC7-BB8A-4C6B-8F27-FBF646CDAC3F}"/>
    <cellStyle name="Normal 2 4 5 2 2 2 6" xfId="2480" xr:uid="{00000000-0005-0000-0000-000049100000}"/>
    <cellStyle name="Normal 2 4 5 2 2 2 6 2" xfId="6763" xr:uid="{00000000-0005-0000-0000-00004A100000}"/>
    <cellStyle name="Normal 2 4 5 2 2 2 6 2 2" xfId="16089" xr:uid="{53FC83B4-CF62-445B-AB81-AA9F0A232D33}"/>
    <cellStyle name="Normal 2 4 5 2 2 2 6 3" xfId="11872" xr:uid="{9A64A665-9D9C-4E2A-8240-00CE1D799468}"/>
    <cellStyle name="Normal 2 4 5 2 2 2 7" xfId="4697" xr:uid="{00000000-0005-0000-0000-00004B100000}"/>
    <cellStyle name="Normal 2 4 5 2 2 2 7 2" xfId="14023" xr:uid="{684774EE-0DB0-426C-9FC4-813F0EB675B0}"/>
    <cellStyle name="Normal 2 4 5 2 2 2 8" xfId="9125" xr:uid="{AE6B93A1-5C0B-49F1-AF15-6FC3FAFFE3B2}"/>
    <cellStyle name="Normal 2 4 5 2 2 2 9" xfId="9806" xr:uid="{421A461E-7128-4A0B-8AB5-03F4D04D914D}"/>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74886713-A31F-4156-8E30-FE7D9D968240}"/>
    <cellStyle name="Normal 2 4 5 2 2 3 2 3" xfId="12364" xr:uid="{74458381-00EA-4039-963A-23501A579E96}"/>
    <cellStyle name="Normal 2 4 5 2 2 3 3" xfId="5110" xr:uid="{00000000-0005-0000-0000-00004F100000}"/>
    <cellStyle name="Normal 2 4 5 2 2 3 3 2" xfId="14436" xr:uid="{6869402D-C509-4028-839B-7904F516B285}"/>
    <cellStyle name="Normal 2 4 5 2 2 3 4" xfId="9343" xr:uid="{FC4CD386-4202-45E2-8021-2A85CACF4E8B}"/>
    <cellStyle name="Normal 2 4 5 2 2 3 5" xfId="10219" xr:uid="{23B2316D-0709-4C75-8BA4-3A57E07C6402}"/>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C23B78DF-E2BA-4AE7-8A1E-128FE18FEAD5}"/>
    <cellStyle name="Normal 2 4 5 2 2 4 2 3" xfId="12777" xr:uid="{1BB66010-8D12-4E56-95C5-9779A1D51369}"/>
    <cellStyle name="Normal 2 4 5 2 2 4 3" xfId="5523" xr:uid="{00000000-0005-0000-0000-000053100000}"/>
    <cellStyle name="Normal 2 4 5 2 2 4 3 2" xfId="14849" xr:uid="{7295C7AC-FA3F-4CD7-AAFB-A60FA4B997BA}"/>
    <cellStyle name="Normal 2 4 5 2 2 4 4" xfId="10632" xr:uid="{C1AAACDF-9AC1-42C4-B1AF-5DDF37BEA5A7}"/>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545C283B-5351-4313-946D-40AE0AB71777}"/>
    <cellStyle name="Normal 2 4 5 2 2 5 2 3" xfId="13190" xr:uid="{86D6AA69-7719-4504-A7FF-2D1EA6110A9B}"/>
    <cellStyle name="Normal 2 4 5 2 2 5 3" xfId="5936" xr:uid="{00000000-0005-0000-0000-000057100000}"/>
    <cellStyle name="Normal 2 4 5 2 2 5 3 2" xfId="15262" xr:uid="{DEB05F40-347B-4339-8B23-1FC326DB9322}"/>
    <cellStyle name="Normal 2 4 5 2 2 5 4" xfId="11045" xr:uid="{1A89BE82-B4B6-43B1-8856-C157BD7979C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760B0C96-1A35-48A4-A74E-10CE4282E505}"/>
    <cellStyle name="Normal 2 4 5 2 2 6 2 3" xfId="13603" xr:uid="{06E6025C-1F14-426A-969A-874241548606}"/>
    <cellStyle name="Normal 2 4 5 2 2 6 3" xfId="6349" xr:uid="{00000000-0005-0000-0000-00005B100000}"/>
    <cellStyle name="Normal 2 4 5 2 2 6 3 2" xfId="15675" xr:uid="{A9E3719E-388C-4837-95DB-4545D135E80A}"/>
    <cellStyle name="Normal 2 4 5 2 2 6 4" xfId="11458" xr:uid="{B7FA5464-63B1-47FC-AFBE-B058E7360DF9}"/>
    <cellStyle name="Normal 2 4 5 2 2 7" xfId="2479" xr:uid="{00000000-0005-0000-0000-00005C100000}"/>
    <cellStyle name="Normal 2 4 5 2 2 7 2" xfId="6762" xr:uid="{00000000-0005-0000-0000-00005D100000}"/>
    <cellStyle name="Normal 2 4 5 2 2 7 2 2" xfId="16088" xr:uid="{136FFF8B-9045-4319-BB37-F3003905EA6C}"/>
    <cellStyle name="Normal 2 4 5 2 2 7 3" xfId="11871" xr:uid="{6A2D4184-C6EA-47C6-98B8-1E2F47F0ABED}"/>
    <cellStyle name="Normal 2 4 5 2 2 8" xfId="4696" xr:uid="{00000000-0005-0000-0000-00005E100000}"/>
    <cellStyle name="Normal 2 4 5 2 2 8 2" xfId="14022" xr:uid="{21A88F0D-D3F5-4CE5-962A-3B15F834FBB3}"/>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3C854467-C45A-4EEF-92B8-0E24EC78436D}"/>
    <cellStyle name="Normal 2 4 5 2 3 2 2 3" xfId="12366" xr:uid="{432BB588-DCC9-4743-82E5-6F92ECD22C4A}"/>
    <cellStyle name="Normal 2 4 5 2 3 2 3" xfId="5112" xr:uid="{00000000-0005-0000-0000-000063100000}"/>
    <cellStyle name="Normal 2 4 5 2 3 2 3 2" xfId="14438" xr:uid="{03FFEF7E-5BB1-483E-BB58-42C2AF7A4283}"/>
    <cellStyle name="Normal 2 4 5 2 3 2 4" xfId="9447" xr:uid="{5DAE67B2-15F6-4C7F-9310-B9C816D42F72}"/>
    <cellStyle name="Normal 2 4 5 2 3 2 5" xfId="10221" xr:uid="{F4961048-5F7C-4AA2-AF01-E4E550A995BE}"/>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EFBC98FD-5598-4A04-BCDB-A33DAED79A0E}"/>
    <cellStyle name="Normal 2 4 5 2 3 3 2 3" xfId="12779" xr:uid="{28EF65BD-1DEF-4E37-88CF-81B69E6DEC3A}"/>
    <cellStyle name="Normal 2 4 5 2 3 3 3" xfId="5525" xr:uid="{00000000-0005-0000-0000-000067100000}"/>
    <cellStyle name="Normal 2 4 5 2 3 3 3 2" xfId="14851" xr:uid="{0B730F5D-0A55-4D53-9BC7-ED27D958A84E}"/>
    <cellStyle name="Normal 2 4 5 2 3 3 4" xfId="10634" xr:uid="{F0F4C2BD-267D-4C75-9A99-AB33E3FD2996}"/>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1B8F37DC-ACFD-453E-B0F0-C9C8A69CD250}"/>
    <cellStyle name="Normal 2 4 5 2 3 4 2 3" xfId="13192" xr:uid="{8BD4CDD9-0BF0-439A-82E6-DCE5AFBF47D3}"/>
    <cellStyle name="Normal 2 4 5 2 3 4 3" xfId="5938" xr:uid="{00000000-0005-0000-0000-00006B100000}"/>
    <cellStyle name="Normal 2 4 5 2 3 4 3 2" xfId="15264" xr:uid="{F77A72CD-A1E9-40B9-90DE-CD7B03D29FA0}"/>
    <cellStyle name="Normal 2 4 5 2 3 4 4" xfId="11047" xr:uid="{790BE78D-CBD9-4485-ADA0-A7EED9A3BA08}"/>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B588D071-6B12-4267-AA9F-E70EC0ED8E61}"/>
    <cellStyle name="Normal 2 4 5 2 3 5 2 3" xfId="13605" xr:uid="{C562E325-7553-42DB-BBD1-53998ACBDEC8}"/>
    <cellStyle name="Normal 2 4 5 2 3 5 3" xfId="6351" xr:uid="{00000000-0005-0000-0000-00006F100000}"/>
    <cellStyle name="Normal 2 4 5 2 3 5 3 2" xfId="15677" xr:uid="{B34A469A-76DF-4F7B-B326-E7DF268661DD}"/>
    <cellStyle name="Normal 2 4 5 2 3 5 4" xfId="11460" xr:uid="{A0EFF031-8DDC-4179-9F8A-2EA85E543812}"/>
    <cellStyle name="Normal 2 4 5 2 3 6" xfId="2481" xr:uid="{00000000-0005-0000-0000-000070100000}"/>
    <cellStyle name="Normal 2 4 5 2 3 6 2" xfId="6764" xr:uid="{00000000-0005-0000-0000-000071100000}"/>
    <cellStyle name="Normal 2 4 5 2 3 6 2 2" xfId="16090" xr:uid="{B349CAFE-5BC5-4842-864B-47816783745B}"/>
    <cellStyle name="Normal 2 4 5 2 3 6 3" xfId="11873" xr:uid="{0A9C149E-8027-4F66-8516-977D3C5BFCCB}"/>
    <cellStyle name="Normal 2 4 5 2 3 7" xfId="4698" xr:uid="{00000000-0005-0000-0000-000072100000}"/>
    <cellStyle name="Normal 2 4 5 2 3 7 2" xfId="14024" xr:uid="{6632C76C-1ECB-4EF9-945A-16C88CF88049}"/>
    <cellStyle name="Normal 2 4 5 2 3 8" xfId="9022" xr:uid="{B979F5DF-A88B-437D-B1B4-B92D08856DC7}"/>
    <cellStyle name="Normal 2 4 5 2 3 9" xfId="9807" xr:uid="{FDB5B389-6CFB-4886-939B-E22D7BA4ADB1}"/>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A0A0811D-0BAA-4704-8069-8754B7DD3623}"/>
    <cellStyle name="Normal 2 4 5 2 4 2 3" xfId="12363" xr:uid="{2DB9B7E2-7653-4779-961D-0829E42F3225}"/>
    <cellStyle name="Normal 2 4 5 2 4 3" xfId="5109" xr:uid="{00000000-0005-0000-0000-000076100000}"/>
    <cellStyle name="Normal 2 4 5 2 4 3 2" xfId="14435" xr:uid="{EE137D75-DB6B-455E-BF05-9CE47BEC2842}"/>
    <cellStyle name="Normal 2 4 5 2 4 4" xfId="9240" xr:uid="{16FBE981-4867-4157-8C0D-9C1339DB5B3F}"/>
    <cellStyle name="Normal 2 4 5 2 4 5" xfId="10218" xr:uid="{DC73964B-73C3-4DD3-8B46-7112F217D883}"/>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66C0D5DA-9F0E-4014-88A7-BD65EC1A6351}"/>
    <cellStyle name="Normal 2 4 5 2 5 2 3" xfId="12776" xr:uid="{E3A84DE3-DB34-47B0-9B5D-CB1429F12AA2}"/>
    <cellStyle name="Normal 2 4 5 2 5 3" xfId="5522" xr:uid="{00000000-0005-0000-0000-00007A100000}"/>
    <cellStyle name="Normal 2 4 5 2 5 3 2" xfId="14848" xr:uid="{8CA771C6-79BC-459B-8932-44A6F0164B6D}"/>
    <cellStyle name="Normal 2 4 5 2 5 4" xfId="10631" xr:uid="{FCE2444A-31FB-4B8D-BDAB-28B820F3114E}"/>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84EB7E0A-D56F-41D6-A46F-270F9043FCD3}"/>
    <cellStyle name="Normal 2 4 5 2 6 2 3" xfId="13189" xr:uid="{D4BBECFF-68A5-4E1B-BC50-5A27B52AC142}"/>
    <cellStyle name="Normal 2 4 5 2 6 3" xfId="5935" xr:uid="{00000000-0005-0000-0000-00007E100000}"/>
    <cellStyle name="Normal 2 4 5 2 6 3 2" xfId="15261" xr:uid="{B145F0F2-E4F0-4641-87B7-C26B7174D86B}"/>
    <cellStyle name="Normal 2 4 5 2 6 4" xfId="11044" xr:uid="{7B794CDA-FC59-401C-824D-87D9DB4A55C6}"/>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083BB3F5-7944-4550-AE33-9D472FEFFAA5}"/>
    <cellStyle name="Normal 2 4 5 2 7 2 3" xfId="13602" xr:uid="{B2C00D4E-19A9-4140-B7F2-9258E44E5AFE}"/>
    <cellStyle name="Normal 2 4 5 2 7 3" xfId="6348" xr:uid="{00000000-0005-0000-0000-000082100000}"/>
    <cellStyle name="Normal 2 4 5 2 7 3 2" xfId="15674" xr:uid="{8216694E-AF46-4F1C-A254-CDEA64A0D3F4}"/>
    <cellStyle name="Normal 2 4 5 2 7 4" xfId="11457" xr:uid="{FA8A1D7F-7D0A-4895-9304-BA6A472D920B}"/>
    <cellStyle name="Normal 2 4 5 2 8" xfId="2478" xr:uid="{00000000-0005-0000-0000-000083100000}"/>
    <cellStyle name="Normal 2 4 5 2 8 2" xfId="6761" xr:uid="{00000000-0005-0000-0000-000084100000}"/>
    <cellStyle name="Normal 2 4 5 2 8 2 2" xfId="16087" xr:uid="{CD6A7EBB-0434-4CDF-BD42-F611DFB79837}"/>
    <cellStyle name="Normal 2 4 5 2 8 3" xfId="11870" xr:uid="{AB8B9EE7-3253-487F-8FC7-BAB1815014EF}"/>
    <cellStyle name="Normal 2 4 5 2 9" xfId="4695" xr:uid="{00000000-0005-0000-0000-000085100000}"/>
    <cellStyle name="Normal 2 4 5 2 9 2" xfId="14021" xr:uid="{F993405A-E167-49D6-B9C6-49B2989EA0F5}"/>
    <cellStyle name="Normal 2 4 5 3" xfId="308" xr:uid="{00000000-0005-0000-0000-000086100000}"/>
    <cellStyle name="Normal 2 4 5 3 10" xfId="9808" xr:uid="{CA9EFD3D-9BC9-4FA4-A315-CECF1A72F6D7}"/>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B753FB18-5D27-4661-82B0-E5CF1A992136}"/>
    <cellStyle name="Normal 2 4 5 3 2 2 2 3" xfId="12368" xr:uid="{0B2CBA11-C5BA-4A6F-A989-7E173B33A345}"/>
    <cellStyle name="Normal 2 4 5 3 2 2 3" xfId="5114" xr:uid="{00000000-0005-0000-0000-00008B100000}"/>
    <cellStyle name="Normal 2 4 5 3 2 2 3 2" xfId="14440" xr:uid="{F6AFC786-0B22-49D4-8A29-3353F9143481}"/>
    <cellStyle name="Normal 2 4 5 3 2 2 4" xfId="9515" xr:uid="{A1D6949C-773D-44DB-B26F-4DD01D24FF00}"/>
    <cellStyle name="Normal 2 4 5 3 2 2 5" xfId="10223" xr:uid="{FF8B0C85-A15F-4986-8B4C-C4290DF0C5DB}"/>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C3AE327E-8660-4498-9B64-7B503B3208F7}"/>
    <cellStyle name="Normal 2 4 5 3 2 3 2 3" xfId="12781" xr:uid="{836484CC-94D3-42F8-9ADA-775119D76FAA}"/>
    <cellStyle name="Normal 2 4 5 3 2 3 3" xfId="5527" xr:uid="{00000000-0005-0000-0000-00008F100000}"/>
    <cellStyle name="Normal 2 4 5 3 2 3 3 2" xfId="14853" xr:uid="{17420E34-3905-4AFC-B775-3BDDD3B196BA}"/>
    <cellStyle name="Normal 2 4 5 3 2 3 4" xfId="10636" xr:uid="{8954B4A2-3246-4C3A-9C83-9DBDD0D35A79}"/>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A0F03FF9-B043-4AD9-8101-000280C8A9B2}"/>
    <cellStyle name="Normal 2 4 5 3 2 4 2 3" xfId="13194" xr:uid="{314F28AF-62B3-478E-B942-41983F9E024E}"/>
    <cellStyle name="Normal 2 4 5 3 2 4 3" xfId="5940" xr:uid="{00000000-0005-0000-0000-000093100000}"/>
    <cellStyle name="Normal 2 4 5 3 2 4 3 2" xfId="15266" xr:uid="{6787D5DB-2F5F-479C-A78A-BE57869F6E12}"/>
    <cellStyle name="Normal 2 4 5 3 2 4 4" xfId="11049" xr:uid="{D76F65BF-C2B4-452B-BD5E-C8BFE6740FE5}"/>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FFCEE498-AD18-4381-B00B-5E279D82F8E2}"/>
    <cellStyle name="Normal 2 4 5 3 2 5 2 3" xfId="13607" xr:uid="{C87F65BF-45C7-4FF2-9999-25E9DEFAFDDA}"/>
    <cellStyle name="Normal 2 4 5 3 2 5 3" xfId="6353" xr:uid="{00000000-0005-0000-0000-000097100000}"/>
    <cellStyle name="Normal 2 4 5 3 2 5 3 2" xfId="15679" xr:uid="{78725B93-9CD3-4144-A123-0C637399E026}"/>
    <cellStyle name="Normal 2 4 5 3 2 5 4" xfId="11462" xr:uid="{D7F41681-C4DA-497C-9C36-2EE590218812}"/>
    <cellStyle name="Normal 2 4 5 3 2 6" xfId="2483" xr:uid="{00000000-0005-0000-0000-000098100000}"/>
    <cellStyle name="Normal 2 4 5 3 2 6 2" xfId="6766" xr:uid="{00000000-0005-0000-0000-000099100000}"/>
    <cellStyle name="Normal 2 4 5 3 2 6 2 2" xfId="16092" xr:uid="{5A689185-4E17-4984-97D8-E9EF6F205FC7}"/>
    <cellStyle name="Normal 2 4 5 3 2 6 3" xfId="11875" xr:uid="{F5233BA0-26BF-4005-8F05-1D6A1F500F74}"/>
    <cellStyle name="Normal 2 4 5 3 2 7" xfId="4700" xr:uid="{00000000-0005-0000-0000-00009A100000}"/>
    <cellStyle name="Normal 2 4 5 3 2 7 2" xfId="14026" xr:uid="{46397A14-2BC5-4C27-BA12-B66508916D0F}"/>
    <cellStyle name="Normal 2 4 5 3 2 8" xfId="9090" xr:uid="{4B64C5F8-5AC3-43D3-B94A-46850BBF79A5}"/>
    <cellStyle name="Normal 2 4 5 3 2 9" xfId="9809" xr:uid="{18318026-9314-46F6-9F87-0DBC9D1AB920}"/>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C836F23E-A355-43E0-8DE1-F26C12CDAACE}"/>
    <cellStyle name="Normal 2 4 5 3 3 2 3" xfId="12367" xr:uid="{6B6603F7-A748-428E-B4F0-E8232E2FBEC1}"/>
    <cellStyle name="Normal 2 4 5 3 3 3" xfId="5113" xr:uid="{00000000-0005-0000-0000-00009E100000}"/>
    <cellStyle name="Normal 2 4 5 3 3 3 2" xfId="14439" xr:uid="{F38DE7B0-F3FC-4E8D-9853-4DC2041A061C}"/>
    <cellStyle name="Normal 2 4 5 3 3 4" xfId="9308" xr:uid="{40198FFA-4C90-42BE-90C8-42459F1A2A1C}"/>
    <cellStyle name="Normal 2 4 5 3 3 5" xfId="10222" xr:uid="{90345FB3-26F4-4613-A6C5-E48D35A97AA2}"/>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2B29978A-6A62-4BD9-B972-A55018D17095}"/>
    <cellStyle name="Normal 2 4 5 3 4 2 3" xfId="12780" xr:uid="{78FF8AEF-8788-4806-A43D-D26030EAEE15}"/>
    <cellStyle name="Normal 2 4 5 3 4 3" xfId="5526" xr:uid="{00000000-0005-0000-0000-0000A2100000}"/>
    <cellStyle name="Normal 2 4 5 3 4 3 2" xfId="14852" xr:uid="{92302246-3116-41AA-A231-75DB1A2ACDFA}"/>
    <cellStyle name="Normal 2 4 5 3 4 4" xfId="10635" xr:uid="{4D3B1756-64D5-450A-9256-B8CC6739D018}"/>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632F55EC-D93F-4D6F-B59B-6736BB30971D}"/>
    <cellStyle name="Normal 2 4 5 3 5 2 3" xfId="13193" xr:uid="{C2F1E88A-3D5F-4300-9939-B62B210CB1B6}"/>
    <cellStyle name="Normal 2 4 5 3 5 3" xfId="5939" xr:uid="{00000000-0005-0000-0000-0000A6100000}"/>
    <cellStyle name="Normal 2 4 5 3 5 3 2" xfId="15265" xr:uid="{A6AF3266-C972-4695-92DC-3A3F4586FA5B}"/>
    <cellStyle name="Normal 2 4 5 3 5 4" xfId="11048" xr:uid="{6E585F08-9B6A-4A5E-B9BA-B80D52BD0216}"/>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0BE89519-CB45-4422-9447-480EFB520AB0}"/>
    <cellStyle name="Normal 2 4 5 3 6 2 3" xfId="13606" xr:uid="{B41751AD-CEE7-414C-BD4F-D694204E0F97}"/>
    <cellStyle name="Normal 2 4 5 3 6 3" xfId="6352" xr:uid="{00000000-0005-0000-0000-0000AA100000}"/>
    <cellStyle name="Normal 2 4 5 3 6 3 2" xfId="15678" xr:uid="{449B0135-79F6-436D-9CC8-1A8A16273BD4}"/>
    <cellStyle name="Normal 2 4 5 3 6 4" xfId="11461" xr:uid="{D6DF0246-9D5B-45A0-B77C-76D708891C60}"/>
    <cellStyle name="Normal 2 4 5 3 7" xfId="2482" xr:uid="{00000000-0005-0000-0000-0000AB100000}"/>
    <cellStyle name="Normal 2 4 5 3 7 2" xfId="6765" xr:uid="{00000000-0005-0000-0000-0000AC100000}"/>
    <cellStyle name="Normal 2 4 5 3 7 2 2" xfId="16091" xr:uid="{F8C84571-20F6-428D-85AB-2005A041CD2D}"/>
    <cellStyle name="Normal 2 4 5 3 7 3" xfId="11874" xr:uid="{DD295DDC-6FFC-46E9-9C30-BBB3375DB0A4}"/>
    <cellStyle name="Normal 2 4 5 3 8" xfId="4699" xr:uid="{00000000-0005-0000-0000-0000AD100000}"/>
    <cellStyle name="Normal 2 4 5 3 8 2" xfId="14025" xr:uid="{84CA910D-FEBB-4D7C-B786-B45A9FF2938D}"/>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CEDA39B3-C3EC-4DA0-9DEA-88F6D8CC0467}"/>
    <cellStyle name="Normal 2 4 5 4 2 2 3" xfId="12369" xr:uid="{4FFB4A98-C4FC-468A-AB60-C8B2903F44B2}"/>
    <cellStyle name="Normal 2 4 5 4 2 3" xfId="5115" xr:uid="{00000000-0005-0000-0000-0000B2100000}"/>
    <cellStyle name="Normal 2 4 5 4 2 3 2" xfId="14441" xr:uid="{1B026C5A-5E99-435E-ACD9-531F4FA07CDC}"/>
    <cellStyle name="Normal 2 4 5 4 2 4" xfId="9412" xr:uid="{0ECAC303-3EA0-4623-AA0F-854157CA32E5}"/>
    <cellStyle name="Normal 2 4 5 4 2 5" xfId="10224" xr:uid="{7D9E6F5E-9C00-4194-911D-E459B0518521}"/>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BECE420B-51D9-41E1-9D4D-14F6233189DA}"/>
    <cellStyle name="Normal 2 4 5 4 3 2 3" xfId="12782" xr:uid="{264F8288-A857-4BF2-98F1-45C3D32475DA}"/>
    <cellStyle name="Normal 2 4 5 4 3 3" xfId="5528" xr:uid="{00000000-0005-0000-0000-0000B6100000}"/>
    <cellStyle name="Normal 2 4 5 4 3 3 2" xfId="14854" xr:uid="{54B978A3-7B6B-4D53-9C7D-C49675A74081}"/>
    <cellStyle name="Normal 2 4 5 4 3 4" xfId="10637" xr:uid="{1048268F-E7AC-41D9-B58E-917A5A5DD376}"/>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1679E57A-94A1-4E32-9F81-49EBE89866EE}"/>
    <cellStyle name="Normal 2 4 5 4 4 2 3" xfId="13195" xr:uid="{07505722-9C92-4CF7-B9DC-938C6D840EF0}"/>
    <cellStyle name="Normal 2 4 5 4 4 3" xfId="5941" xr:uid="{00000000-0005-0000-0000-0000BA100000}"/>
    <cellStyle name="Normal 2 4 5 4 4 3 2" xfId="15267" xr:uid="{FF1F2180-9C29-40CD-8D29-520E3897EEF7}"/>
    <cellStyle name="Normal 2 4 5 4 4 4" xfId="11050" xr:uid="{C96F5C63-3DB2-4AC4-8D2C-7A213CCCEEA2}"/>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4619F241-31A4-4F07-B264-90E9F5E31AB1}"/>
    <cellStyle name="Normal 2 4 5 4 5 2 3" xfId="13608" xr:uid="{7E6C5E56-29E5-4E20-B9BB-886096A48008}"/>
    <cellStyle name="Normal 2 4 5 4 5 3" xfId="6354" xr:uid="{00000000-0005-0000-0000-0000BE100000}"/>
    <cellStyle name="Normal 2 4 5 4 5 3 2" xfId="15680" xr:uid="{88BC6B5F-63ED-4330-B710-D9FBE8228CAC}"/>
    <cellStyle name="Normal 2 4 5 4 5 4" xfId="11463" xr:uid="{3EDE26BF-DD82-4078-9C2F-6EB2B0B33A26}"/>
    <cellStyle name="Normal 2 4 5 4 6" xfId="2484" xr:uid="{00000000-0005-0000-0000-0000BF100000}"/>
    <cellStyle name="Normal 2 4 5 4 6 2" xfId="6767" xr:uid="{00000000-0005-0000-0000-0000C0100000}"/>
    <cellStyle name="Normal 2 4 5 4 6 2 2" xfId="16093" xr:uid="{D8BD2B7A-D42D-4EF7-A91A-B87597E7992B}"/>
    <cellStyle name="Normal 2 4 5 4 6 3" xfId="11876" xr:uid="{F478EC63-DBAC-47E2-AFED-25DFCAEF3D2C}"/>
    <cellStyle name="Normal 2 4 5 4 7" xfId="4701" xr:uid="{00000000-0005-0000-0000-0000C1100000}"/>
    <cellStyle name="Normal 2 4 5 4 7 2" xfId="14027" xr:uid="{B9DB734C-7B40-4B06-A039-66E4F0FAE111}"/>
    <cellStyle name="Normal 2 4 5 4 8" xfId="8987" xr:uid="{8DC2C01A-3078-41AD-BCFB-AA1CA8EE9C0A}"/>
    <cellStyle name="Normal 2 4 5 4 9" xfId="9810" xr:uid="{F259C3F0-B8E8-49D8-9710-2480C513C267}"/>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4F5D4EA6-5616-40F0-9637-BFA1B90E43DB}"/>
    <cellStyle name="Normal 2 4 5 5 2 3" xfId="12362" xr:uid="{5ACBE4A3-2BE8-49E8-985D-A327E4D43A7F}"/>
    <cellStyle name="Normal 2 4 5 5 3" xfId="5108" xr:uid="{00000000-0005-0000-0000-0000C5100000}"/>
    <cellStyle name="Normal 2 4 5 5 3 2" xfId="14434" xr:uid="{CB294F9D-1671-4E02-BB9A-7F9327317D07}"/>
    <cellStyle name="Normal 2 4 5 5 4" xfId="9204" xr:uid="{BE34B337-03EE-47D8-9E35-2EE6FAB30236}"/>
    <cellStyle name="Normal 2 4 5 5 5" xfId="10217" xr:uid="{DE0FD0B8-EE02-4DBA-8164-8768F090661D}"/>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2637613A-DA41-44F5-801E-6C76C120BD82}"/>
    <cellStyle name="Normal 2 4 5 6 2 3" xfId="12775" xr:uid="{4B0DCEC0-E1B0-41E5-953E-8DC0FBB439DF}"/>
    <cellStyle name="Normal 2 4 5 6 3" xfId="5521" xr:uid="{00000000-0005-0000-0000-0000C9100000}"/>
    <cellStyle name="Normal 2 4 5 6 3 2" xfId="14847" xr:uid="{2B821521-2366-42B4-BB13-12BC8BFE093B}"/>
    <cellStyle name="Normal 2 4 5 6 4" xfId="10630" xr:uid="{FB9AEEF8-6BA0-4DBE-99A3-4D54B94E8B7C}"/>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1E76F1D2-A872-428A-ACBB-F83BE4C47F50}"/>
    <cellStyle name="Normal 2 4 5 7 2 3" xfId="13188" xr:uid="{1CE36EC8-FC4E-4072-83DC-62E5FA4E73AF}"/>
    <cellStyle name="Normal 2 4 5 7 3" xfId="5934" xr:uid="{00000000-0005-0000-0000-0000CD100000}"/>
    <cellStyle name="Normal 2 4 5 7 3 2" xfId="15260" xr:uid="{FECA39EF-1D5E-4BF8-A7A7-6330E5DBFFF8}"/>
    <cellStyle name="Normal 2 4 5 7 4" xfId="11043" xr:uid="{E1CC0203-9DCC-4E3C-AFBC-2F07342B0A23}"/>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B864C80F-A4C2-45C7-948A-F73291646388}"/>
    <cellStyle name="Normal 2 4 5 8 2 3" xfId="13601" xr:uid="{4F8C07CB-1EE4-494D-8D3D-E87CB7A71E8B}"/>
    <cellStyle name="Normal 2 4 5 8 3" xfId="6347" xr:uid="{00000000-0005-0000-0000-0000D1100000}"/>
    <cellStyle name="Normal 2 4 5 8 3 2" xfId="15673" xr:uid="{782EDB22-5CA9-4994-87C7-9C736EB3B7E0}"/>
    <cellStyle name="Normal 2 4 5 8 4" xfId="11456" xr:uid="{CB35A2C0-40D9-42D7-A05B-A79B3FBE22D9}"/>
    <cellStyle name="Normal 2 4 5 9" xfId="2477" xr:uid="{00000000-0005-0000-0000-0000D2100000}"/>
    <cellStyle name="Normal 2 4 5 9 2" xfId="6760" xr:uid="{00000000-0005-0000-0000-0000D3100000}"/>
    <cellStyle name="Normal 2 4 5 9 2 2" xfId="16086" xr:uid="{A33F408B-5997-4A17-BC26-311745AC8BA6}"/>
    <cellStyle name="Normal 2 4 5 9 3" xfId="11869" xr:uid="{552E3609-38C8-4373-81D5-F6DE8D85E41E}"/>
    <cellStyle name="Normal 2 4 6" xfId="311" xr:uid="{00000000-0005-0000-0000-0000D4100000}"/>
    <cellStyle name="Normal 2 4 7" xfId="312" xr:uid="{00000000-0005-0000-0000-0000D5100000}"/>
    <cellStyle name="Normal 2 4 7 10" xfId="9811" xr:uid="{03BB6EEF-CE39-4BBC-9E2A-94E47AF75289}"/>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11727FA8-8830-4BA0-A666-2EE2E0823DBA}"/>
    <cellStyle name="Normal 2 4 7 2 2 2 3" xfId="12371" xr:uid="{6FA3E435-9C5B-4167-8098-99C6F929F58F}"/>
    <cellStyle name="Normal 2 4 7 2 2 3" xfId="5117" xr:uid="{00000000-0005-0000-0000-0000DA100000}"/>
    <cellStyle name="Normal 2 4 7 2 2 3 2" xfId="14443" xr:uid="{CBDF68B2-EED3-4066-8244-3B41A9CE57F0}"/>
    <cellStyle name="Normal 2 4 7 2 2 4" xfId="9483" xr:uid="{3D7EFF6F-050D-4214-91CB-DF2673F23584}"/>
    <cellStyle name="Normal 2 4 7 2 2 5" xfId="10226" xr:uid="{1E2DB2F2-FE86-4CA8-A9BA-CAC3A439267B}"/>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03A3E941-6C4D-4BC1-A847-812395149082}"/>
    <cellStyle name="Normal 2 4 7 2 3 2 3" xfId="12784" xr:uid="{D5F03DBF-55A1-4CF5-B2D6-AFD7F052A0AC}"/>
    <cellStyle name="Normal 2 4 7 2 3 3" xfId="5530" xr:uid="{00000000-0005-0000-0000-0000DE100000}"/>
    <cellStyle name="Normal 2 4 7 2 3 3 2" xfId="14856" xr:uid="{EE472224-233F-464C-BA25-BEF0506BAD47}"/>
    <cellStyle name="Normal 2 4 7 2 3 4" xfId="10639" xr:uid="{E0CC1D86-C84C-4806-BB5B-185FA714EA22}"/>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2B8F6412-FDC4-4BCB-B2F0-D7F9CA581695}"/>
    <cellStyle name="Normal 2 4 7 2 4 2 3" xfId="13197" xr:uid="{E8849A90-D6AF-4B1F-82C1-48C1738C2B5D}"/>
    <cellStyle name="Normal 2 4 7 2 4 3" xfId="5943" xr:uid="{00000000-0005-0000-0000-0000E2100000}"/>
    <cellStyle name="Normal 2 4 7 2 4 3 2" xfId="15269" xr:uid="{2E174AAB-201D-4600-A16F-7211F50F4B7F}"/>
    <cellStyle name="Normal 2 4 7 2 4 4" xfId="11052" xr:uid="{98E28667-9597-471D-8E88-5D27B689F9E9}"/>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9A4EB315-031E-4ACC-B55E-A7FA017A1A4A}"/>
    <cellStyle name="Normal 2 4 7 2 5 2 3" xfId="13610" xr:uid="{D17C458C-01D3-4555-9FF3-6A89D46FC0EC}"/>
    <cellStyle name="Normal 2 4 7 2 5 3" xfId="6356" xr:uid="{00000000-0005-0000-0000-0000E6100000}"/>
    <cellStyle name="Normal 2 4 7 2 5 3 2" xfId="15682" xr:uid="{F4010ED9-FEAD-4E85-A346-F96F3FCC1DB1}"/>
    <cellStyle name="Normal 2 4 7 2 5 4" xfId="11465" xr:uid="{9C0CBFBB-E1C6-49F9-A9ED-0FC350042F76}"/>
    <cellStyle name="Normal 2 4 7 2 6" xfId="2486" xr:uid="{00000000-0005-0000-0000-0000E7100000}"/>
    <cellStyle name="Normal 2 4 7 2 6 2" xfId="6769" xr:uid="{00000000-0005-0000-0000-0000E8100000}"/>
    <cellStyle name="Normal 2 4 7 2 6 2 2" xfId="16095" xr:uid="{C5ABFABE-5896-4149-9F06-A162ACA235FB}"/>
    <cellStyle name="Normal 2 4 7 2 6 3" xfId="11878" xr:uid="{28418454-61B7-4D77-93B7-4709D3EE27AE}"/>
    <cellStyle name="Normal 2 4 7 2 7" xfId="4703" xr:uid="{00000000-0005-0000-0000-0000E9100000}"/>
    <cellStyle name="Normal 2 4 7 2 7 2" xfId="14029" xr:uid="{E904CF03-B970-4C55-B9EF-6604EBF143F4}"/>
    <cellStyle name="Normal 2 4 7 2 8" xfId="9058" xr:uid="{FCEC438E-EF6A-4A00-BFE3-0DA309169A82}"/>
    <cellStyle name="Normal 2 4 7 2 9" xfId="9812" xr:uid="{41652ED7-EC13-4EFA-8B6E-1C5438C88439}"/>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70F2860C-1BE9-47F1-B716-49AE81032868}"/>
    <cellStyle name="Normal 2 4 7 3 2 3" xfId="12370" xr:uid="{EABD1E65-1B6C-40ED-85EA-7E27694EC603}"/>
    <cellStyle name="Normal 2 4 7 3 3" xfId="5116" xr:uid="{00000000-0005-0000-0000-0000ED100000}"/>
    <cellStyle name="Normal 2 4 7 3 3 2" xfId="14442" xr:uid="{1A3EF180-E439-41CC-818C-2CA33E00DD58}"/>
    <cellStyle name="Normal 2 4 7 3 4" xfId="9276" xr:uid="{90A81E61-1719-41E4-8673-7681E805C2E0}"/>
    <cellStyle name="Normal 2 4 7 3 5" xfId="10225" xr:uid="{887C2B3F-54DB-4706-A02A-E8A4E883327A}"/>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23403787-CE52-434A-A65B-C83BC8F9599F}"/>
    <cellStyle name="Normal 2 4 7 4 2 3" xfId="12783" xr:uid="{4CB17CFF-6068-4093-AB53-3C6F0ABFDAEF}"/>
    <cellStyle name="Normal 2 4 7 4 3" xfId="5529" xr:uid="{00000000-0005-0000-0000-0000F1100000}"/>
    <cellStyle name="Normal 2 4 7 4 3 2" xfId="14855" xr:uid="{E8DE42FC-F6B7-40A2-96EC-B0BE31805F5D}"/>
    <cellStyle name="Normal 2 4 7 4 4" xfId="10638" xr:uid="{322CCCD6-5F38-4E94-8A27-8D5B4AD315FB}"/>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A2BDC26F-57AA-4165-915C-CAB07594F80E}"/>
    <cellStyle name="Normal 2 4 7 5 2 3" xfId="13196" xr:uid="{EC61611E-7CAF-48BF-97F3-89C0FE35BC06}"/>
    <cellStyle name="Normal 2 4 7 5 3" xfId="5942" xr:uid="{00000000-0005-0000-0000-0000F5100000}"/>
    <cellStyle name="Normal 2 4 7 5 3 2" xfId="15268" xr:uid="{C2A67CDB-474C-444A-8EAD-8909182275EF}"/>
    <cellStyle name="Normal 2 4 7 5 4" xfId="11051" xr:uid="{7EED324F-C421-4A16-8D24-6FF18B8F8DCA}"/>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0A3C3B66-3167-4EA1-B5C6-D7EC9BF6A5A0}"/>
    <cellStyle name="Normal 2 4 7 6 2 3" xfId="13609" xr:uid="{9C22242D-2354-4519-8428-CE34C3AE3F4A}"/>
    <cellStyle name="Normal 2 4 7 6 3" xfId="6355" xr:uid="{00000000-0005-0000-0000-0000F9100000}"/>
    <cellStyle name="Normal 2 4 7 6 3 2" xfId="15681" xr:uid="{5D8323F7-874A-4F35-99DA-332128DAB63E}"/>
    <cellStyle name="Normal 2 4 7 6 4" xfId="11464" xr:uid="{FC0D215D-E611-4B40-B6FE-991997F085DB}"/>
    <cellStyle name="Normal 2 4 7 7" xfId="2485" xr:uid="{00000000-0005-0000-0000-0000FA100000}"/>
    <cellStyle name="Normal 2 4 7 7 2" xfId="6768" xr:uid="{00000000-0005-0000-0000-0000FB100000}"/>
    <cellStyle name="Normal 2 4 7 7 2 2" xfId="16094" xr:uid="{FE292240-8EBD-4394-88AC-9D86CEC8C09E}"/>
    <cellStyle name="Normal 2 4 7 7 3" xfId="11877" xr:uid="{15E21EF2-A4D9-4133-9EE8-C4D2266CE6B1}"/>
    <cellStyle name="Normal 2 4 7 8" xfId="4702" xr:uid="{00000000-0005-0000-0000-0000FC100000}"/>
    <cellStyle name="Normal 2 4 7 8 2" xfId="14028" xr:uid="{88BFCF22-4763-47A8-BE54-253C07BBFBC8}"/>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D982767C-F328-40C9-83CA-09BA06719D7A}"/>
    <cellStyle name="Normal 2 4 8 2 2 3" xfId="12372" xr:uid="{F24F1BB7-64BF-419D-ADEB-DD65546E3533}"/>
    <cellStyle name="Normal 2 4 8 2 3" xfId="5118" xr:uid="{00000000-0005-0000-0000-000001110000}"/>
    <cellStyle name="Normal 2 4 8 2 3 2" xfId="14444" xr:uid="{E5AE6355-288F-48EF-8481-434776E82422}"/>
    <cellStyle name="Normal 2 4 8 2 4" xfId="9392" xr:uid="{812B973E-E5C9-43CD-85B0-C8CA30BD9BF3}"/>
    <cellStyle name="Normal 2 4 8 2 5" xfId="10227" xr:uid="{907D8EB5-92BC-4B13-A8C0-ADEAEE9CBCA3}"/>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735CBF19-6FA8-495E-BBD1-ADF3116C43FD}"/>
    <cellStyle name="Normal 2 4 8 3 2 3" xfId="12785" xr:uid="{79E5BB4B-38E2-43C3-95AD-991133DD0E08}"/>
    <cellStyle name="Normal 2 4 8 3 3" xfId="5531" xr:uid="{00000000-0005-0000-0000-000005110000}"/>
    <cellStyle name="Normal 2 4 8 3 3 2" xfId="14857" xr:uid="{DA23AD6D-FE50-42CA-905F-8610F6C3DBD4}"/>
    <cellStyle name="Normal 2 4 8 3 4" xfId="10640" xr:uid="{5F350132-DB14-4DD0-94F0-EA5B4E0C79FB}"/>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5403B067-089B-4D7A-AD6F-944B24F539B4}"/>
    <cellStyle name="Normal 2 4 8 4 2 3" xfId="13198" xr:uid="{829412BA-08F4-4581-994F-EA7FC8EF3BD2}"/>
    <cellStyle name="Normal 2 4 8 4 3" xfId="5944" xr:uid="{00000000-0005-0000-0000-000009110000}"/>
    <cellStyle name="Normal 2 4 8 4 3 2" xfId="15270" xr:uid="{FFDF83B4-23E9-40AF-A59B-ACEE0C4D305E}"/>
    <cellStyle name="Normal 2 4 8 4 4" xfId="11053" xr:uid="{470220F1-06A3-44B8-97D5-92E609CCE6A7}"/>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D364978F-C12B-4476-927C-E779A5017D58}"/>
    <cellStyle name="Normal 2 4 8 5 2 3" xfId="13611" xr:uid="{F4186C31-9144-4B03-B03B-B84F9778E43A}"/>
    <cellStyle name="Normal 2 4 8 5 3" xfId="6357" xr:uid="{00000000-0005-0000-0000-00000D110000}"/>
    <cellStyle name="Normal 2 4 8 5 3 2" xfId="15683" xr:uid="{8FEB1626-263C-42D3-A132-2A005791BEEF}"/>
    <cellStyle name="Normal 2 4 8 5 4" xfId="11466" xr:uid="{D6D37E60-B7C4-462D-95D7-F5EE4E0F91BB}"/>
    <cellStyle name="Normal 2 4 8 6" xfId="2487" xr:uid="{00000000-0005-0000-0000-00000E110000}"/>
    <cellStyle name="Normal 2 4 8 6 2" xfId="6770" xr:uid="{00000000-0005-0000-0000-00000F110000}"/>
    <cellStyle name="Normal 2 4 8 6 2 2" xfId="16096" xr:uid="{10F3C714-E10A-42DC-9B48-E413E62CE721}"/>
    <cellStyle name="Normal 2 4 8 6 3" xfId="11879" xr:uid="{3C741A87-9DDE-4CB8-A418-743CEA03B618}"/>
    <cellStyle name="Normal 2 4 8 7" xfId="4704" xr:uid="{00000000-0005-0000-0000-000010110000}"/>
    <cellStyle name="Normal 2 4 8 7 2" xfId="14030" xr:uid="{C4199D77-2B6F-497E-B50A-66B49F1A2314}"/>
    <cellStyle name="Normal 2 4 8 8" xfId="8967" xr:uid="{32AC97CD-D3FD-4AE1-A8B2-07BEA9D5DE52}"/>
    <cellStyle name="Normal 2 4 8 9" xfId="9813" xr:uid="{791926C8-E584-4FC5-815B-A1DDA09ABBFA}"/>
    <cellStyle name="Normal 2 4 9" xfId="9170" xr:uid="{5569C060-E090-4551-A44D-517EC3FD1834}"/>
    <cellStyle name="Normal 2 5" xfId="315" xr:uid="{00000000-0005-0000-0000-000011110000}"/>
    <cellStyle name="Normal 2 5 10" xfId="4705" xr:uid="{00000000-0005-0000-0000-000012110000}"/>
    <cellStyle name="Normal 2 5 10 2" xfId="14031" xr:uid="{1C4E30D6-B238-4E3D-BF10-A86621D18CD3}"/>
    <cellStyle name="Normal 2 5 11" xfId="9814" xr:uid="{816E541A-2987-4D42-9111-0354B4B65143}"/>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0DC4CBC4-6B04-495A-B9B1-13F3B04EE1DE}"/>
    <cellStyle name="Normal 2 5 4 2" xfId="319" xr:uid="{00000000-0005-0000-0000-000016110000}"/>
    <cellStyle name="Normal 2 5 4 2 10" xfId="9816" xr:uid="{C7CC4694-800A-486C-9EDE-14017EA52E7C}"/>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EFD19F1D-4B16-4D89-8B98-BC5CB21D98F1}"/>
    <cellStyle name="Normal 2 5 4 2 2 2 2 3" xfId="12376" xr:uid="{4B5A1D60-604F-47B4-8E3F-7D2981919DD4}"/>
    <cellStyle name="Normal 2 5 4 2 2 2 3" xfId="5122" xr:uid="{00000000-0005-0000-0000-00001B110000}"/>
    <cellStyle name="Normal 2 5 4 2 2 2 3 2" xfId="14448" xr:uid="{361A6B6A-0FEE-4BB7-936B-FBA35580A0B3}"/>
    <cellStyle name="Normal 2 5 4 2 2 2 4" xfId="9551" xr:uid="{392D7741-6781-4EA5-9C28-040053C1B05B}"/>
    <cellStyle name="Normal 2 5 4 2 2 2 5" xfId="10231" xr:uid="{FD1F1125-46EE-45E1-A66B-182E6AF87B1C}"/>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2749039E-4517-4381-B1DD-DDA8D213CBC6}"/>
    <cellStyle name="Normal 2 5 4 2 2 3 2 3" xfId="12789" xr:uid="{41CED8EB-BA5E-466C-9269-A28F6EA05FD6}"/>
    <cellStyle name="Normal 2 5 4 2 2 3 3" xfId="5535" xr:uid="{00000000-0005-0000-0000-00001F110000}"/>
    <cellStyle name="Normal 2 5 4 2 2 3 3 2" xfId="14861" xr:uid="{B83BF554-6979-4410-A589-2C6BE8134F63}"/>
    <cellStyle name="Normal 2 5 4 2 2 3 4" xfId="10644" xr:uid="{4B084248-1CA6-4E4D-9DBE-7FF1262F9625}"/>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C0247832-1CAB-449C-9461-DB1848BC0ECF}"/>
    <cellStyle name="Normal 2 5 4 2 2 4 2 3" xfId="13202" xr:uid="{2E4E2D08-FEF9-4880-A0DB-EC2BBDF32484}"/>
    <cellStyle name="Normal 2 5 4 2 2 4 3" xfId="5948" xr:uid="{00000000-0005-0000-0000-000023110000}"/>
    <cellStyle name="Normal 2 5 4 2 2 4 3 2" xfId="15274" xr:uid="{BA2ABB2D-1907-4350-A0D3-3AA4B1F16BB6}"/>
    <cellStyle name="Normal 2 5 4 2 2 4 4" xfId="11057" xr:uid="{7645958B-CC58-45F5-8A96-80D4BD077E43}"/>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7D984590-394A-41D5-8CF1-4984024C69DB}"/>
    <cellStyle name="Normal 2 5 4 2 2 5 2 3" xfId="13615" xr:uid="{33BCB7DF-B443-4956-B38D-C17F536BC065}"/>
    <cellStyle name="Normal 2 5 4 2 2 5 3" xfId="6361" xr:uid="{00000000-0005-0000-0000-000027110000}"/>
    <cellStyle name="Normal 2 5 4 2 2 5 3 2" xfId="15687" xr:uid="{7D38CF9A-D001-4D22-A250-D227CC62C7B7}"/>
    <cellStyle name="Normal 2 5 4 2 2 5 4" xfId="11470" xr:uid="{EE5432EF-81EE-477C-A0C1-E07714DD18E7}"/>
    <cellStyle name="Normal 2 5 4 2 2 6" xfId="2491" xr:uid="{00000000-0005-0000-0000-000028110000}"/>
    <cellStyle name="Normal 2 5 4 2 2 6 2" xfId="6774" xr:uid="{00000000-0005-0000-0000-000029110000}"/>
    <cellStyle name="Normal 2 5 4 2 2 6 2 2" xfId="16100" xr:uid="{FC6681D6-F121-4C5E-8B34-CCD6F0BEE307}"/>
    <cellStyle name="Normal 2 5 4 2 2 6 3" xfId="11883" xr:uid="{0C9B34C1-1F25-44EA-B118-51693BB9EE07}"/>
    <cellStyle name="Normal 2 5 4 2 2 7" xfId="4708" xr:uid="{00000000-0005-0000-0000-00002A110000}"/>
    <cellStyle name="Normal 2 5 4 2 2 7 2" xfId="14034" xr:uid="{D8052461-1B29-4A19-9CA9-8ECAC275D776}"/>
    <cellStyle name="Normal 2 5 4 2 2 8" xfId="9126" xr:uid="{C2CF4AFD-4082-4555-941B-6E9759C32D63}"/>
    <cellStyle name="Normal 2 5 4 2 2 9" xfId="9817" xr:uid="{30600FDB-9EFA-48BC-B952-50DDD006A94D}"/>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14C7BE20-D196-40EE-95A0-20A4ADE03402}"/>
    <cellStyle name="Normal 2 5 4 2 3 2 3" xfId="12375" xr:uid="{15A53F9F-67EB-4CEC-8DFB-F81BCB39D41E}"/>
    <cellStyle name="Normal 2 5 4 2 3 3" xfId="5121" xr:uid="{00000000-0005-0000-0000-00002E110000}"/>
    <cellStyle name="Normal 2 5 4 2 3 3 2" xfId="14447" xr:uid="{4B11560F-6395-4F63-9660-7F2215BD19B6}"/>
    <cellStyle name="Normal 2 5 4 2 3 4" xfId="9344" xr:uid="{207B8A34-09D9-4349-A9C7-5A5A998C6B6F}"/>
    <cellStyle name="Normal 2 5 4 2 3 5" xfId="10230" xr:uid="{1B32D565-8476-4B75-93CF-2E81B125C854}"/>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D37E043F-150E-47F2-B585-EB1F433FF71C}"/>
    <cellStyle name="Normal 2 5 4 2 4 2 3" xfId="12788" xr:uid="{B447F801-184E-4103-B787-4DF2B922C5E9}"/>
    <cellStyle name="Normal 2 5 4 2 4 3" xfId="5534" xr:uid="{00000000-0005-0000-0000-000032110000}"/>
    <cellStyle name="Normal 2 5 4 2 4 3 2" xfId="14860" xr:uid="{AE19213E-5B16-4467-AA14-95B2FB22298A}"/>
    <cellStyle name="Normal 2 5 4 2 4 4" xfId="10643" xr:uid="{D5C1BC30-103A-4B61-A1D3-CD7B83DB1597}"/>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5016099A-7949-4240-9E63-6B42B3798ED3}"/>
    <cellStyle name="Normal 2 5 4 2 5 2 3" xfId="13201" xr:uid="{48080E3A-CEDC-4859-B1BB-5EDA5F186C13}"/>
    <cellStyle name="Normal 2 5 4 2 5 3" xfId="5947" xr:uid="{00000000-0005-0000-0000-000036110000}"/>
    <cellStyle name="Normal 2 5 4 2 5 3 2" xfId="15273" xr:uid="{610DD8B3-5A97-4DB8-BDCE-B975F4FD5527}"/>
    <cellStyle name="Normal 2 5 4 2 5 4" xfId="11056" xr:uid="{78E594C6-2C6A-44C4-BED5-A875055085A2}"/>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5C7E7204-596F-4CF5-92C6-E301B3899711}"/>
    <cellStyle name="Normal 2 5 4 2 6 2 3" xfId="13614" xr:uid="{B1B3143A-A567-4A1D-B7BF-A2E2148D1638}"/>
    <cellStyle name="Normal 2 5 4 2 6 3" xfId="6360" xr:uid="{00000000-0005-0000-0000-00003A110000}"/>
    <cellStyle name="Normal 2 5 4 2 6 3 2" xfId="15686" xr:uid="{6E7752FE-AB36-456C-B491-F5AFABCCF3C1}"/>
    <cellStyle name="Normal 2 5 4 2 6 4" xfId="11469" xr:uid="{927A3C17-A787-407E-8F75-FC463413344F}"/>
    <cellStyle name="Normal 2 5 4 2 7" xfId="2490" xr:uid="{00000000-0005-0000-0000-00003B110000}"/>
    <cellStyle name="Normal 2 5 4 2 7 2" xfId="6773" xr:uid="{00000000-0005-0000-0000-00003C110000}"/>
    <cellStyle name="Normal 2 5 4 2 7 2 2" xfId="16099" xr:uid="{86AA93A7-F9EA-49C4-8898-2BA6DC1ACB70}"/>
    <cellStyle name="Normal 2 5 4 2 7 3" xfId="11882" xr:uid="{6724CD4D-7F0C-4CC1-BBB5-4BDE1E814551}"/>
    <cellStyle name="Normal 2 5 4 2 8" xfId="4707" xr:uid="{00000000-0005-0000-0000-00003D110000}"/>
    <cellStyle name="Normal 2 5 4 2 8 2" xfId="14033" xr:uid="{0FFC85FF-EE65-4316-9E33-E057B086206C}"/>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BA54C8CC-02F7-41A2-993F-1EA77653D1B4}"/>
    <cellStyle name="Normal 2 5 4 3 2 2 3" xfId="12377" xr:uid="{2D04E446-7560-4941-8289-2EF698E0F71A}"/>
    <cellStyle name="Normal 2 5 4 3 2 3" xfId="5123" xr:uid="{00000000-0005-0000-0000-000042110000}"/>
    <cellStyle name="Normal 2 5 4 3 2 3 2" xfId="14449" xr:uid="{2E8C57ED-61CF-4052-B4BC-F6388F5CACD3}"/>
    <cellStyle name="Normal 2 5 4 3 2 4" xfId="9448" xr:uid="{0C1738F2-697E-4430-8A3F-E67747B3EDB0}"/>
    <cellStyle name="Normal 2 5 4 3 2 5" xfId="10232" xr:uid="{C487C0D7-4064-4A42-8FEA-BF60AC9A8F45}"/>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551CC16E-60F4-4F43-B621-FDBEA76A0F55}"/>
    <cellStyle name="Normal 2 5 4 3 3 2 3" xfId="12790" xr:uid="{9A1B8963-2625-447A-BF67-30268B5A9DAB}"/>
    <cellStyle name="Normal 2 5 4 3 3 3" xfId="5536" xr:uid="{00000000-0005-0000-0000-000046110000}"/>
    <cellStyle name="Normal 2 5 4 3 3 3 2" xfId="14862" xr:uid="{2E4A9A7C-2EC2-4F64-8797-145AE1C1B053}"/>
    <cellStyle name="Normal 2 5 4 3 3 4" xfId="10645" xr:uid="{B6559EE7-9541-4D5A-9233-32EBF449C4B2}"/>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AC68C0A2-2B34-4B3D-8B3C-45A787D53C8C}"/>
    <cellStyle name="Normal 2 5 4 3 4 2 3" xfId="13203" xr:uid="{4DA67347-C587-4C1D-8D76-DB238F3A1CAF}"/>
    <cellStyle name="Normal 2 5 4 3 4 3" xfId="5949" xr:uid="{00000000-0005-0000-0000-00004A110000}"/>
    <cellStyle name="Normal 2 5 4 3 4 3 2" xfId="15275" xr:uid="{1A72F04D-6EC1-462A-9BFC-928BC7084DCE}"/>
    <cellStyle name="Normal 2 5 4 3 4 4" xfId="11058" xr:uid="{1C1F8EC2-E1E4-4610-84C2-2CB51256F673}"/>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B5B62D80-96F9-42F8-834E-9E301887C3AB}"/>
    <cellStyle name="Normal 2 5 4 3 5 2 3" xfId="13616" xr:uid="{55759789-2456-4E92-9498-0491B73C4A8C}"/>
    <cellStyle name="Normal 2 5 4 3 5 3" xfId="6362" xr:uid="{00000000-0005-0000-0000-00004E110000}"/>
    <cellStyle name="Normal 2 5 4 3 5 3 2" xfId="15688" xr:uid="{690E9755-266C-49CB-898B-70DEE56F31D8}"/>
    <cellStyle name="Normal 2 5 4 3 5 4" xfId="11471" xr:uid="{EE614847-222E-4A4E-AEB8-F3663ADBE2B7}"/>
    <cellStyle name="Normal 2 5 4 3 6" xfId="2492" xr:uid="{00000000-0005-0000-0000-00004F110000}"/>
    <cellStyle name="Normal 2 5 4 3 6 2" xfId="6775" xr:uid="{00000000-0005-0000-0000-000050110000}"/>
    <cellStyle name="Normal 2 5 4 3 6 2 2" xfId="16101" xr:uid="{01888E1A-6865-44BB-AA10-33166CDB7A77}"/>
    <cellStyle name="Normal 2 5 4 3 6 3" xfId="11884" xr:uid="{B2F19A19-509B-449E-921A-01AB33B68440}"/>
    <cellStyle name="Normal 2 5 4 3 7" xfId="4709" xr:uid="{00000000-0005-0000-0000-000051110000}"/>
    <cellStyle name="Normal 2 5 4 3 7 2" xfId="14035" xr:uid="{01EE4802-14D9-4D4E-B740-3A75CFACD39A}"/>
    <cellStyle name="Normal 2 5 4 3 8" xfId="9023" xr:uid="{9B869639-3DD4-4511-AD70-D5125D34938F}"/>
    <cellStyle name="Normal 2 5 4 3 9" xfId="9818" xr:uid="{99766EC6-8D7F-4AC4-9B58-62E607222C7A}"/>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FA2B9030-0CFD-49AD-9F43-51FDC0C89859}"/>
    <cellStyle name="Normal 2 5 4 4 2 3" xfId="12374" xr:uid="{065BCF59-89E8-4577-95AB-1077AFED5DB1}"/>
    <cellStyle name="Normal 2 5 4 4 3" xfId="5120" xr:uid="{00000000-0005-0000-0000-000055110000}"/>
    <cellStyle name="Normal 2 5 4 4 3 2" xfId="14446" xr:uid="{C3FBAAB5-DB30-45C6-A753-6636905BD5B8}"/>
    <cellStyle name="Normal 2 5 4 4 4" xfId="9241" xr:uid="{2BD2F05F-E4C9-46B4-B3C9-F0D081C1F38F}"/>
    <cellStyle name="Normal 2 5 4 4 5" xfId="10229" xr:uid="{4294F74E-94F4-4CA6-AFB0-3F28DC63ECBD}"/>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F2F5573D-26D7-4C8C-89B2-7A66CA8E9D8E}"/>
    <cellStyle name="Normal 2 5 4 5 2 3" xfId="12787" xr:uid="{52FA01D4-60A9-4C7E-B296-9095712813D0}"/>
    <cellStyle name="Normal 2 5 4 5 3" xfId="5533" xr:uid="{00000000-0005-0000-0000-000059110000}"/>
    <cellStyle name="Normal 2 5 4 5 3 2" xfId="14859" xr:uid="{E77F5041-3C29-487A-A761-39C7E582A981}"/>
    <cellStyle name="Normal 2 5 4 5 4" xfId="10642" xr:uid="{17926EE3-0C4F-4FBF-B5A2-ECF4F26F38C9}"/>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D0E12A22-1375-4B48-8382-4E913E92B86B}"/>
    <cellStyle name="Normal 2 5 4 6 2 3" xfId="13200" xr:uid="{29DDBC70-71A5-4D6A-95FF-8C4739B75B77}"/>
    <cellStyle name="Normal 2 5 4 6 3" xfId="5946" xr:uid="{00000000-0005-0000-0000-00005D110000}"/>
    <cellStyle name="Normal 2 5 4 6 3 2" xfId="15272" xr:uid="{C014C026-E27B-4632-92A2-BE8CAB50BB87}"/>
    <cellStyle name="Normal 2 5 4 6 4" xfId="11055" xr:uid="{6C3EFBD0-46EA-4167-A055-A5A55037C298}"/>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D0EA3CA6-BF16-46E8-9ED1-C2DC79FB2071}"/>
    <cellStyle name="Normal 2 5 4 7 2 3" xfId="13613" xr:uid="{86571828-0EFC-4D8B-BC33-B5086F7A7D64}"/>
    <cellStyle name="Normal 2 5 4 7 3" xfId="6359" xr:uid="{00000000-0005-0000-0000-000061110000}"/>
    <cellStyle name="Normal 2 5 4 7 3 2" xfId="15685" xr:uid="{75B710A9-E1B8-45C5-BA8A-07D9F5F10E6E}"/>
    <cellStyle name="Normal 2 5 4 7 4" xfId="11468" xr:uid="{9846AAC1-0F6E-447F-9D0D-7D84ADBE9A42}"/>
    <cellStyle name="Normal 2 5 4 8" xfId="2489" xr:uid="{00000000-0005-0000-0000-000062110000}"/>
    <cellStyle name="Normal 2 5 4 8 2" xfId="6772" xr:uid="{00000000-0005-0000-0000-000063110000}"/>
    <cellStyle name="Normal 2 5 4 8 2 2" xfId="16098" xr:uid="{0D15E3F1-07FE-4FB6-82CF-53E0E0DD0FA4}"/>
    <cellStyle name="Normal 2 5 4 8 3" xfId="11881" xr:uid="{D51B1FAF-FAE2-4943-A936-78B36012A237}"/>
    <cellStyle name="Normal 2 5 4 9" xfId="4706" xr:uid="{00000000-0005-0000-0000-000064110000}"/>
    <cellStyle name="Normal 2 5 4 9 2" xfId="14032" xr:uid="{43072090-E55A-4FE4-B6ED-B815E4324ADE}"/>
    <cellStyle name="Normal 2 5 5" xfId="803" xr:uid="{00000000-0005-0000-0000-000065110000}"/>
    <cellStyle name="Normal 2 5 5 2" xfId="3042" xr:uid="{00000000-0005-0000-0000-000066110000}"/>
    <cellStyle name="Normal 2 5 5 2 2" xfId="7264" xr:uid="{00000000-0005-0000-0000-000067110000}"/>
    <cellStyle name="Normal 2 5 5 2 2 2" xfId="16590" xr:uid="{B8FC011C-5B36-44A4-A455-3CEA6C8CB873}"/>
    <cellStyle name="Normal 2 5 5 2 3" xfId="12373" xr:uid="{95F7C0B9-506C-4BFF-ADF6-99E7C45D1B32}"/>
    <cellStyle name="Normal 2 5 5 3" xfId="5119" xr:uid="{00000000-0005-0000-0000-000068110000}"/>
    <cellStyle name="Normal 2 5 5 3 2" xfId="14445" xr:uid="{8465CCFC-BEF7-47EF-A8E8-5372472B0E6D}"/>
    <cellStyle name="Normal 2 5 5 4" xfId="9606" xr:uid="{3AE4D77A-44EE-40C2-9F71-05FBDE2746B2}"/>
    <cellStyle name="Normal 2 5 5 5" xfId="10228" xr:uid="{84A2A3A5-E581-4030-AA8B-BF1C0FDCC110}"/>
    <cellStyle name="Normal 2 5 6" xfId="1225" xr:uid="{00000000-0005-0000-0000-000069110000}"/>
    <cellStyle name="Normal 2 5 6 2" xfId="3455" xr:uid="{00000000-0005-0000-0000-00006A110000}"/>
    <cellStyle name="Normal 2 5 6 2 2" xfId="7677" xr:uid="{00000000-0005-0000-0000-00006B110000}"/>
    <cellStyle name="Normal 2 5 6 2 2 2" xfId="17003" xr:uid="{3A795207-4251-4E52-9CD8-D9F2A2DC6AE0}"/>
    <cellStyle name="Normal 2 5 6 2 3" xfId="12786" xr:uid="{84A5EA48-7726-4DD8-AB66-44469BE59477}"/>
    <cellStyle name="Normal 2 5 6 3" xfId="5532" xr:uid="{00000000-0005-0000-0000-00006C110000}"/>
    <cellStyle name="Normal 2 5 6 3 2" xfId="14858" xr:uid="{3EF9FE85-569C-49A3-853D-137EDFE967D0}"/>
    <cellStyle name="Normal 2 5 6 4" xfId="10641" xr:uid="{30895AC7-FB7A-4204-A1B3-090FF87C2AF8}"/>
    <cellStyle name="Normal 2 5 7" xfId="1638" xr:uid="{00000000-0005-0000-0000-00006D110000}"/>
    <cellStyle name="Normal 2 5 7 2" xfId="3868" xr:uid="{00000000-0005-0000-0000-00006E110000}"/>
    <cellStyle name="Normal 2 5 7 2 2" xfId="8090" xr:uid="{00000000-0005-0000-0000-00006F110000}"/>
    <cellStyle name="Normal 2 5 7 2 2 2" xfId="17416" xr:uid="{C75A211A-B185-4982-BADC-FA3A738F710D}"/>
    <cellStyle name="Normal 2 5 7 2 3" xfId="13199" xr:uid="{5A79DE17-63B6-4E2C-9685-E035A6AFA37E}"/>
    <cellStyle name="Normal 2 5 7 3" xfId="5945" xr:uid="{00000000-0005-0000-0000-000070110000}"/>
    <cellStyle name="Normal 2 5 7 3 2" xfId="15271" xr:uid="{F4CF8E54-77C3-4242-9ABA-784C53668EE4}"/>
    <cellStyle name="Normal 2 5 7 4" xfId="11054" xr:uid="{DBC762AE-997B-4992-8471-D44B966FD512}"/>
    <cellStyle name="Normal 2 5 8" xfId="2052" xr:uid="{00000000-0005-0000-0000-000071110000}"/>
    <cellStyle name="Normal 2 5 8 2" xfId="4281" xr:uid="{00000000-0005-0000-0000-000072110000}"/>
    <cellStyle name="Normal 2 5 8 2 2" xfId="8503" xr:uid="{00000000-0005-0000-0000-000073110000}"/>
    <cellStyle name="Normal 2 5 8 2 2 2" xfId="17829" xr:uid="{C22B7C63-74AB-4A65-BC2B-BF8FE7627EE7}"/>
    <cellStyle name="Normal 2 5 8 2 3" xfId="13612" xr:uid="{811384D2-C77C-449C-AADA-21D361A0829E}"/>
    <cellStyle name="Normal 2 5 8 3" xfId="6358" xr:uid="{00000000-0005-0000-0000-000074110000}"/>
    <cellStyle name="Normal 2 5 8 3 2" xfId="15684" xr:uid="{BE73391D-0E13-4B8E-8D97-A1E4813138AE}"/>
    <cellStyle name="Normal 2 5 8 4" xfId="11467" xr:uid="{A7B1854A-2D0B-46AD-9035-EA2A964835DB}"/>
    <cellStyle name="Normal 2 5 9" xfId="2488" xr:uid="{00000000-0005-0000-0000-000075110000}"/>
    <cellStyle name="Normal 2 5 9 2" xfId="6771" xr:uid="{00000000-0005-0000-0000-000076110000}"/>
    <cellStyle name="Normal 2 5 9 2 2" xfId="16097" xr:uid="{B895D5CF-FF02-4539-A60B-A1BA47E968B9}"/>
    <cellStyle name="Normal 2 5 9 3" xfId="11880" xr:uid="{2B68B7EB-FC2C-49A8-A756-EE6B668825A9}"/>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2" xfId="18060" xr:uid="{1A5488B3-AA25-4E52-9F6C-B12B59943056}"/>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DB1F3EC1-37D4-41C5-B0C3-7D71B1B4F72A}"/>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29635706-712F-4BB7-A21C-F3BCF15769CA}"/>
    <cellStyle name="Normal 3 2 3 2" xfId="327" xr:uid="{00000000-0005-0000-0000-00007F110000}"/>
    <cellStyle name="Normal 3 2 3 2 10" xfId="9821" xr:uid="{3C862004-B39B-4102-AE73-8411DBE254CA}"/>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F91EF9A8-7579-4851-8539-60A073CAD3FA}"/>
    <cellStyle name="Normal 3 2 3 2 2 2 2 3" xfId="12381" xr:uid="{3768EEA1-F95C-4554-B612-7B4B1CE957FA}"/>
    <cellStyle name="Normal 3 2 3 2 2 2 3" xfId="5127" xr:uid="{00000000-0005-0000-0000-000084110000}"/>
    <cellStyle name="Normal 3 2 3 2 2 2 3 2" xfId="14453" xr:uid="{8183A38B-97A4-4FFF-B0AA-51176D0EB8DD}"/>
    <cellStyle name="Normal 3 2 3 2 2 2 4" xfId="9552" xr:uid="{54198C1B-8B77-4C07-BFED-28C4D4E00A0C}"/>
    <cellStyle name="Normal 3 2 3 2 2 2 5" xfId="10236" xr:uid="{447D32AB-D623-45A8-A00C-8FF7852F7C3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8086468F-97D3-452B-A37B-B580905463AB}"/>
    <cellStyle name="Normal 3 2 3 2 2 3 2 3" xfId="12794" xr:uid="{0E49BE5E-C8A0-45B7-A925-B8FEFEE7E79A}"/>
    <cellStyle name="Normal 3 2 3 2 2 3 3" xfId="5540" xr:uid="{00000000-0005-0000-0000-000088110000}"/>
    <cellStyle name="Normal 3 2 3 2 2 3 3 2" xfId="14866" xr:uid="{E7CB7495-85F5-489B-8034-A5D8A8F7AAEE}"/>
    <cellStyle name="Normal 3 2 3 2 2 3 4" xfId="10649" xr:uid="{5F808CF5-7D72-4421-B8C5-6B09BD7548FC}"/>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89CE4223-ABB9-4DE5-B390-FC5FB97AD468}"/>
    <cellStyle name="Normal 3 2 3 2 2 4 2 3" xfId="13207" xr:uid="{A2DA5C9B-41F6-413D-8567-06749DAF4BCA}"/>
    <cellStyle name="Normal 3 2 3 2 2 4 3" xfId="5953" xr:uid="{00000000-0005-0000-0000-00008C110000}"/>
    <cellStyle name="Normal 3 2 3 2 2 4 3 2" xfId="15279" xr:uid="{2D6F80C9-7166-4C34-9C65-7398649F1D0A}"/>
    <cellStyle name="Normal 3 2 3 2 2 4 4" xfId="11062" xr:uid="{EE659AAE-A554-4827-A5DE-C6B0062BE176}"/>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6A91785B-1833-4CE9-AADA-9B7E79DE8356}"/>
    <cellStyle name="Normal 3 2 3 2 2 5 2 3" xfId="13620" xr:uid="{3867DBB9-320C-4572-AB60-ECB27C261BFC}"/>
    <cellStyle name="Normal 3 2 3 2 2 5 3" xfId="6366" xr:uid="{00000000-0005-0000-0000-000090110000}"/>
    <cellStyle name="Normal 3 2 3 2 2 5 3 2" xfId="15692" xr:uid="{005E6DF0-F532-425B-BF8D-6EF72DD54BB2}"/>
    <cellStyle name="Normal 3 2 3 2 2 5 4" xfId="11475" xr:uid="{EE1C93C3-E111-4CAC-B4F8-08469F99BCBE}"/>
    <cellStyle name="Normal 3 2 3 2 2 6" xfId="2496" xr:uid="{00000000-0005-0000-0000-000091110000}"/>
    <cellStyle name="Normal 3 2 3 2 2 6 2" xfId="6779" xr:uid="{00000000-0005-0000-0000-000092110000}"/>
    <cellStyle name="Normal 3 2 3 2 2 6 2 2" xfId="16105" xr:uid="{B1EC34FE-39B5-4A77-B566-6048E4B5AF3B}"/>
    <cellStyle name="Normal 3 2 3 2 2 6 3" xfId="11888" xr:uid="{20623537-0565-4BEF-9D3B-9367156AD5A9}"/>
    <cellStyle name="Normal 3 2 3 2 2 7" xfId="4713" xr:uid="{00000000-0005-0000-0000-000093110000}"/>
    <cellStyle name="Normal 3 2 3 2 2 7 2" xfId="14039" xr:uid="{F6A20398-8B95-43FD-A130-03ADB37DF2B7}"/>
    <cellStyle name="Normal 3 2 3 2 2 8" xfId="9127" xr:uid="{0583B12A-AAD6-4358-9C0C-42D6EBC3DFD8}"/>
    <cellStyle name="Normal 3 2 3 2 2 9" xfId="9822" xr:uid="{BADEF5EE-ED63-4835-A207-EC7A0B7706A6}"/>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29065E5D-333D-4894-B6C9-1B572F66390D}"/>
    <cellStyle name="Normal 3 2 3 2 3 2 3" xfId="12380" xr:uid="{BBC06226-E11C-45E9-8656-37E57E63053A}"/>
    <cellStyle name="Normal 3 2 3 2 3 3" xfId="5126" xr:uid="{00000000-0005-0000-0000-000097110000}"/>
    <cellStyle name="Normal 3 2 3 2 3 3 2" xfId="14452" xr:uid="{EAA04E4F-0725-4BF6-B707-BFA7D2578A97}"/>
    <cellStyle name="Normal 3 2 3 2 3 4" xfId="9345" xr:uid="{C34A3811-3C7F-4E99-A17A-CCF74A426C86}"/>
    <cellStyle name="Normal 3 2 3 2 3 5" xfId="10235" xr:uid="{F87FFCEE-160A-4E71-AACB-8C87EBA9D44B}"/>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6B709E00-8B15-4D17-8726-2A14852838B1}"/>
    <cellStyle name="Normal 3 2 3 2 4 2 3" xfId="12793" xr:uid="{A19077EB-5CD7-4205-A233-D5E80CDA3996}"/>
    <cellStyle name="Normal 3 2 3 2 4 3" xfId="5539" xr:uid="{00000000-0005-0000-0000-00009B110000}"/>
    <cellStyle name="Normal 3 2 3 2 4 3 2" xfId="14865" xr:uid="{94A3F271-6492-46DF-A760-41F160F9DEC6}"/>
    <cellStyle name="Normal 3 2 3 2 4 4" xfId="10648" xr:uid="{18023450-FC14-4AA0-900F-326A4569A2EF}"/>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C74454C8-D2DF-4CBF-BBB3-647D9B6053B2}"/>
    <cellStyle name="Normal 3 2 3 2 5 2 3" xfId="13206" xr:uid="{CFAAD4A2-9639-482F-8EE7-8C42C547D0C2}"/>
    <cellStyle name="Normal 3 2 3 2 5 3" xfId="5952" xr:uid="{00000000-0005-0000-0000-00009F110000}"/>
    <cellStyle name="Normal 3 2 3 2 5 3 2" xfId="15278" xr:uid="{F2FE0895-B32F-4E22-8A37-5C97A131FA73}"/>
    <cellStyle name="Normal 3 2 3 2 5 4" xfId="11061" xr:uid="{FD1DB406-0D98-497C-A4CA-B04A42AB1D3F}"/>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979E08A9-D44F-4458-88AB-45293EA19C13}"/>
    <cellStyle name="Normal 3 2 3 2 6 2 3" xfId="13619" xr:uid="{F186BE6D-D5B1-4E4A-85E1-874063268BA3}"/>
    <cellStyle name="Normal 3 2 3 2 6 3" xfId="6365" xr:uid="{00000000-0005-0000-0000-0000A3110000}"/>
    <cellStyle name="Normal 3 2 3 2 6 3 2" xfId="15691" xr:uid="{4750DF7A-9E05-4616-B951-36AC1E6FC96F}"/>
    <cellStyle name="Normal 3 2 3 2 6 4" xfId="11474" xr:uid="{7D4F0167-49C7-4FA4-93EF-EB7AB9ACB80D}"/>
    <cellStyle name="Normal 3 2 3 2 7" xfId="2495" xr:uid="{00000000-0005-0000-0000-0000A4110000}"/>
    <cellStyle name="Normal 3 2 3 2 7 2" xfId="6778" xr:uid="{00000000-0005-0000-0000-0000A5110000}"/>
    <cellStyle name="Normal 3 2 3 2 7 2 2" xfId="16104" xr:uid="{E2A25D79-E163-402C-A054-5FD4E1D91605}"/>
    <cellStyle name="Normal 3 2 3 2 7 3" xfId="11887" xr:uid="{6960334D-1B4A-48C9-86CE-4337B2DC349C}"/>
    <cellStyle name="Normal 3 2 3 2 8" xfId="4712" xr:uid="{00000000-0005-0000-0000-0000A6110000}"/>
    <cellStyle name="Normal 3 2 3 2 8 2" xfId="14038" xr:uid="{AE62F185-21CD-4C01-93FE-748498B2471A}"/>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04ED8579-71F3-44E4-815C-C5AEB7057BE4}"/>
    <cellStyle name="Normal 3 2 3 3 2 2 3" xfId="12382" xr:uid="{8B15AE4D-EF08-441F-89D0-B0077CEB1BA8}"/>
    <cellStyle name="Normal 3 2 3 3 2 3" xfId="5128" xr:uid="{00000000-0005-0000-0000-0000AB110000}"/>
    <cellStyle name="Normal 3 2 3 3 2 3 2" xfId="14454" xr:uid="{3198ABB9-A944-4C4E-B2A6-EA17CD2EC40B}"/>
    <cellStyle name="Normal 3 2 3 3 2 4" xfId="9449" xr:uid="{7F58A2DC-DF16-44D1-8D09-04DD41EF4468}"/>
    <cellStyle name="Normal 3 2 3 3 2 5" xfId="10237" xr:uid="{3A603644-A1CE-4075-ACA1-22408BC12F7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DCF8532F-5929-48D3-87C5-A72B1DB2A9FF}"/>
    <cellStyle name="Normal 3 2 3 3 3 2 3" xfId="12795" xr:uid="{5332AE11-DA70-4C5F-B8F5-938EB65E1525}"/>
    <cellStyle name="Normal 3 2 3 3 3 3" xfId="5541" xr:uid="{00000000-0005-0000-0000-0000AF110000}"/>
    <cellStyle name="Normal 3 2 3 3 3 3 2" xfId="14867" xr:uid="{0DEE527C-24C9-433E-9E05-AC115EDE3EDD}"/>
    <cellStyle name="Normal 3 2 3 3 3 4" xfId="10650" xr:uid="{97E77098-2E2C-4E85-8E5A-47867582921F}"/>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1CD7D645-3DB5-42EE-BFFC-B7AAFB4EC428}"/>
    <cellStyle name="Normal 3 2 3 3 4 2 3" xfId="13208" xr:uid="{F30F1000-5A7C-43D9-B455-3DBC0F445D8B}"/>
    <cellStyle name="Normal 3 2 3 3 4 3" xfId="5954" xr:uid="{00000000-0005-0000-0000-0000B3110000}"/>
    <cellStyle name="Normal 3 2 3 3 4 3 2" xfId="15280" xr:uid="{A64CDED8-66B5-4626-A635-1B602670313F}"/>
    <cellStyle name="Normal 3 2 3 3 4 4" xfId="11063" xr:uid="{42AFBB7B-ADE3-4526-A187-2D2EF1D34D31}"/>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C745F165-1741-490B-80B6-0530238D8FCC}"/>
    <cellStyle name="Normal 3 2 3 3 5 2 3" xfId="13621" xr:uid="{3CEEFC28-E6AC-41C5-A64C-3803579117DE}"/>
    <cellStyle name="Normal 3 2 3 3 5 3" xfId="6367" xr:uid="{00000000-0005-0000-0000-0000B7110000}"/>
    <cellStyle name="Normal 3 2 3 3 5 3 2" xfId="15693" xr:uid="{95C28A7D-28A3-4875-980F-D0B2C6F6B9A1}"/>
    <cellStyle name="Normal 3 2 3 3 5 4" xfId="11476" xr:uid="{DECD2516-6ABE-4882-A85E-B5DF98C23671}"/>
    <cellStyle name="Normal 3 2 3 3 6" xfId="2497" xr:uid="{00000000-0005-0000-0000-0000B8110000}"/>
    <cellStyle name="Normal 3 2 3 3 6 2" xfId="6780" xr:uid="{00000000-0005-0000-0000-0000B9110000}"/>
    <cellStyle name="Normal 3 2 3 3 6 2 2" xfId="16106" xr:uid="{849EA82E-A002-4C9C-85C5-1EFAC68BE5F2}"/>
    <cellStyle name="Normal 3 2 3 3 6 3" xfId="11889" xr:uid="{2C1C7D67-A8E3-4587-9A28-1A5C07A8E93F}"/>
    <cellStyle name="Normal 3 2 3 3 7" xfId="4714" xr:uid="{00000000-0005-0000-0000-0000BA110000}"/>
    <cellStyle name="Normal 3 2 3 3 7 2" xfId="14040" xr:uid="{25273699-B255-4031-BD9D-5F901D5A2B01}"/>
    <cellStyle name="Normal 3 2 3 3 8" xfId="9024" xr:uid="{AE2F680F-18A3-47B5-ADCF-6BEAD71D50CE}"/>
    <cellStyle name="Normal 3 2 3 3 9" xfId="9823" xr:uid="{0C1BA7AD-9663-4073-BDFE-B846D2BE5DC1}"/>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1BCF8619-9E5A-4C63-BEE2-409F7B5C78CA}"/>
    <cellStyle name="Normal 3 2 3 4 2 3" xfId="12379" xr:uid="{2966C9C9-9DF5-41F5-ADD5-91EAC1E70E38}"/>
    <cellStyle name="Normal 3 2 3 4 3" xfId="5125" xr:uid="{00000000-0005-0000-0000-0000BE110000}"/>
    <cellStyle name="Normal 3 2 3 4 3 2" xfId="14451" xr:uid="{72A72B0C-AC59-4C7A-B26B-11CD3E974234}"/>
    <cellStyle name="Normal 3 2 3 4 4" xfId="9242" xr:uid="{05AEEDFF-7EEB-40DB-B13D-145C971A771B}"/>
    <cellStyle name="Normal 3 2 3 4 5" xfId="10234" xr:uid="{2E74A983-02E9-4C9D-B123-0379163D712A}"/>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07088648-3D61-4C0D-8706-1B0D5E21CB14}"/>
    <cellStyle name="Normal 3 2 3 5 2 3" xfId="12792" xr:uid="{6185A36E-23A2-40D9-BE91-A05FAB398695}"/>
    <cellStyle name="Normal 3 2 3 5 3" xfId="5538" xr:uid="{00000000-0005-0000-0000-0000C2110000}"/>
    <cellStyle name="Normal 3 2 3 5 3 2" xfId="14864" xr:uid="{C8F66B10-BDE4-447F-ACA2-90024F6A8609}"/>
    <cellStyle name="Normal 3 2 3 5 4" xfId="10647" xr:uid="{16EBF5E4-2695-44EA-82FB-A16F7F3B3BE4}"/>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073D1772-E240-48F3-A051-9BCBC6AD5118}"/>
    <cellStyle name="Normal 3 2 3 6 2 3" xfId="13205" xr:uid="{C45148FF-3D1A-4963-B3B0-AEE1BAEC5E11}"/>
    <cellStyle name="Normal 3 2 3 6 3" xfId="5951" xr:uid="{00000000-0005-0000-0000-0000C6110000}"/>
    <cellStyle name="Normal 3 2 3 6 3 2" xfId="15277" xr:uid="{48A4689C-B35A-46B1-AEB9-B3EB5BF69136}"/>
    <cellStyle name="Normal 3 2 3 6 4" xfId="11060" xr:uid="{F025B7FB-7CCA-45D8-81B7-BBCA06A368A0}"/>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E2CEE4E7-7C12-42E0-BA10-DE07B2A214A7}"/>
    <cellStyle name="Normal 3 2 3 7 2 3" xfId="13618" xr:uid="{79CF9299-5F37-4957-AA76-631BED9CAA10}"/>
    <cellStyle name="Normal 3 2 3 7 3" xfId="6364" xr:uid="{00000000-0005-0000-0000-0000CA110000}"/>
    <cellStyle name="Normal 3 2 3 7 3 2" xfId="15690" xr:uid="{FBA7AD44-6AA4-4437-890B-2063C8F880F9}"/>
    <cellStyle name="Normal 3 2 3 7 4" xfId="11473" xr:uid="{7F6331ED-0532-4451-9ED0-B07BCE00FD17}"/>
    <cellStyle name="Normal 3 2 3 8" xfId="2494" xr:uid="{00000000-0005-0000-0000-0000CB110000}"/>
    <cellStyle name="Normal 3 2 3 8 2" xfId="6777" xr:uid="{00000000-0005-0000-0000-0000CC110000}"/>
    <cellStyle name="Normal 3 2 3 8 2 2" xfId="16103" xr:uid="{0F8371CC-4F66-4515-9D60-2877C1925FEF}"/>
    <cellStyle name="Normal 3 2 3 8 3" xfId="11886" xr:uid="{78BAD9CA-CB08-4F03-9499-9C423671F101}"/>
    <cellStyle name="Normal 3 2 3 9" xfId="4711" xr:uid="{00000000-0005-0000-0000-0000CD110000}"/>
    <cellStyle name="Normal 3 2 3 9 2" xfId="14037" xr:uid="{C9FF4CC3-12CE-4268-859B-E22BBF3A9D37}"/>
    <cellStyle name="Normal 3 2 4" xfId="809" xr:uid="{00000000-0005-0000-0000-0000CE110000}"/>
    <cellStyle name="Normal 3 2 4 2" xfId="3047" xr:uid="{00000000-0005-0000-0000-0000CF110000}"/>
    <cellStyle name="Normal 3 2 4 2 2" xfId="7269" xr:uid="{00000000-0005-0000-0000-0000D0110000}"/>
    <cellStyle name="Normal 3 2 4 2 2 2" xfId="16595" xr:uid="{33461974-B8AF-4722-AA6C-72311E2103BC}"/>
    <cellStyle name="Normal 3 2 4 2 3" xfId="12378" xr:uid="{3FC3EDCE-6BD0-4D9B-9B36-70F76B9E3F14}"/>
    <cellStyle name="Normal 3 2 4 3" xfId="5124" xr:uid="{00000000-0005-0000-0000-0000D1110000}"/>
    <cellStyle name="Normal 3 2 4 3 2" xfId="14450" xr:uid="{8E580D82-B4E3-4673-8E2D-5F10C30FE2A9}"/>
    <cellStyle name="Normal 3 2 4 4" xfId="9607" xr:uid="{7D769806-7069-4B8D-8CAC-B3B91BBA8D64}"/>
    <cellStyle name="Normal 3 2 4 5" xfId="10233" xr:uid="{C4D35B11-746A-4727-8D82-343CA2AEEFC7}"/>
    <cellStyle name="Normal 3 2 5" xfId="1230" xr:uid="{00000000-0005-0000-0000-0000D2110000}"/>
    <cellStyle name="Normal 3 2 5 2" xfId="3460" xr:uid="{00000000-0005-0000-0000-0000D3110000}"/>
    <cellStyle name="Normal 3 2 5 2 2" xfId="7682" xr:uid="{00000000-0005-0000-0000-0000D4110000}"/>
    <cellStyle name="Normal 3 2 5 2 2 2" xfId="17008" xr:uid="{2B734637-B240-4084-9AD4-579EF3D3B2BD}"/>
    <cellStyle name="Normal 3 2 5 2 3" xfId="12791" xr:uid="{66203063-D28F-4199-B3CD-8D52467B9992}"/>
    <cellStyle name="Normal 3 2 5 3" xfId="5537" xr:uid="{00000000-0005-0000-0000-0000D5110000}"/>
    <cellStyle name="Normal 3 2 5 3 2" xfId="14863" xr:uid="{43F1C967-FB29-4591-8FA2-0BA577398A78}"/>
    <cellStyle name="Normal 3 2 5 4" xfId="10646" xr:uid="{808AD98F-719C-493B-81EC-FA3DDAC96F0A}"/>
    <cellStyle name="Normal 3 2 6" xfId="1643" xr:uid="{00000000-0005-0000-0000-0000D6110000}"/>
    <cellStyle name="Normal 3 2 6 2" xfId="3873" xr:uid="{00000000-0005-0000-0000-0000D7110000}"/>
    <cellStyle name="Normal 3 2 6 2 2" xfId="8095" xr:uid="{00000000-0005-0000-0000-0000D8110000}"/>
    <cellStyle name="Normal 3 2 6 2 2 2" xfId="17421" xr:uid="{6A778434-E8D1-450A-B025-121B206742F2}"/>
    <cellStyle name="Normal 3 2 6 2 3" xfId="13204" xr:uid="{993F0932-A8BB-433A-BEAF-1B611FB7B4BB}"/>
    <cellStyle name="Normal 3 2 6 3" xfId="5950" xr:uid="{00000000-0005-0000-0000-0000D9110000}"/>
    <cellStyle name="Normal 3 2 6 3 2" xfId="15276" xr:uid="{4212D577-0B1C-4398-A3AF-CE9CB2889535}"/>
    <cellStyle name="Normal 3 2 6 4" xfId="11059" xr:uid="{578F57CA-284E-4F0A-97EB-B7DDA07A5080}"/>
    <cellStyle name="Normal 3 2 7" xfId="2057" xr:uid="{00000000-0005-0000-0000-0000DA110000}"/>
    <cellStyle name="Normal 3 2 7 2" xfId="4286" xr:uid="{00000000-0005-0000-0000-0000DB110000}"/>
    <cellStyle name="Normal 3 2 7 2 2" xfId="8508" xr:uid="{00000000-0005-0000-0000-0000DC110000}"/>
    <cellStyle name="Normal 3 2 7 2 2 2" xfId="17834" xr:uid="{13ECE850-8332-40A9-B06B-E980CCE39EE3}"/>
    <cellStyle name="Normal 3 2 7 2 3" xfId="13617" xr:uid="{1E5B2780-DACE-4261-925A-0142CF8322D9}"/>
    <cellStyle name="Normal 3 2 7 3" xfId="6363" xr:uid="{00000000-0005-0000-0000-0000DD110000}"/>
    <cellStyle name="Normal 3 2 7 3 2" xfId="15689" xr:uid="{A1A23F50-0DE1-4D21-A95D-9C80972B587B}"/>
    <cellStyle name="Normal 3 2 7 4" xfId="11472" xr:uid="{C8DA21D9-4A42-40C5-8176-7F4FA3345C65}"/>
    <cellStyle name="Normal 3 2 8" xfId="2493" xr:uid="{00000000-0005-0000-0000-0000DE110000}"/>
    <cellStyle name="Normal 3 2 8 2" xfId="6776" xr:uid="{00000000-0005-0000-0000-0000DF110000}"/>
    <cellStyle name="Normal 3 2 8 2 2" xfId="16102" xr:uid="{36776CBB-A6A3-4C43-AC83-5A9D5FA64594}"/>
    <cellStyle name="Normal 3 2 8 3" xfId="11885" xr:uid="{26810113-9AF2-4B57-BF08-E2A425B5C4CA}"/>
    <cellStyle name="Normal 3 2 9" xfId="4710" xr:uid="{00000000-0005-0000-0000-0000E0110000}"/>
    <cellStyle name="Normal 3 2 9 2" xfId="14036" xr:uid="{5FA92074-29B5-4B65-8CFD-1CD2CC4354F4}"/>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D7F5E394-6E5A-49F5-9584-F7394F28DB8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8E8E9146-52B1-4837-979E-C8F6F74B1500}"/>
    <cellStyle name="Normal 4 2 2 10 2 3" xfId="13622" xr:uid="{27F9DA91-5E4C-45BC-8AF3-33FAD025ED57}"/>
    <cellStyle name="Normal 4 2 2 10 3" xfId="6368" xr:uid="{00000000-0005-0000-0000-0000ED110000}"/>
    <cellStyle name="Normal 4 2 2 10 3 2" xfId="15694" xr:uid="{22A339FE-5C65-4A97-A456-50B7600CD909}"/>
    <cellStyle name="Normal 4 2 2 10 4" xfId="11477" xr:uid="{81BE6397-FEC2-460C-9D67-84E151ABD298}"/>
    <cellStyle name="Normal 4 2 2 11" xfId="2498" xr:uid="{00000000-0005-0000-0000-0000EE110000}"/>
    <cellStyle name="Normal 4 2 2 11 2" xfId="6781" xr:uid="{00000000-0005-0000-0000-0000EF110000}"/>
    <cellStyle name="Normal 4 2 2 11 2 2" xfId="16107" xr:uid="{88BCA89E-F0FB-4296-A22B-A8E6505BD2D1}"/>
    <cellStyle name="Normal 4 2 2 11 3" xfId="11890" xr:uid="{43C043DC-C7E6-474F-A59A-1450E2A92EAD}"/>
    <cellStyle name="Normal 4 2 2 12" xfId="4716" xr:uid="{00000000-0005-0000-0000-0000F0110000}"/>
    <cellStyle name="Normal 4 2 2 12 2" xfId="14042" xr:uid="{ECFF5EA7-2B5F-40A1-9BDD-DB7E14912253}"/>
    <cellStyle name="Normal 4 2 2 13" xfId="8752" xr:uid="{7B61EFAC-4165-4615-9A47-7AF5DAE027C9}"/>
    <cellStyle name="Normal 4 2 2 14" xfId="9825" xr:uid="{C433ABBD-6E5A-4BA5-BB6A-829517AA1F4A}"/>
    <cellStyle name="Normal 4 2 2 2" xfId="338" xr:uid="{00000000-0005-0000-0000-0000F1110000}"/>
    <cellStyle name="Normal 4 2 2 3" xfId="339" xr:uid="{00000000-0005-0000-0000-0000F2110000}"/>
    <cellStyle name="Normal 4 2 2 3 10" xfId="4717" xr:uid="{00000000-0005-0000-0000-0000F3110000}"/>
    <cellStyle name="Normal 4 2 2 3 10 2" xfId="14043" xr:uid="{6C1AC95D-282F-49DF-9D1E-6826FAD343BC}"/>
    <cellStyle name="Normal 4 2 2 3 11" xfId="8784" xr:uid="{8AA3A883-811C-4C4A-AFFF-9AAED56BF228}"/>
    <cellStyle name="Normal 4 2 2 3 12" xfId="9826" xr:uid="{E965799B-1A9D-450D-9A7F-4F8E70FED905}"/>
    <cellStyle name="Normal 4 2 2 3 2" xfId="340" xr:uid="{00000000-0005-0000-0000-0000F4110000}"/>
    <cellStyle name="Normal 4 2 2 3 2 10" xfId="8819" xr:uid="{16629302-3759-4242-B07E-BB5D034B10E8}"/>
    <cellStyle name="Normal 4 2 2 3 2 11" xfId="9827" xr:uid="{79300D21-78E6-4B5E-8B66-9644616A9D60}"/>
    <cellStyle name="Normal 4 2 2 3 2 2" xfId="341" xr:uid="{00000000-0005-0000-0000-0000F5110000}"/>
    <cellStyle name="Normal 4 2 2 3 2 2 10" xfId="9828" xr:uid="{D07F7155-F789-408E-9CB6-4D1F783BFEF3}"/>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222E7BDB-3D31-46B3-8BDE-8D1E567BB66F}"/>
    <cellStyle name="Normal 4 2 2 3 2 2 2 2 2 3" xfId="12387" xr:uid="{61C5DB1A-EB7B-41A2-96D1-20F5295D2D32}"/>
    <cellStyle name="Normal 4 2 2 3 2 2 2 2 3" xfId="5133" xr:uid="{00000000-0005-0000-0000-0000FA110000}"/>
    <cellStyle name="Normal 4 2 2 3 2 2 2 2 3 2" xfId="14459" xr:uid="{6D4DB85D-C1CF-424A-93EA-823DF274064C}"/>
    <cellStyle name="Normal 4 2 2 3 2 2 2 2 4" xfId="9554" xr:uid="{BAC669EC-8948-4716-90C3-0688F03300CE}"/>
    <cellStyle name="Normal 4 2 2 3 2 2 2 2 5" xfId="10242" xr:uid="{978F3527-78B5-452D-B923-60B1683F4E82}"/>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0D5EAF0B-F990-4FE6-A8EE-F44B0F7B3895}"/>
    <cellStyle name="Normal 4 2 2 3 2 2 2 3 2 3" xfId="12800" xr:uid="{D81DF08C-6EAD-4560-BD68-4C8A5DB140AB}"/>
    <cellStyle name="Normal 4 2 2 3 2 2 2 3 3" xfId="5546" xr:uid="{00000000-0005-0000-0000-0000FE110000}"/>
    <cellStyle name="Normal 4 2 2 3 2 2 2 3 3 2" xfId="14872" xr:uid="{506F81E2-1B9D-4021-989F-9B5F1D06AA98}"/>
    <cellStyle name="Normal 4 2 2 3 2 2 2 3 4" xfId="10655" xr:uid="{4DE215A7-2F5D-4315-8231-0FF89B960C02}"/>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FDD1DE7C-9487-470C-A39F-C608AE82D28A}"/>
    <cellStyle name="Normal 4 2 2 3 2 2 2 4 2 3" xfId="13213" xr:uid="{38A7476C-9294-48DE-A99E-9FF92121F6CB}"/>
    <cellStyle name="Normal 4 2 2 3 2 2 2 4 3" xfId="5959" xr:uid="{00000000-0005-0000-0000-000002120000}"/>
    <cellStyle name="Normal 4 2 2 3 2 2 2 4 3 2" xfId="15285" xr:uid="{C4AC676D-BBCC-4EAB-A729-6098232E9B47}"/>
    <cellStyle name="Normal 4 2 2 3 2 2 2 4 4" xfId="11068" xr:uid="{DC38D009-F212-4F54-9274-80535692EE58}"/>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3CF7F9F5-6DE2-4631-9C35-55C50B8826A5}"/>
    <cellStyle name="Normal 4 2 2 3 2 2 2 5 2 3" xfId="13626" xr:uid="{D63B4AC9-9940-4D78-B133-0236F37D7A90}"/>
    <cellStyle name="Normal 4 2 2 3 2 2 2 5 3" xfId="6372" xr:uid="{00000000-0005-0000-0000-000006120000}"/>
    <cellStyle name="Normal 4 2 2 3 2 2 2 5 3 2" xfId="15698" xr:uid="{B42F9D5F-D5ED-459D-AB0F-535A7978DA95}"/>
    <cellStyle name="Normal 4 2 2 3 2 2 2 5 4" xfId="11481" xr:uid="{C62E7DC1-40FE-4CC9-A4F4-6406CA028218}"/>
    <cellStyle name="Normal 4 2 2 3 2 2 2 6" xfId="2502" xr:uid="{00000000-0005-0000-0000-000007120000}"/>
    <cellStyle name="Normal 4 2 2 3 2 2 2 6 2" xfId="6785" xr:uid="{00000000-0005-0000-0000-000008120000}"/>
    <cellStyle name="Normal 4 2 2 3 2 2 2 6 2 2" xfId="16111" xr:uid="{4EF8A544-5A82-4FD5-AB88-316E872D408D}"/>
    <cellStyle name="Normal 4 2 2 3 2 2 2 6 3" xfId="11894" xr:uid="{921891AA-AD76-4106-BAA9-C582E0293A75}"/>
    <cellStyle name="Normal 4 2 2 3 2 2 2 7" xfId="4720" xr:uid="{00000000-0005-0000-0000-000009120000}"/>
    <cellStyle name="Normal 4 2 2 3 2 2 2 7 2" xfId="14046" xr:uid="{5EE1A7D3-EAE6-4627-BDE5-5A2FC67F2EC6}"/>
    <cellStyle name="Normal 4 2 2 3 2 2 2 8" xfId="9129" xr:uid="{970F8072-C8D6-4D17-95D6-EBF431EAD262}"/>
    <cellStyle name="Normal 4 2 2 3 2 2 2 9" xfId="9829" xr:uid="{86A47E19-DDD1-4DA3-B95B-97ECED645DCD}"/>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BCF588D6-6ECF-4591-95AA-AD03FEFA9B0C}"/>
    <cellStyle name="Normal 4 2 2 3 2 2 3 2 3" xfId="12386" xr:uid="{3460E50E-6695-4DBF-B177-7ACEA68734D5}"/>
    <cellStyle name="Normal 4 2 2 3 2 2 3 3" xfId="5132" xr:uid="{00000000-0005-0000-0000-00000D120000}"/>
    <cellStyle name="Normal 4 2 2 3 2 2 3 3 2" xfId="14458" xr:uid="{5C564FD4-F55A-4D5C-8C79-00C9F72F10DA}"/>
    <cellStyle name="Normal 4 2 2 3 2 2 3 4" xfId="9347" xr:uid="{8C9012CB-19BB-4242-9F43-373358B13B52}"/>
    <cellStyle name="Normal 4 2 2 3 2 2 3 5" xfId="10241" xr:uid="{BD029C1F-4207-4341-876B-1A0D3A48BE94}"/>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32457FAC-C0F0-4066-9CEC-35C27513B0F6}"/>
    <cellStyle name="Normal 4 2 2 3 2 2 4 2 3" xfId="12799" xr:uid="{9ABE3EFE-543B-4EB4-A416-873CCCFAAC6B}"/>
    <cellStyle name="Normal 4 2 2 3 2 2 4 3" xfId="5545" xr:uid="{00000000-0005-0000-0000-000011120000}"/>
    <cellStyle name="Normal 4 2 2 3 2 2 4 3 2" xfId="14871" xr:uid="{3031568F-242F-4A51-94D6-9C4B6A50CC22}"/>
    <cellStyle name="Normal 4 2 2 3 2 2 4 4" xfId="10654" xr:uid="{A1DA2326-14AC-4F38-8422-1AE67F3AC1CA}"/>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98041E56-CFDD-4ACB-B743-A67424277A1B}"/>
    <cellStyle name="Normal 4 2 2 3 2 2 5 2 3" xfId="13212" xr:uid="{82BDE069-A8E2-4AE6-9573-808252BA0AE3}"/>
    <cellStyle name="Normal 4 2 2 3 2 2 5 3" xfId="5958" xr:uid="{00000000-0005-0000-0000-000015120000}"/>
    <cellStyle name="Normal 4 2 2 3 2 2 5 3 2" xfId="15284" xr:uid="{89A4123E-00DD-4689-B7DE-BC090CC893DD}"/>
    <cellStyle name="Normal 4 2 2 3 2 2 5 4" xfId="11067" xr:uid="{8B643D9C-A472-46D2-8EDA-35329B34D21B}"/>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175837C6-B5C6-4F9E-9C62-ACC540F4DF1C}"/>
    <cellStyle name="Normal 4 2 2 3 2 2 6 2 3" xfId="13625" xr:uid="{0EABB78C-C108-43A0-A5C2-D3EF7E4C0B0A}"/>
    <cellStyle name="Normal 4 2 2 3 2 2 6 3" xfId="6371" xr:uid="{00000000-0005-0000-0000-000019120000}"/>
    <cellStyle name="Normal 4 2 2 3 2 2 6 3 2" xfId="15697" xr:uid="{26F8EF08-993E-42F0-8648-C580086A3150}"/>
    <cellStyle name="Normal 4 2 2 3 2 2 6 4" xfId="11480" xr:uid="{0CD0C366-A074-4BAF-A4C4-DB76D26A24A9}"/>
    <cellStyle name="Normal 4 2 2 3 2 2 7" xfId="2501" xr:uid="{00000000-0005-0000-0000-00001A120000}"/>
    <cellStyle name="Normal 4 2 2 3 2 2 7 2" xfId="6784" xr:uid="{00000000-0005-0000-0000-00001B120000}"/>
    <cellStyle name="Normal 4 2 2 3 2 2 7 2 2" xfId="16110" xr:uid="{51FC8EC2-2D15-4C83-805C-C606E6854D24}"/>
    <cellStyle name="Normal 4 2 2 3 2 2 7 3" xfId="11893" xr:uid="{664A47F5-8117-4706-9D13-8C87B4D71EE7}"/>
    <cellStyle name="Normal 4 2 2 3 2 2 8" xfId="4719" xr:uid="{00000000-0005-0000-0000-00001C120000}"/>
    <cellStyle name="Normal 4 2 2 3 2 2 8 2" xfId="14045" xr:uid="{3E680C41-D487-4C95-9312-A6C8D8096205}"/>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6EA27245-9486-4649-BEFF-0A9A916ADA70}"/>
    <cellStyle name="Normal 4 2 2 3 2 3 2 2 3" xfId="12388" xr:uid="{BF2AEDA4-D3FC-4107-A386-BA18ED1A158D}"/>
    <cellStyle name="Normal 4 2 2 3 2 3 2 3" xfId="5134" xr:uid="{00000000-0005-0000-0000-000021120000}"/>
    <cellStyle name="Normal 4 2 2 3 2 3 2 3 2" xfId="14460" xr:uid="{736C4267-2039-4067-A304-FC424EF65A5D}"/>
    <cellStyle name="Normal 4 2 2 3 2 3 2 4" xfId="9451" xr:uid="{85AA9164-95F1-48F2-907A-54AD445D074F}"/>
    <cellStyle name="Normal 4 2 2 3 2 3 2 5" xfId="10243" xr:uid="{EC5B30FE-C346-4333-B9F3-10D34DB955FA}"/>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45032633-7C69-434B-87CF-9272E0A3E980}"/>
    <cellStyle name="Normal 4 2 2 3 2 3 3 2 3" xfId="12801" xr:uid="{FC75C2D6-891A-4803-BA4C-2D0B3194786F}"/>
    <cellStyle name="Normal 4 2 2 3 2 3 3 3" xfId="5547" xr:uid="{00000000-0005-0000-0000-000025120000}"/>
    <cellStyle name="Normal 4 2 2 3 2 3 3 3 2" xfId="14873" xr:uid="{FD165F10-826B-4AA0-8CAA-57F13802BCEC}"/>
    <cellStyle name="Normal 4 2 2 3 2 3 3 4" xfId="10656" xr:uid="{CD3D477C-FD80-44D7-BDB1-BC1F7ECA3DA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03322430-981E-4CFC-85D2-9B90CBD3C779}"/>
    <cellStyle name="Normal 4 2 2 3 2 3 4 2 3" xfId="13214" xr:uid="{53C7AD4B-DD31-4E25-878F-06ED203F6E7E}"/>
    <cellStyle name="Normal 4 2 2 3 2 3 4 3" xfId="5960" xr:uid="{00000000-0005-0000-0000-000029120000}"/>
    <cellStyle name="Normal 4 2 2 3 2 3 4 3 2" xfId="15286" xr:uid="{A5C89BA9-9E9A-4692-9BD3-17D8856F0E1A}"/>
    <cellStyle name="Normal 4 2 2 3 2 3 4 4" xfId="11069" xr:uid="{CB571FC3-2FDD-408C-A862-393844CC6F72}"/>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5C096627-346A-4156-A341-245A27C3BB1E}"/>
    <cellStyle name="Normal 4 2 2 3 2 3 5 2 3" xfId="13627" xr:uid="{EDB8452A-7A45-4496-BB41-F08E15655C07}"/>
    <cellStyle name="Normal 4 2 2 3 2 3 5 3" xfId="6373" xr:uid="{00000000-0005-0000-0000-00002D120000}"/>
    <cellStyle name="Normal 4 2 2 3 2 3 5 3 2" xfId="15699" xr:uid="{19DA7835-7C66-4183-8BC1-E2BC919EAF4E}"/>
    <cellStyle name="Normal 4 2 2 3 2 3 5 4" xfId="11482" xr:uid="{24EC44B4-6B09-433C-A283-8EA068D05560}"/>
    <cellStyle name="Normal 4 2 2 3 2 3 6" xfId="2503" xr:uid="{00000000-0005-0000-0000-00002E120000}"/>
    <cellStyle name="Normal 4 2 2 3 2 3 6 2" xfId="6786" xr:uid="{00000000-0005-0000-0000-00002F120000}"/>
    <cellStyle name="Normal 4 2 2 3 2 3 6 2 2" xfId="16112" xr:uid="{9DFFAD5D-9F1A-475F-9BB9-68448EF0F7B5}"/>
    <cellStyle name="Normal 4 2 2 3 2 3 6 3" xfId="11895" xr:uid="{C2EB44C2-D801-4C9A-8B19-768EDA5CA05A}"/>
    <cellStyle name="Normal 4 2 2 3 2 3 7" xfId="4721" xr:uid="{00000000-0005-0000-0000-000030120000}"/>
    <cellStyle name="Normal 4 2 2 3 2 3 7 2" xfId="14047" xr:uid="{100BE098-6EA6-4E5E-B91A-6DEB02518553}"/>
    <cellStyle name="Normal 4 2 2 3 2 3 8" xfId="9026" xr:uid="{319D63D3-F71C-4F99-9FD1-E3D0665567E8}"/>
    <cellStyle name="Normal 4 2 2 3 2 3 9" xfId="9830" xr:uid="{C7C433E2-87EA-44CF-9646-17544C178DD6}"/>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3EC68FF0-DB72-41D9-9D98-E863B9D2991B}"/>
    <cellStyle name="Normal 4 2 2 3 2 4 2 3" xfId="12385" xr:uid="{FAFB0D88-24E0-40E5-8CAA-A48F8BCE04F2}"/>
    <cellStyle name="Normal 4 2 2 3 2 4 3" xfId="5131" xr:uid="{00000000-0005-0000-0000-000034120000}"/>
    <cellStyle name="Normal 4 2 2 3 2 4 3 2" xfId="14457" xr:uid="{06A4C3BC-F316-4095-B8E0-07D52F0A292B}"/>
    <cellStyle name="Normal 4 2 2 3 2 4 4" xfId="9244" xr:uid="{98623F27-324A-40DE-AA2B-56E1FCE087EE}"/>
    <cellStyle name="Normal 4 2 2 3 2 4 5" xfId="10240" xr:uid="{B0415159-9B79-43F2-BD04-570E9C7B8CFA}"/>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6B08A423-CDA6-40CA-B26F-AE3A74266315}"/>
    <cellStyle name="Normal 4 2 2 3 2 5 2 3" xfId="12798" xr:uid="{A7399ED7-B3F1-4330-9AAD-1193EBF7B655}"/>
    <cellStyle name="Normal 4 2 2 3 2 5 3" xfId="5544" xr:uid="{00000000-0005-0000-0000-000038120000}"/>
    <cellStyle name="Normal 4 2 2 3 2 5 3 2" xfId="14870" xr:uid="{85E6C07F-B226-43D0-BD92-506F9C2ABD84}"/>
    <cellStyle name="Normal 4 2 2 3 2 5 4" xfId="10653" xr:uid="{9FB5F39C-1514-4E14-A7EB-A8280D8CF6AA}"/>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F27391A7-BF53-4683-B3C7-3834636AA207}"/>
    <cellStyle name="Normal 4 2 2 3 2 6 2 3" xfId="13211" xr:uid="{63C04C8B-84AE-4296-A3F7-CED618CF70EE}"/>
    <cellStyle name="Normal 4 2 2 3 2 6 3" xfId="5957" xr:uid="{00000000-0005-0000-0000-00003C120000}"/>
    <cellStyle name="Normal 4 2 2 3 2 6 3 2" xfId="15283" xr:uid="{CF772D41-F5A9-48F2-BD89-860671B35170}"/>
    <cellStyle name="Normal 4 2 2 3 2 6 4" xfId="11066" xr:uid="{BE241964-0E62-4281-94EE-32966E82578D}"/>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2808472F-2304-4009-810A-BEA6BAA26721}"/>
    <cellStyle name="Normal 4 2 2 3 2 7 2 3" xfId="13624" xr:uid="{99F17642-5675-4597-8ABE-6ADFED106E85}"/>
    <cellStyle name="Normal 4 2 2 3 2 7 3" xfId="6370" xr:uid="{00000000-0005-0000-0000-000040120000}"/>
    <cellStyle name="Normal 4 2 2 3 2 7 3 2" xfId="15696" xr:uid="{14D85863-D307-4F72-AF1C-1573E143078C}"/>
    <cellStyle name="Normal 4 2 2 3 2 7 4" xfId="11479" xr:uid="{C73B2C4C-B6D0-4475-B3A9-71EA0712D268}"/>
    <cellStyle name="Normal 4 2 2 3 2 8" xfId="2500" xr:uid="{00000000-0005-0000-0000-000041120000}"/>
    <cellStyle name="Normal 4 2 2 3 2 8 2" xfId="6783" xr:uid="{00000000-0005-0000-0000-000042120000}"/>
    <cellStyle name="Normal 4 2 2 3 2 8 2 2" xfId="16109" xr:uid="{BB92CBA2-6BAF-4C30-B222-31F8EACDC732}"/>
    <cellStyle name="Normal 4 2 2 3 2 8 3" xfId="11892" xr:uid="{D6411F6B-4932-4F83-A73E-218A85E7FE3B}"/>
    <cellStyle name="Normal 4 2 2 3 2 9" xfId="4718" xr:uid="{00000000-0005-0000-0000-000043120000}"/>
    <cellStyle name="Normal 4 2 2 3 2 9 2" xfId="14044" xr:uid="{BFD5E1B0-5DBA-410D-B603-9BC016EEF857}"/>
    <cellStyle name="Normal 4 2 2 3 3" xfId="344" xr:uid="{00000000-0005-0000-0000-000044120000}"/>
    <cellStyle name="Normal 4 2 2 3 3 10" xfId="9831" xr:uid="{BCC99E8A-C5AC-4FB7-A352-FFFC6F43BCC9}"/>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0ACBF4D0-114C-4D1F-B7CE-4C226CBACCFA}"/>
    <cellStyle name="Normal 4 2 2 3 3 2 2 2 3" xfId="12390" xr:uid="{D4D2F264-2B4B-43D5-8269-C4701440FE3C}"/>
    <cellStyle name="Normal 4 2 2 3 3 2 2 3" xfId="5136" xr:uid="{00000000-0005-0000-0000-000049120000}"/>
    <cellStyle name="Normal 4 2 2 3 3 2 2 3 2" xfId="14462" xr:uid="{C9840318-FD4C-405F-B3B7-826DEAF66438}"/>
    <cellStyle name="Normal 4 2 2 3 3 2 2 4" xfId="9519" xr:uid="{FB4BBD6E-D73B-4ABD-8656-6C15D7932E02}"/>
    <cellStyle name="Normal 4 2 2 3 3 2 2 5" xfId="10245" xr:uid="{9E33E56D-9730-45EB-9F7B-09031B97CFA6}"/>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CF848263-DE32-4C0D-A794-0BF663855BAF}"/>
    <cellStyle name="Normal 4 2 2 3 3 2 3 2 3" xfId="12803" xr:uid="{770EFE5B-2133-452F-AD5D-0582CFC39593}"/>
    <cellStyle name="Normal 4 2 2 3 3 2 3 3" xfId="5549" xr:uid="{00000000-0005-0000-0000-00004D120000}"/>
    <cellStyle name="Normal 4 2 2 3 3 2 3 3 2" xfId="14875" xr:uid="{434CC581-585E-42BF-9075-822EB08FBE07}"/>
    <cellStyle name="Normal 4 2 2 3 3 2 3 4" xfId="10658" xr:uid="{32EC2025-5295-485D-B2E6-C906C9E4F84C}"/>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6F5FCFFA-0074-43E1-BA95-55AF61F3B382}"/>
    <cellStyle name="Normal 4 2 2 3 3 2 4 2 3" xfId="13216" xr:uid="{918C79C5-7E1F-4E25-9756-F94DA6E27BA7}"/>
    <cellStyle name="Normal 4 2 2 3 3 2 4 3" xfId="5962" xr:uid="{00000000-0005-0000-0000-000051120000}"/>
    <cellStyle name="Normal 4 2 2 3 3 2 4 3 2" xfId="15288" xr:uid="{AD9EA0C4-89D3-4269-9486-DFAF24B4E5F4}"/>
    <cellStyle name="Normal 4 2 2 3 3 2 4 4" xfId="11071" xr:uid="{8D4C28C5-B66D-494D-9EA0-5C351D0511AC}"/>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E11ECA48-A8A8-4A5E-886E-C4BCDBFF8B6C}"/>
    <cellStyle name="Normal 4 2 2 3 3 2 5 2 3" xfId="13629" xr:uid="{8AD17AF0-5131-4B21-8ACA-0B4C8F7392CB}"/>
    <cellStyle name="Normal 4 2 2 3 3 2 5 3" xfId="6375" xr:uid="{00000000-0005-0000-0000-000055120000}"/>
    <cellStyle name="Normal 4 2 2 3 3 2 5 3 2" xfId="15701" xr:uid="{CB5C05D7-74EE-4B68-8722-ACB99E11DAD1}"/>
    <cellStyle name="Normal 4 2 2 3 3 2 5 4" xfId="11484" xr:uid="{947C9F7B-2317-4A5F-A8A8-0AEA42AD1A28}"/>
    <cellStyle name="Normal 4 2 2 3 3 2 6" xfId="2505" xr:uid="{00000000-0005-0000-0000-000056120000}"/>
    <cellStyle name="Normal 4 2 2 3 3 2 6 2" xfId="6788" xr:uid="{00000000-0005-0000-0000-000057120000}"/>
    <cellStyle name="Normal 4 2 2 3 3 2 6 2 2" xfId="16114" xr:uid="{EC6CC389-E908-4BA2-823E-A30AAE7D1C9C}"/>
    <cellStyle name="Normal 4 2 2 3 3 2 6 3" xfId="11897" xr:uid="{4C2AA6C9-0B8B-4E70-AB62-F0E7065B4BDD}"/>
    <cellStyle name="Normal 4 2 2 3 3 2 7" xfId="4723" xr:uid="{00000000-0005-0000-0000-000058120000}"/>
    <cellStyle name="Normal 4 2 2 3 3 2 7 2" xfId="14049" xr:uid="{587B6355-CFBC-41C2-8582-7662DAB1CC39}"/>
    <cellStyle name="Normal 4 2 2 3 3 2 8" xfId="9094" xr:uid="{1333D468-E252-4686-88C1-38A56B910A8E}"/>
    <cellStyle name="Normal 4 2 2 3 3 2 9" xfId="9832" xr:uid="{EC2CAAF1-0149-4C95-9D35-337615FD8FC5}"/>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71E2254E-B450-4779-A644-726BE785E0C2}"/>
    <cellStyle name="Normal 4 2 2 3 3 3 2 3" xfId="12389" xr:uid="{D36B606F-65AC-4C07-9BC0-62E0ECE24B87}"/>
    <cellStyle name="Normal 4 2 2 3 3 3 3" xfId="5135" xr:uid="{00000000-0005-0000-0000-00005C120000}"/>
    <cellStyle name="Normal 4 2 2 3 3 3 3 2" xfId="14461" xr:uid="{43D2960A-8011-4607-A93B-194CCA42EC1A}"/>
    <cellStyle name="Normal 4 2 2 3 3 3 4" xfId="9312" xr:uid="{0065946C-778C-4913-8F8B-68BBB1A30769}"/>
    <cellStyle name="Normal 4 2 2 3 3 3 5" xfId="10244" xr:uid="{4340BC91-39E9-486D-AB79-10AEC576A60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232C0464-6F3A-4179-A3FF-7D4E974C1080}"/>
    <cellStyle name="Normal 4 2 2 3 3 4 2 3" xfId="12802" xr:uid="{84A35C03-5380-4313-BCC2-BD76198365E5}"/>
    <cellStyle name="Normal 4 2 2 3 3 4 3" xfId="5548" xr:uid="{00000000-0005-0000-0000-000060120000}"/>
    <cellStyle name="Normal 4 2 2 3 3 4 3 2" xfId="14874" xr:uid="{3E4DB76B-042F-43A2-8034-D0262179E120}"/>
    <cellStyle name="Normal 4 2 2 3 3 4 4" xfId="10657" xr:uid="{4BA35F3C-B2A1-47E7-9910-021A1F87DA0D}"/>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A4A263B8-0C2B-4C39-A107-AE8AD19589F9}"/>
    <cellStyle name="Normal 4 2 2 3 3 5 2 3" xfId="13215" xr:uid="{C07A8A31-D43F-4640-B66C-4C60AE1126F5}"/>
    <cellStyle name="Normal 4 2 2 3 3 5 3" xfId="5961" xr:uid="{00000000-0005-0000-0000-000064120000}"/>
    <cellStyle name="Normal 4 2 2 3 3 5 3 2" xfId="15287" xr:uid="{995014FC-2AE2-41C2-8E54-B29975D261D2}"/>
    <cellStyle name="Normal 4 2 2 3 3 5 4" xfId="11070" xr:uid="{21F23200-96ED-4FE6-BC7B-F40DF4BC0DF1}"/>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00F69597-F130-40DB-978D-C3C47D453533}"/>
    <cellStyle name="Normal 4 2 2 3 3 6 2 3" xfId="13628" xr:uid="{F10E2360-1E18-405F-83CA-7DDE18A43F1A}"/>
    <cellStyle name="Normal 4 2 2 3 3 6 3" xfId="6374" xr:uid="{00000000-0005-0000-0000-000068120000}"/>
    <cellStyle name="Normal 4 2 2 3 3 6 3 2" xfId="15700" xr:uid="{442E5ABC-69D7-49EF-9D53-8093BE24579E}"/>
    <cellStyle name="Normal 4 2 2 3 3 6 4" xfId="11483" xr:uid="{17E5B6F4-CC6F-4F5D-AEF9-7304A4A85FB2}"/>
    <cellStyle name="Normal 4 2 2 3 3 7" xfId="2504" xr:uid="{00000000-0005-0000-0000-000069120000}"/>
    <cellStyle name="Normal 4 2 2 3 3 7 2" xfId="6787" xr:uid="{00000000-0005-0000-0000-00006A120000}"/>
    <cellStyle name="Normal 4 2 2 3 3 7 2 2" xfId="16113" xr:uid="{5F73CA30-36C6-4C71-BE3D-CBD6C6D7D405}"/>
    <cellStyle name="Normal 4 2 2 3 3 7 3" xfId="11896" xr:uid="{14C5CB16-F236-409A-84AA-7B9DA81BDC68}"/>
    <cellStyle name="Normal 4 2 2 3 3 8" xfId="4722" xr:uid="{00000000-0005-0000-0000-00006B120000}"/>
    <cellStyle name="Normal 4 2 2 3 3 8 2" xfId="14048" xr:uid="{CFB018B3-1068-4785-B15B-6FA349A8AE33}"/>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9F1B762B-038F-4C25-8398-58842CF4B42B}"/>
    <cellStyle name="Normal 4 2 2 3 4 2 2 3" xfId="12391" xr:uid="{E4E025B3-FF88-4F53-808E-EB0B332C5DD3}"/>
    <cellStyle name="Normal 4 2 2 3 4 2 3" xfId="5137" xr:uid="{00000000-0005-0000-0000-000070120000}"/>
    <cellStyle name="Normal 4 2 2 3 4 2 3 2" xfId="14463" xr:uid="{1E4F095F-7C39-4CC8-B11C-DAD7976B5B43}"/>
    <cellStyle name="Normal 4 2 2 3 4 2 4" xfId="9416" xr:uid="{B0F1A5CD-0EDE-48A7-9669-6902681F696C}"/>
    <cellStyle name="Normal 4 2 2 3 4 2 5" xfId="10246" xr:uid="{613F0F58-3E6B-4AA3-889D-A3BE0CB9B949}"/>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99342F09-9D0D-49D6-96CD-C0CD624B7CD3}"/>
    <cellStyle name="Normal 4 2 2 3 4 3 2 3" xfId="12804" xr:uid="{99814F52-CD85-4492-8049-BBC4D987E15F}"/>
    <cellStyle name="Normal 4 2 2 3 4 3 3" xfId="5550" xr:uid="{00000000-0005-0000-0000-000074120000}"/>
    <cellStyle name="Normal 4 2 2 3 4 3 3 2" xfId="14876" xr:uid="{66994A52-FFEB-4372-82A6-7B47FDDBC0B8}"/>
    <cellStyle name="Normal 4 2 2 3 4 3 4" xfId="10659" xr:uid="{909F3C71-4927-44E2-93B7-6D0724856621}"/>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9F933393-565F-4187-BD4E-71D0EE72D611}"/>
    <cellStyle name="Normal 4 2 2 3 4 4 2 3" xfId="13217" xr:uid="{F1E6CFBD-0794-4D83-BE2E-07CDD3867817}"/>
    <cellStyle name="Normal 4 2 2 3 4 4 3" xfId="5963" xr:uid="{00000000-0005-0000-0000-000078120000}"/>
    <cellStyle name="Normal 4 2 2 3 4 4 3 2" xfId="15289" xr:uid="{7D23A53D-42E7-44CB-BBAB-EB50B87DA50B}"/>
    <cellStyle name="Normal 4 2 2 3 4 4 4" xfId="11072" xr:uid="{FA8973EF-82E3-40B6-BFE2-CEC411BE0E2E}"/>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DAB158B1-A7E8-4AF0-B664-C9B3EEC3D91B}"/>
    <cellStyle name="Normal 4 2 2 3 4 5 2 3" xfId="13630" xr:uid="{52820187-E94B-475F-B789-8A06C99281E0}"/>
    <cellStyle name="Normal 4 2 2 3 4 5 3" xfId="6376" xr:uid="{00000000-0005-0000-0000-00007C120000}"/>
    <cellStyle name="Normal 4 2 2 3 4 5 3 2" xfId="15702" xr:uid="{AA4542D9-72F3-47BF-A5BC-5BC978D5909C}"/>
    <cellStyle name="Normal 4 2 2 3 4 5 4" xfId="11485" xr:uid="{53DAFD9D-602D-4FEE-B6B1-FCCE839FE640}"/>
    <cellStyle name="Normal 4 2 2 3 4 6" xfId="2506" xr:uid="{00000000-0005-0000-0000-00007D120000}"/>
    <cellStyle name="Normal 4 2 2 3 4 6 2" xfId="6789" xr:uid="{00000000-0005-0000-0000-00007E120000}"/>
    <cellStyle name="Normal 4 2 2 3 4 6 2 2" xfId="16115" xr:uid="{4B41014E-6407-4D27-8118-04A5855B57BA}"/>
    <cellStyle name="Normal 4 2 2 3 4 6 3" xfId="11898" xr:uid="{967ED7BA-7253-4473-98FB-D1E753BE4933}"/>
    <cellStyle name="Normal 4 2 2 3 4 7" xfId="4724" xr:uid="{00000000-0005-0000-0000-00007F120000}"/>
    <cellStyle name="Normal 4 2 2 3 4 7 2" xfId="14050" xr:uid="{290127D0-40C8-42C1-8F95-B3C39E07FD02}"/>
    <cellStyle name="Normal 4 2 2 3 4 8" xfId="8991" xr:uid="{84464EC3-90C2-4B18-8399-135C935528F7}"/>
    <cellStyle name="Normal 4 2 2 3 4 9" xfId="9833" xr:uid="{C48F4A0F-54B3-4195-BCDA-C8A80E59709A}"/>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344AA4B2-E29E-4930-AB01-78C86B4EB648}"/>
    <cellStyle name="Normal 4 2 2 3 5 2 3" xfId="12384" xr:uid="{F9D295D0-4290-4774-B536-BB6FB7C9C756}"/>
    <cellStyle name="Normal 4 2 2 3 5 3" xfId="5130" xr:uid="{00000000-0005-0000-0000-000083120000}"/>
    <cellStyle name="Normal 4 2 2 3 5 3 2" xfId="14456" xr:uid="{748EF98C-59CF-464C-8B47-ABED79478A36}"/>
    <cellStyle name="Normal 4 2 2 3 5 4" xfId="9208" xr:uid="{7BF9CD11-B90D-42F2-928D-A8BE344C6F46}"/>
    <cellStyle name="Normal 4 2 2 3 5 5" xfId="10239" xr:uid="{C5DB3685-F768-42FE-BA0C-7FB63BF81D01}"/>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2D3F71C1-06AE-4080-B4D5-6B53042C0970}"/>
    <cellStyle name="Normal 4 2 2 3 6 2 3" xfId="12797" xr:uid="{CAAB5D1E-64E8-44AB-BCFE-EAC9EEA136AE}"/>
    <cellStyle name="Normal 4 2 2 3 6 3" xfId="5543" xr:uid="{00000000-0005-0000-0000-000087120000}"/>
    <cellStyle name="Normal 4 2 2 3 6 3 2" xfId="14869" xr:uid="{490E8D1F-12EB-4955-BC72-16192413FC53}"/>
    <cellStyle name="Normal 4 2 2 3 6 4" xfId="10652" xr:uid="{F3B226F8-8C53-4A94-9A2E-C7621E2A2A5E}"/>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B578DA8E-2D5F-46C3-9DC3-0B5053E4FB68}"/>
    <cellStyle name="Normal 4 2 2 3 7 2 3" xfId="13210" xr:uid="{BAB7AEDC-45F0-43CC-B305-6B45DE28BB4A}"/>
    <cellStyle name="Normal 4 2 2 3 7 3" xfId="5956" xr:uid="{00000000-0005-0000-0000-00008B120000}"/>
    <cellStyle name="Normal 4 2 2 3 7 3 2" xfId="15282" xr:uid="{AFF63CF0-E6F7-4EA7-8D32-7503C398E0A0}"/>
    <cellStyle name="Normal 4 2 2 3 7 4" xfId="11065" xr:uid="{484ACB88-C065-4AC8-98DA-DC04F6AB493A}"/>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A0F20BE4-E6CC-468C-BAB2-2C7BC87A7204}"/>
    <cellStyle name="Normal 4 2 2 3 8 2 3" xfId="13623" xr:uid="{BDD7EC68-78D8-498A-9DFF-2DE3615AD1AD}"/>
    <cellStyle name="Normal 4 2 2 3 8 3" xfId="6369" xr:uid="{00000000-0005-0000-0000-00008F120000}"/>
    <cellStyle name="Normal 4 2 2 3 8 3 2" xfId="15695" xr:uid="{F696C7B1-EB1F-485C-A806-43C846DC502D}"/>
    <cellStyle name="Normal 4 2 2 3 8 4" xfId="11478" xr:uid="{2E51A1BA-1EF1-4795-A7AB-34AD3B65EB0E}"/>
    <cellStyle name="Normal 4 2 2 3 9" xfId="2499" xr:uid="{00000000-0005-0000-0000-000090120000}"/>
    <cellStyle name="Normal 4 2 2 3 9 2" xfId="6782" xr:uid="{00000000-0005-0000-0000-000091120000}"/>
    <cellStyle name="Normal 4 2 2 3 9 2 2" xfId="16108" xr:uid="{191C4109-22F1-47CA-BCA1-0B1267C99D60}"/>
    <cellStyle name="Normal 4 2 2 3 9 3" xfId="11891" xr:uid="{D919B94A-F2DD-4AE3-8A90-FB0F58980680}"/>
    <cellStyle name="Normal 4 2 2 4" xfId="347" xr:uid="{00000000-0005-0000-0000-000092120000}"/>
    <cellStyle name="Normal 4 2 2 4 10" xfId="8818" xr:uid="{A73977A7-52C6-4368-9F59-166E1B99BBDE}"/>
    <cellStyle name="Normal 4 2 2 4 11" xfId="9834" xr:uid="{1D374E9D-E159-418E-85AB-4B0E48ABC709}"/>
    <cellStyle name="Normal 4 2 2 4 2" xfId="348" xr:uid="{00000000-0005-0000-0000-000093120000}"/>
    <cellStyle name="Normal 4 2 2 4 2 10" xfId="9835" xr:uid="{F43C24A7-6664-4CAB-B9F1-78B9FB88E7BC}"/>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4DF6B785-8DD1-409B-B787-C2CC43AFD90D}"/>
    <cellStyle name="Normal 4 2 2 4 2 2 2 2 3" xfId="12394" xr:uid="{9ABF7B23-1AFF-4D16-BEBB-6B88EB192B4D}"/>
    <cellStyle name="Normal 4 2 2 4 2 2 2 3" xfId="5140" xr:uid="{00000000-0005-0000-0000-000098120000}"/>
    <cellStyle name="Normal 4 2 2 4 2 2 2 3 2" xfId="14466" xr:uid="{1B9D5A87-6520-467B-83D0-F357F0033FFC}"/>
    <cellStyle name="Normal 4 2 2 4 2 2 2 4" xfId="9553" xr:uid="{7FCAF883-2374-4470-BA95-AD8EB054639C}"/>
    <cellStyle name="Normal 4 2 2 4 2 2 2 5" xfId="10249" xr:uid="{AF0A1BDE-BDA2-4DA6-AAA3-E61F01C87A4D}"/>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28162625-238A-436A-A2F9-CAB89F5D1B17}"/>
    <cellStyle name="Normal 4 2 2 4 2 2 3 2 3" xfId="12807" xr:uid="{3C497203-6AE0-4A3E-923F-CCFBEA23C194}"/>
    <cellStyle name="Normal 4 2 2 4 2 2 3 3" xfId="5553" xr:uid="{00000000-0005-0000-0000-00009C120000}"/>
    <cellStyle name="Normal 4 2 2 4 2 2 3 3 2" xfId="14879" xr:uid="{84FFCE50-C711-41C6-AD58-17142D20B37F}"/>
    <cellStyle name="Normal 4 2 2 4 2 2 3 4" xfId="10662" xr:uid="{0A36A0E2-86D4-4FDE-92B8-39ADD7D34BBE}"/>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5485BA46-3378-4FD2-940A-4B81051E4B60}"/>
    <cellStyle name="Normal 4 2 2 4 2 2 4 2 3" xfId="13220" xr:uid="{F06A239F-3F14-40FB-80A7-06D38A878DCA}"/>
    <cellStyle name="Normal 4 2 2 4 2 2 4 3" xfId="5966" xr:uid="{00000000-0005-0000-0000-0000A0120000}"/>
    <cellStyle name="Normal 4 2 2 4 2 2 4 3 2" xfId="15292" xr:uid="{7D80C59D-E329-4CE1-BC1A-D9870829B069}"/>
    <cellStyle name="Normal 4 2 2 4 2 2 4 4" xfId="11075" xr:uid="{670F3DDF-4D6D-4E5A-B479-7FCC519CFBCB}"/>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8956CE14-C982-4258-AFA8-038996FB2B4E}"/>
    <cellStyle name="Normal 4 2 2 4 2 2 5 2 3" xfId="13633" xr:uid="{F92AF408-9EC8-4AF0-8D36-BBBB8DE4ECC0}"/>
    <cellStyle name="Normal 4 2 2 4 2 2 5 3" xfId="6379" xr:uid="{00000000-0005-0000-0000-0000A4120000}"/>
    <cellStyle name="Normal 4 2 2 4 2 2 5 3 2" xfId="15705" xr:uid="{D32ABC06-4D33-4E66-96BB-AEBE04F91AF2}"/>
    <cellStyle name="Normal 4 2 2 4 2 2 5 4" xfId="11488" xr:uid="{C94F277F-358A-4B06-89D2-551A33AD96DD}"/>
    <cellStyle name="Normal 4 2 2 4 2 2 6" xfId="2509" xr:uid="{00000000-0005-0000-0000-0000A5120000}"/>
    <cellStyle name="Normal 4 2 2 4 2 2 6 2" xfId="6792" xr:uid="{00000000-0005-0000-0000-0000A6120000}"/>
    <cellStyle name="Normal 4 2 2 4 2 2 6 2 2" xfId="16118" xr:uid="{0AEBB95B-CFB6-49E7-8C3A-C0B55CD7EF77}"/>
    <cellStyle name="Normal 4 2 2 4 2 2 6 3" xfId="11901" xr:uid="{79F9D7EE-F670-489D-85BE-30AA2FF13CCC}"/>
    <cellStyle name="Normal 4 2 2 4 2 2 7" xfId="4727" xr:uid="{00000000-0005-0000-0000-0000A7120000}"/>
    <cellStyle name="Normal 4 2 2 4 2 2 7 2" xfId="14053" xr:uid="{F07AA283-4C4F-4EA0-8BF7-44EF26108849}"/>
    <cellStyle name="Normal 4 2 2 4 2 2 8" xfId="9128" xr:uid="{3D9AD2A4-E3D1-4BAF-8F43-BFB1FE8E222D}"/>
    <cellStyle name="Normal 4 2 2 4 2 2 9" xfId="9836" xr:uid="{5D79EBBB-8C70-4D72-A284-B46C222EA84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CC060618-3167-40AD-8784-B357220D1448}"/>
    <cellStyle name="Normal 4 2 2 4 2 3 2 3" xfId="12393" xr:uid="{7D356FE0-C825-4B07-9A0E-380AFA7EAA5B}"/>
    <cellStyle name="Normal 4 2 2 4 2 3 3" xfId="5139" xr:uid="{00000000-0005-0000-0000-0000AB120000}"/>
    <cellStyle name="Normal 4 2 2 4 2 3 3 2" xfId="14465" xr:uid="{3582A02C-4A14-4B3B-8FB3-1C32D792983F}"/>
    <cellStyle name="Normal 4 2 2 4 2 3 4" xfId="9346" xr:uid="{11110DEC-01F5-467C-B0F9-3286FF7E57CB}"/>
    <cellStyle name="Normal 4 2 2 4 2 3 5" xfId="10248" xr:uid="{2803C454-36CB-44B7-A86D-67283909F641}"/>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814285B6-3C23-442A-A724-691665608D53}"/>
    <cellStyle name="Normal 4 2 2 4 2 4 2 3" xfId="12806" xr:uid="{A8FA9CE6-7017-40D7-AE7C-24B8D37A7297}"/>
    <cellStyle name="Normal 4 2 2 4 2 4 3" xfId="5552" xr:uid="{00000000-0005-0000-0000-0000AF120000}"/>
    <cellStyle name="Normal 4 2 2 4 2 4 3 2" xfId="14878" xr:uid="{1B6B1E3E-1945-47E6-9BFB-48CD62FF3DC5}"/>
    <cellStyle name="Normal 4 2 2 4 2 4 4" xfId="10661" xr:uid="{F80813C2-2BB5-4AB9-8574-52BB17285DAA}"/>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A8265B3B-F9C6-4C11-8EC6-278E7522EBAC}"/>
    <cellStyle name="Normal 4 2 2 4 2 5 2 3" xfId="13219" xr:uid="{C4536306-A313-40A1-8E72-418F3B1A3590}"/>
    <cellStyle name="Normal 4 2 2 4 2 5 3" xfId="5965" xr:uid="{00000000-0005-0000-0000-0000B3120000}"/>
    <cellStyle name="Normal 4 2 2 4 2 5 3 2" xfId="15291" xr:uid="{BE6A4401-93CE-45AE-A65F-5D37A10CC9DD}"/>
    <cellStyle name="Normal 4 2 2 4 2 5 4" xfId="11074" xr:uid="{B1C458DD-E0D5-41DC-9D34-344D5F779868}"/>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92E4EC54-603A-4CB9-9A81-034B5EEE7D5C}"/>
    <cellStyle name="Normal 4 2 2 4 2 6 2 3" xfId="13632" xr:uid="{6396E415-7CA5-4AB0-BD29-868BBEC38D3E}"/>
    <cellStyle name="Normal 4 2 2 4 2 6 3" xfId="6378" xr:uid="{00000000-0005-0000-0000-0000B7120000}"/>
    <cellStyle name="Normal 4 2 2 4 2 6 3 2" xfId="15704" xr:uid="{2658F7A7-29B0-4149-98FE-1708E5409876}"/>
    <cellStyle name="Normal 4 2 2 4 2 6 4" xfId="11487" xr:uid="{4EF12211-5BD2-4DE7-BCDD-652A3936467B}"/>
    <cellStyle name="Normal 4 2 2 4 2 7" xfId="2508" xr:uid="{00000000-0005-0000-0000-0000B8120000}"/>
    <cellStyle name="Normal 4 2 2 4 2 7 2" xfId="6791" xr:uid="{00000000-0005-0000-0000-0000B9120000}"/>
    <cellStyle name="Normal 4 2 2 4 2 7 2 2" xfId="16117" xr:uid="{4A477C12-1005-424B-AB66-1527163A2B75}"/>
    <cellStyle name="Normal 4 2 2 4 2 7 3" xfId="11900" xr:uid="{F141B438-12F3-4ACE-ABF8-ACD4455AEDFF}"/>
    <cellStyle name="Normal 4 2 2 4 2 8" xfId="4726" xr:uid="{00000000-0005-0000-0000-0000BA120000}"/>
    <cellStyle name="Normal 4 2 2 4 2 8 2" xfId="14052" xr:uid="{49482DCF-9C1A-4115-B21A-CFF2E0CD11BE}"/>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F49C1D14-43A4-4CEC-A972-A6AE78B10586}"/>
    <cellStyle name="Normal 4 2 2 4 3 2 2 3" xfId="12395" xr:uid="{BEE51600-9DCA-431F-983E-C3897ACCC002}"/>
    <cellStyle name="Normal 4 2 2 4 3 2 3" xfId="5141" xr:uid="{00000000-0005-0000-0000-0000BF120000}"/>
    <cellStyle name="Normal 4 2 2 4 3 2 3 2" xfId="14467" xr:uid="{B40DACAD-74C3-476F-A235-642F1F4501CC}"/>
    <cellStyle name="Normal 4 2 2 4 3 2 4" xfId="9450" xr:uid="{0F54578A-5DA3-4B6E-9E36-71CC7CD6BFE8}"/>
    <cellStyle name="Normal 4 2 2 4 3 2 5" xfId="10250" xr:uid="{049054DE-192B-430E-B9E0-0C4A4F33BE54}"/>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1D3DCCE9-7625-4A1D-B3BC-C1C983EBDC1A}"/>
    <cellStyle name="Normal 4 2 2 4 3 3 2 3" xfId="12808" xr:uid="{0DFDC55E-FCDE-4207-963E-79BB167D7348}"/>
    <cellStyle name="Normal 4 2 2 4 3 3 3" xfId="5554" xr:uid="{00000000-0005-0000-0000-0000C3120000}"/>
    <cellStyle name="Normal 4 2 2 4 3 3 3 2" xfId="14880" xr:uid="{CAED72AA-BDAA-4A62-BDC4-B192186CF694}"/>
    <cellStyle name="Normal 4 2 2 4 3 3 4" xfId="10663" xr:uid="{05F2C9F6-EAEB-44A3-9CB6-3C10C61A053E}"/>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58B5BA77-367A-42E1-809B-9C1326F6E289}"/>
    <cellStyle name="Normal 4 2 2 4 3 4 2 3" xfId="13221" xr:uid="{6CE57B9D-6E60-4BD8-B6C2-6B96FB8F9051}"/>
    <cellStyle name="Normal 4 2 2 4 3 4 3" xfId="5967" xr:uid="{00000000-0005-0000-0000-0000C7120000}"/>
    <cellStyle name="Normal 4 2 2 4 3 4 3 2" xfId="15293" xr:uid="{0CE96BFD-1BB6-4F30-9CDB-AEF303D603D4}"/>
    <cellStyle name="Normal 4 2 2 4 3 4 4" xfId="11076" xr:uid="{EECCD703-D674-46CE-A8F5-B2F59828BAD2}"/>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0B0442AE-B37C-4AE9-939F-6DA430B4CA45}"/>
    <cellStyle name="Normal 4 2 2 4 3 5 2 3" xfId="13634" xr:uid="{6FA1F4FA-147F-4D2C-951D-61E13905F4EB}"/>
    <cellStyle name="Normal 4 2 2 4 3 5 3" xfId="6380" xr:uid="{00000000-0005-0000-0000-0000CB120000}"/>
    <cellStyle name="Normal 4 2 2 4 3 5 3 2" xfId="15706" xr:uid="{CE429A4E-E5E6-47C7-B201-AD2C5861CDEF}"/>
    <cellStyle name="Normal 4 2 2 4 3 5 4" xfId="11489" xr:uid="{3C91703D-743A-4A2C-8A94-B90F0EBA18B3}"/>
    <cellStyle name="Normal 4 2 2 4 3 6" xfId="2510" xr:uid="{00000000-0005-0000-0000-0000CC120000}"/>
    <cellStyle name="Normal 4 2 2 4 3 6 2" xfId="6793" xr:uid="{00000000-0005-0000-0000-0000CD120000}"/>
    <cellStyle name="Normal 4 2 2 4 3 6 2 2" xfId="16119" xr:uid="{9CDB775D-8173-4A7F-92A5-49BD440CF475}"/>
    <cellStyle name="Normal 4 2 2 4 3 6 3" xfId="11902" xr:uid="{10D777F6-2019-4913-A878-431ADA88E9E0}"/>
    <cellStyle name="Normal 4 2 2 4 3 7" xfId="4728" xr:uid="{00000000-0005-0000-0000-0000CE120000}"/>
    <cellStyle name="Normal 4 2 2 4 3 7 2" xfId="14054" xr:uid="{0D5746DE-ABA6-4C1B-920E-B2930685AC8C}"/>
    <cellStyle name="Normal 4 2 2 4 3 8" xfId="9025" xr:uid="{436CB353-A916-4AB2-B5E2-8C1BDAEA1182}"/>
    <cellStyle name="Normal 4 2 2 4 3 9" xfId="9837" xr:uid="{DCF3C6E6-C0A4-4AD9-82BC-4FB42CD77068}"/>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77566098-38D1-4E18-9039-597114862C4C}"/>
    <cellStyle name="Normal 4 2 2 4 4 2 3" xfId="12392" xr:uid="{D6ED6F34-3DB6-4B8C-B9DB-506500339D89}"/>
    <cellStyle name="Normal 4 2 2 4 4 3" xfId="5138" xr:uid="{00000000-0005-0000-0000-0000D2120000}"/>
    <cellStyle name="Normal 4 2 2 4 4 3 2" xfId="14464" xr:uid="{F4C94CE0-DE85-48A7-94D5-62A5051D8C8B}"/>
    <cellStyle name="Normal 4 2 2 4 4 4" xfId="9243" xr:uid="{FD46A281-F5BE-478B-950E-209D1D56FC0E}"/>
    <cellStyle name="Normal 4 2 2 4 4 5" xfId="10247" xr:uid="{97E6C4C6-7CC9-47A2-B453-821793F9FC41}"/>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C71FD612-A67E-4FFF-BB2D-451C553D521A}"/>
    <cellStyle name="Normal 4 2 2 4 5 2 3" xfId="12805" xr:uid="{16CF9409-6736-48AA-BB1D-97E0D582E5A2}"/>
    <cellStyle name="Normal 4 2 2 4 5 3" xfId="5551" xr:uid="{00000000-0005-0000-0000-0000D6120000}"/>
    <cellStyle name="Normal 4 2 2 4 5 3 2" xfId="14877" xr:uid="{AAEFC52B-06B5-4E23-AF78-8EBA5D8015B3}"/>
    <cellStyle name="Normal 4 2 2 4 5 4" xfId="10660" xr:uid="{9EADD825-143E-4612-8BAF-628581976E41}"/>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A57018C8-4924-4ED9-8B23-6CF635228330}"/>
    <cellStyle name="Normal 4 2 2 4 6 2 3" xfId="13218" xr:uid="{9731A959-24D1-4B62-A867-212C8522D70B}"/>
    <cellStyle name="Normal 4 2 2 4 6 3" xfId="5964" xr:uid="{00000000-0005-0000-0000-0000DA120000}"/>
    <cellStyle name="Normal 4 2 2 4 6 3 2" xfId="15290" xr:uid="{0FADC4D5-118E-49E8-8126-8792CE9952D0}"/>
    <cellStyle name="Normal 4 2 2 4 6 4" xfId="11073" xr:uid="{AE19CAE2-22AC-411B-AB82-A5EACED59959}"/>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BE69DF5F-6925-4F39-834D-D60B736552BA}"/>
    <cellStyle name="Normal 4 2 2 4 7 2 3" xfId="13631" xr:uid="{FF77F286-5BF6-44BF-A123-F8CB1DD42BEA}"/>
    <cellStyle name="Normal 4 2 2 4 7 3" xfId="6377" xr:uid="{00000000-0005-0000-0000-0000DE120000}"/>
    <cellStyle name="Normal 4 2 2 4 7 3 2" xfId="15703" xr:uid="{9A8896CA-7FAF-45FF-A5FF-2EF1895F4E13}"/>
    <cellStyle name="Normal 4 2 2 4 7 4" xfId="11486" xr:uid="{3686ACC2-7F0D-445E-8F42-13FEC375B3E3}"/>
    <cellStyle name="Normal 4 2 2 4 8" xfId="2507" xr:uid="{00000000-0005-0000-0000-0000DF120000}"/>
    <cellStyle name="Normal 4 2 2 4 8 2" xfId="6790" xr:uid="{00000000-0005-0000-0000-0000E0120000}"/>
    <cellStyle name="Normal 4 2 2 4 8 2 2" xfId="16116" xr:uid="{E8FDF8C2-09B0-45D7-AF3D-6773CABEBDC8}"/>
    <cellStyle name="Normal 4 2 2 4 8 3" xfId="11899" xr:uid="{AD49F986-8715-4353-AC7B-5AEDDF7429A5}"/>
    <cellStyle name="Normal 4 2 2 4 9" xfId="4725" xr:uid="{00000000-0005-0000-0000-0000E1120000}"/>
    <cellStyle name="Normal 4 2 2 4 9 2" xfId="14051" xr:uid="{9C92B537-5CF8-4DF3-911F-E52225185A52}"/>
    <cellStyle name="Normal 4 2 2 5" xfId="351" xr:uid="{00000000-0005-0000-0000-0000E2120000}"/>
    <cellStyle name="Normal 4 2 2 5 10" xfId="9838" xr:uid="{20B7F92A-B65C-4536-9BE7-61BFB03E2F2C}"/>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A3F2A99B-CF6B-4448-9254-AC98A62FCB2F}"/>
    <cellStyle name="Normal 4 2 2 5 2 2 2 3" xfId="12397" xr:uid="{6A1E0267-9BC7-4875-959E-6525515C9400}"/>
    <cellStyle name="Normal 4 2 2 5 2 2 3" xfId="5143" xr:uid="{00000000-0005-0000-0000-0000E7120000}"/>
    <cellStyle name="Normal 4 2 2 5 2 2 3 2" xfId="14469" xr:uid="{FB8FE6CC-60B0-4049-8C55-D8A601266D1C}"/>
    <cellStyle name="Normal 4 2 2 5 2 2 4" xfId="9487" xr:uid="{83D2756E-B983-4EA9-AB48-FF4D3E821CE4}"/>
    <cellStyle name="Normal 4 2 2 5 2 2 5" xfId="10252" xr:uid="{972E1B78-BA55-47BA-A17B-204810CF2B11}"/>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A27B950F-2B3A-4712-95A6-06642B28206C}"/>
    <cellStyle name="Normal 4 2 2 5 2 3 2 3" xfId="12810" xr:uid="{A9E458A0-99CA-4885-A42D-D054E45C272E}"/>
    <cellStyle name="Normal 4 2 2 5 2 3 3" xfId="5556" xr:uid="{00000000-0005-0000-0000-0000EB120000}"/>
    <cellStyle name="Normal 4 2 2 5 2 3 3 2" xfId="14882" xr:uid="{0F99E707-D3F9-4A2C-BC51-51DC7BF6971C}"/>
    <cellStyle name="Normal 4 2 2 5 2 3 4" xfId="10665" xr:uid="{81F7E753-E551-44E9-9D33-2A11C66745F7}"/>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51B7D9F1-1E76-456E-9008-C9FDF7FB2236}"/>
    <cellStyle name="Normal 4 2 2 5 2 4 2 3" xfId="13223" xr:uid="{76D05E70-81F5-4F5D-A766-46BD149C458C}"/>
    <cellStyle name="Normal 4 2 2 5 2 4 3" xfId="5969" xr:uid="{00000000-0005-0000-0000-0000EF120000}"/>
    <cellStyle name="Normal 4 2 2 5 2 4 3 2" xfId="15295" xr:uid="{8C2A3DD8-97EE-4B81-B6B3-7391A6826840}"/>
    <cellStyle name="Normal 4 2 2 5 2 4 4" xfId="11078" xr:uid="{F6415F78-8CDF-4559-AAA2-204F5082E189}"/>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69D8E4E0-4D69-4181-BD7A-6976B5CEF26D}"/>
    <cellStyle name="Normal 4 2 2 5 2 5 2 3" xfId="13636" xr:uid="{34C6F881-9638-4319-9E6B-1AD99ED283D5}"/>
    <cellStyle name="Normal 4 2 2 5 2 5 3" xfId="6382" xr:uid="{00000000-0005-0000-0000-0000F3120000}"/>
    <cellStyle name="Normal 4 2 2 5 2 5 3 2" xfId="15708" xr:uid="{3263DA42-865E-478B-9979-020F28373CA9}"/>
    <cellStyle name="Normal 4 2 2 5 2 5 4" xfId="11491" xr:uid="{E5C10705-CB3F-44A5-8FF9-8505D28C20B7}"/>
    <cellStyle name="Normal 4 2 2 5 2 6" xfId="2512" xr:uid="{00000000-0005-0000-0000-0000F4120000}"/>
    <cellStyle name="Normal 4 2 2 5 2 6 2" xfId="6795" xr:uid="{00000000-0005-0000-0000-0000F5120000}"/>
    <cellStyle name="Normal 4 2 2 5 2 6 2 2" xfId="16121" xr:uid="{A65C117D-B574-4345-BAA1-7EF455568006}"/>
    <cellStyle name="Normal 4 2 2 5 2 6 3" xfId="11904" xr:uid="{57627F9A-B0DF-42A3-BD09-628EA8FFF7D3}"/>
    <cellStyle name="Normal 4 2 2 5 2 7" xfId="4730" xr:uid="{00000000-0005-0000-0000-0000F6120000}"/>
    <cellStyle name="Normal 4 2 2 5 2 7 2" xfId="14056" xr:uid="{54E127DF-A726-4D30-84F4-E0A6E9D2C44D}"/>
    <cellStyle name="Normal 4 2 2 5 2 8" xfId="9062" xr:uid="{FED54422-C2E5-44B3-AA7C-C6088F47A385}"/>
    <cellStyle name="Normal 4 2 2 5 2 9" xfId="9839" xr:uid="{1CEC8517-9BC9-4956-B2F6-2D14777D4D00}"/>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86B71908-2B43-461B-A74A-3EE46BBFEA75}"/>
    <cellStyle name="Normal 4 2 2 5 3 2 3" xfId="12396" xr:uid="{E629D3F7-40E1-4006-8CA5-8E88C881EECA}"/>
    <cellStyle name="Normal 4 2 2 5 3 3" xfId="5142" xr:uid="{00000000-0005-0000-0000-0000FA120000}"/>
    <cellStyle name="Normal 4 2 2 5 3 3 2" xfId="14468" xr:uid="{7BB6E685-F7EA-4FE8-90F0-3E8D90F3496D}"/>
    <cellStyle name="Normal 4 2 2 5 3 4" xfId="9280" xr:uid="{C70B18D8-E279-4D37-82EF-3177E9FA554F}"/>
    <cellStyle name="Normal 4 2 2 5 3 5" xfId="10251" xr:uid="{02BEDA66-F0C2-4E41-A283-DBABAF676461}"/>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BFAC59D0-3D97-4A5A-AC8B-D1896883231E}"/>
    <cellStyle name="Normal 4 2 2 5 4 2 3" xfId="12809" xr:uid="{515DE194-BD2C-479E-B9F8-CAD8D7C119B9}"/>
    <cellStyle name="Normal 4 2 2 5 4 3" xfId="5555" xr:uid="{00000000-0005-0000-0000-0000FE120000}"/>
    <cellStyle name="Normal 4 2 2 5 4 3 2" xfId="14881" xr:uid="{2C36BF6C-DEB2-4C3D-8915-D1292112A70D}"/>
    <cellStyle name="Normal 4 2 2 5 4 4" xfId="10664" xr:uid="{52D55607-31A4-4494-81C5-15827C7A7F77}"/>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3BCFB789-2D70-4D1A-8EE6-D9B34C8D1517}"/>
    <cellStyle name="Normal 4 2 2 5 5 2 3" xfId="13222" xr:uid="{73D5146D-6217-484C-B585-A66AE949D156}"/>
    <cellStyle name="Normal 4 2 2 5 5 3" xfId="5968" xr:uid="{00000000-0005-0000-0000-000002130000}"/>
    <cellStyle name="Normal 4 2 2 5 5 3 2" xfId="15294" xr:uid="{DB319149-543D-417D-816B-C3014D2226A5}"/>
    <cellStyle name="Normal 4 2 2 5 5 4" xfId="11077" xr:uid="{111DE5FF-63C5-4A15-A364-86ABD6F950E7}"/>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53D68F4B-FEDF-4889-818F-7C3AA902EB19}"/>
    <cellStyle name="Normal 4 2 2 5 6 2 3" xfId="13635" xr:uid="{3592D6C8-D1DE-4E59-8D5C-7AE59AB6EC88}"/>
    <cellStyle name="Normal 4 2 2 5 6 3" xfId="6381" xr:uid="{00000000-0005-0000-0000-000006130000}"/>
    <cellStyle name="Normal 4 2 2 5 6 3 2" xfId="15707" xr:uid="{49DA62A8-6BCD-4228-A0BF-B5947E4BE0A7}"/>
    <cellStyle name="Normal 4 2 2 5 6 4" xfId="11490" xr:uid="{F5312E7B-5413-4670-A08E-FB86EFAEBD23}"/>
    <cellStyle name="Normal 4 2 2 5 7" xfId="2511" xr:uid="{00000000-0005-0000-0000-000007130000}"/>
    <cellStyle name="Normal 4 2 2 5 7 2" xfId="6794" xr:uid="{00000000-0005-0000-0000-000008130000}"/>
    <cellStyle name="Normal 4 2 2 5 7 2 2" xfId="16120" xr:uid="{04D63968-0758-4445-96DA-747BF0F64B4E}"/>
    <cellStyle name="Normal 4 2 2 5 7 3" xfId="11903" xr:uid="{D806F3C6-E0C3-4539-9B19-22C00EB23A10}"/>
    <cellStyle name="Normal 4 2 2 5 8" xfId="4729" xr:uid="{00000000-0005-0000-0000-000009130000}"/>
    <cellStyle name="Normal 4 2 2 5 8 2" xfId="14055" xr:uid="{0CF0A4B4-DB4D-441E-AACD-7ED915A5FFDD}"/>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47335032-94BE-4711-8A2C-98D00173B6C5}"/>
    <cellStyle name="Normal 4 2 2 6 2 2 3" xfId="12398" xr:uid="{3233A369-6DB2-4455-967A-A48C0E87F7BE}"/>
    <cellStyle name="Normal 4 2 2 6 2 3" xfId="5144" xr:uid="{00000000-0005-0000-0000-00000E130000}"/>
    <cellStyle name="Normal 4 2 2 6 2 3 2" xfId="14470" xr:uid="{56B753CE-154F-4619-9CE1-8C18EE8D1B95}"/>
    <cellStyle name="Normal 4 2 2 6 2 4" xfId="9396" xr:uid="{5B10E6C6-987A-4149-BB81-321A07C7666F}"/>
    <cellStyle name="Normal 4 2 2 6 2 5" xfId="10253" xr:uid="{CEE4F485-FB4A-4814-93BA-9B1B3B2D8B55}"/>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513B8C00-B5F2-4725-8D54-2D44700E09D4}"/>
    <cellStyle name="Normal 4 2 2 6 3 2 3" xfId="12811" xr:uid="{77A85A8C-C0B9-4702-9CD0-CA355B4F3954}"/>
    <cellStyle name="Normal 4 2 2 6 3 3" xfId="5557" xr:uid="{00000000-0005-0000-0000-000012130000}"/>
    <cellStyle name="Normal 4 2 2 6 3 3 2" xfId="14883" xr:uid="{C62B1D75-7D8B-438A-A905-B867F516E90E}"/>
    <cellStyle name="Normal 4 2 2 6 3 4" xfId="10666" xr:uid="{530B9DB7-581B-4D40-B99C-130A9C83594C}"/>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A0D3CA5B-5B87-44D0-A6F0-C722FC98A85D}"/>
    <cellStyle name="Normal 4 2 2 6 4 2 3" xfId="13224" xr:uid="{966051A1-785C-4C7C-B081-46F75180E18E}"/>
    <cellStyle name="Normal 4 2 2 6 4 3" xfId="5970" xr:uid="{00000000-0005-0000-0000-000016130000}"/>
    <cellStyle name="Normal 4 2 2 6 4 3 2" xfId="15296" xr:uid="{36AFC88A-6E8A-4B8B-BAB5-7EF2193B2008}"/>
    <cellStyle name="Normal 4 2 2 6 4 4" xfId="11079" xr:uid="{DAA9F719-3B91-4E65-9007-5F56313757D7}"/>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D2B2C4A4-F0F4-4724-A5C1-92A3E2FC53B7}"/>
    <cellStyle name="Normal 4 2 2 6 5 2 3" xfId="13637" xr:uid="{289D4DA1-D53A-4A98-82EE-FA6C0FB4C0A4}"/>
    <cellStyle name="Normal 4 2 2 6 5 3" xfId="6383" xr:uid="{00000000-0005-0000-0000-00001A130000}"/>
    <cellStyle name="Normal 4 2 2 6 5 3 2" xfId="15709" xr:uid="{F91FB73D-DA9D-456F-A6F3-CDE4A7CC7C60}"/>
    <cellStyle name="Normal 4 2 2 6 5 4" xfId="11492" xr:uid="{C0468E84-4BE1-4BF9-B25D-33E41B9AB530}"/>
    <cellStyle name="Normal 4 2 2 6 6" xfId="2513" xr:uid="{00000000-0005-0000-0000-00001B130000}"/>
    <cellStyle name="Normal 4 2 2 6 6 2" xfId="6796" xr:uid="{00000000-0005-0000-0000-00001C130000}"/>
    <cellStyle name="Normal 4 2 2 6 6 2 2" xfId="16122" xr:uid="{8F1902BA-340B-41E2-ADB8-4A1F168CDB95}"/>
    <cellStyle name="Normal 4 2 2 6 6 3" xfId="11905" xr:uid="{812B358A-BDC2-424E-95D9-F7737CA48D2E}"/>
    <cellStyle name="Normal 4 2 2 6 7" xfId="4731" xr:uid="{00000000-0005-0000-0000-00001D130000}"/>
    <cellStyle name="Normal 4 2 2 6 7 2" xfId="14057" xr:uid="{09F7A034-AB82-4CA6-BE40-633FC8501A58}"/>
    <cellStyle name="Normal 4 2 2 6 8" xfId="8971" xr:uid="{7BBA3CD4-2D32-439A-A2D5-9F7EB5E5A47E}"/>
    <cellStyle name="Normal 4 2 2 6 9" xfId="9840" xr:uid="{080B1D9D-BD12-4AFC-8BB8-2965F7D84780}"/>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23CF0F63-6022-403E-8A37-E0B0972FB2D3}"/>
    <cellStyle name="Normal 4 2 2 7 2 3" xfId="12383" xr:uid="{BEA11C7B-E69E-43ED-BF41-024B404026C2}"/>
    <cellStyle name="Normal 4 2 2 7 3" xfId="5129" xr:uid="{00000000-0005-0000-0000-000021130000}"/>
    <cellStyle name="Normal 4 2 2 7 3 2" xfId="14455" xr:uid="{E26AFA3A-CE4A-4EC1-870E-BC9B543F61A5}"/>
    <cellStyle name="Normal 4 2 2 7 4" xfId="9174" xr:uid="{5FB177AF-8B2E-4B7E-A1B7-4F6E323AF880}"/>
    <cellStyle name="Normal 4 2 2 7 5" xfId="10238" xr:uid="{C80E7A4F-B65D-48B5-ABCD-AB524DBF9B5D}"/>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0BEB6053-EC64-455F-BA80-84BE0842ACE9}"/>
    <cellStyle name="Normal 4 2 2 8 2 3" xfId="12796" xr:uid="{9C17815F-D86F-4013-A35D-F5D7A767A0D7}"/>
    <cellStyle name="Normal 4 2 2 8 3" xfId="5542" xr:uid="{00000000-0005-0000-0000-000025130000}"/>
    <cellStyle name="Normal 4 2 2 8 3 2" xfId="14868" xr:uid="{4F944C54-4404-48B6-9E9B-D8C267DC4973}"/>
    <cellStyle name="Normal 4 2 2 8 4" xfId="10651" xr:uid="{DA63C261-7FB1-4268-BED1-7F137D36DA17}"/>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DA108E1C-BE94-44A5-9857-6BA453AF38E4}"/>
    <cellStyle name="Normal 4 2 2 9 2 3" xfId="13209" xr:uid="{1CB1724C-7A97-41A2-A271-342F2792E698}"/>
    <cellStyle name="Normal 4 2 2 9 3" xfId="5955" xr:uid="{00000000-0005-0000-0000-000029130000}"/>
    <cellStyle name="Normal 4 2 2 9 3 2" xfId="15281" xr:uid="{BA81CAFE-FEF3-4FD4-BA84-AD00003CA146}"/>
    <cellStyle name="Normal 4 2 2 9 4" xfId="11064" xr:uid="{08B4E61E-C2CC-46EE-8BE9-6DABB09A3880}"/>
    <cellStyle name="Normal 4 2 3" xfId="354" xr:uid="{00000000-0005-0000-0000-00002A130000}"/>
    <cellStyle name="Normal 4 2 4" xfId="355" xr:uid="{00000000-0005-0000-0000-00002B130000}"/>
    <cellStyle name="Normal 4 2 4 10" xfId="4732" xr:uid="{00000000-0005-0000-0000-00002C130000}"/>
    <cellStyle name="Normal 4 2 4 10 2" xfId="14058" xr:uid="{31429679-49CF-4613-BDD0-54AB98BAB138}"/>
    <cellStyle name="Normal 4 2 4 11" xfId="8775" xr:uid="{7AC259AB-9C32-4DC1-A787-2E2187A7C2D6}"/>
    <cellStyle name="Normal 4 2 4 12" xfId="9841" xr:uid="{A778AE6A-2A26-4191-9F65-1DEF4F9831BC}"/>
    <cellStyle name="Normal 4 2 4 2" xfId="356" xr:uid="{00000000-0005-0000-0000-00002D130000}"/>
    <cellStyle name="Normal 4 2 4 2 10" xfId="8820" xr:uid="{8B50D4F4-4786-467C-8322-69D665B73C2B}"/>
    <cellStyle name="Normal 4 2 4 2 11" xfId="9842" xr:uid="{3A5B36C9-60C8-4B89-A30F-C42EE78C04EA}"/>
    <cellStyle name="Normal 4 2 4 2 2" xfId="357" xr:uid="{00000000-0005-0000-0000-00002E130000}"/>
    <cellStyle name="Normal 4 2 4 2 2 10" xfId="9843" xr:uid="{30227C0B-4F74-4697-AA13-F82DBD27BB1A}"/>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38F14FD3-570C-498C-9E0C-B0365965BDE2}"/>
    <cellStyle name="Normal 4 2 4 2 2 2 2 2 3" xfId="12402" xr:uid="{D13FC102-84C9-408D-A58C-1B1093A6E392}"/>
    <cellStyle name="Normal 4 2 4 2 2 2 2 3" xfId="5148" xr:uid="{00000000-0005-0000-0000-000033130000}"/>
    <cellStyle name="Normal 4 2 4 2 2 2 2 3 2" xfId="14474" xr:uid="{167FCE1F-14F9-44EB-A90D-70E01AD3B51B}"/>
    <cellStyle name="Normal 4 2 4 2 2 2 2 4" xfId="9555" xr:uid="{31AE7BD4-4F26-4658-9939-15FCE733560E}"/>
    <cellStyle name="Normal 4 2 4 2 2 2 2 5" xfId="10257" xr:uid="{1B4EC22F-1B08-4ED5-81F9-B5825CDDCF59}"/>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3CC1E5FF-9F8F-4E4A-B65B-751BB1FE2BD9}"/>
    <cellStyle name="Normal 4 2 4 2 2 2 3 2 3" xfId="12815" xr:uid="{104D9BFE-5879-41FB-A11E-C970A97C7FA8}"/>
    <cellStyle name="Normal 4 2 4 2 2 2 3 3" xfId="5561" xr:uid="{00000000-0005-0000-0000-000037130000}"/>
    <cellStyle name="Normal 4 2 4 2 2 2 3 3 2" xfId="14887" xr:uid="{157A13CE-0D2C-4492-A359-8FBBA6F19B86}"/>
    <cellStyle name="Normal 4 2 4 2 2 2 3 4" xfId="10670" xr:uid="{F442CD22-B1EB-44B7-BDC1-D8CB0559DFAD}"/>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E0F8C4FD-9628-4E4F-94DA-DA2CA235A809}"/>
    <cellStyle name="Normal 4 2 4 2 2 2 4 2 3" xfId="13228" xr:uid="{61CD03F2-99B0-415B-9D13-2578B81A6BEA}"/>
    <cellStyle name="Normal 4 2 4 2 2 2 4 3" xfId="5974" xr:uid="{00000000-0005-0000-0000-00003B130000}"/>
    <cellStyle name="Normal 4 2 4 2 2 2 4 3 2" xfId="15300" xr:uid="{E7AB5C7E-F44F-49BF-9A1A-487BF674727E}"/>
    <cellStyle name="Normal 4 2 4 2 2 2 4 4" xfId="11083" xr:uid="{BE4375B3-6F33-45EB-ABCD-F5B4B3AAA97F}"/>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506F09D4-3206-440E-8EED-439E08AC69E0}"/>
    <cellStyle name="Normal 4 2 4 2 2 2 5 2 3" xfId="13641" xr:uid="{F34C6088-550E-4A53-9DB9-72907B836AD2}"/>
    <cellStyle name="Normal 4 2 4 2 2 2 5 3" xfId="6387" xr:uid="{00000000-0005-0000-0000-00003F130000}"/>
    <cellStyle name="Normal 4 2 4 2 2 2 5 3 2" xfId="15713" xr:uid="{DEE412E0-C104-44ED-8E55-0CCE65224F2E}"/>
    <cellStyle name="Normal 4 2 4 2 2 2 5 4" xfId="11496" xr:uid="{57AEBDF1-595E-4603-87CD-B48FFC63AB22}"/>
    <cellStyle name="Normal 4 2 4 2 2 2 6" xfId="2517" xr:uid="{00000000-0005-0000-0000-000040130000}"/>
    <cellStyle name="Normal 4 2 4 2 2 2 6 2" xfId="6800" xr:uid="{00000000-0005-0000-0000-000041130000}"/>
    <cellStyle name="Normal 4 2 4 2 2 2 6 2 2" xfId="16126" xr:uid="{DC8C519E-0035-4353-9BA9-501E3AB9E6E8}"/>
    <cellStyle name="Normal 4 2 4 2 2 2 6 3" xfId="11909" xr:uid="{A1B2DD99-D407-4065-9B1F-DBC06133AD62}"/>
    <cellStyle name="Normal 4 2 4 2 2 2 7" xfId="4735" xr:uid="{00000000-0005-0000-0000-000042130000}"/>
    <cellStyle name="Normal 4 2 4 2 2 2 7 2" xfId="14061" xr:uid="{5C033D6B-8397-473B-9BC9-5DD1175701B4}"/>
    <cellStyle name="Normal 4 2 4 2 2 2 8" xfId="9130" xr:uid="{E4AAEB37-D6CE-4BD9-A166-BE52F754DAC4}"/>
    <cellStyle name="Normal 4 2 4 2 2 2 9" xfId="9844" xr:uid="{7FEF169C-2C50-4DD5-83AF-B63D06C34E08}"/>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4613282B-C475-4DCC-9D3C-327B4E244925}"/>
    <cellStyle name="Normal 4 2 4 2 2 3 2 3" xfId="12401" xr:uid="{6B4CAC03-5093-41FD-9558-E90D670A3FCF}"/>
    <cellStyle name="Normal 4 2 4 2 2 3 3" xfId="5147" xr:uid="{00000000-0005-0000-0000-000046130000}"/>
    <cellStyle name="Normal 4 2 4 2 2 3 3 2" xfId="14473" xr:uid="{9F3B4741-9CCB-48A1-9EDC-C4770D0F3FC7}"/>
    <cellStyle name="Normal 4 2 4 2 2 3 4" xfId="9348" xr:uid="{E9E52CF6-B3CF-482F-B496-A22B0452951D}"/>
    <cellStyle name="Normal 4 2 4 2 2 3 5" xfId="10256" xr:uid="{AC5B4403-007A-4CE3-A024-C1697B848DDA}"/>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D9C7C3A6-B9D3-48B8-9CCA-F19A5DCBC6D0}"/>
    <cellStyle name="Normal 4 2 4 2 2 4 2 3" xfId="12814" xr:uid="{73EE6B8B-0EFE-4551-9A01-F41DF688B350}"/>
    <cellStyle name="Normal 4 2 4 2 2 4 3" xfId="5560" xr:uid="{00000000-0005-0000-0000-00004A130000}"/>
    <cellStyle name="Normal 4 2 4 2 2 4 3 2" xfId="14886" xr:uid="{A5155312-B0BB-438D-875E-AAB73CB8B7F0}"/>
    <cellStyle name="Normal 4 2 4 2 2 4 4" xfId="10669" xr:uid="{BFAC10CB-9020-4E36-BC9D-1AD3BF54A983}"/>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ADDF5C56-14B8-405C-94D4-D837CF130286}"/>
    <cellStyle name="Normal 4 2 4 2 2 5 2 3" xfId="13227" xr:uid="{AEC5F8B1-6A45-45FA-979C-961C6ED4C142}"/>
    <cellStyle name="Normal 4 2 4 2 2 5 3" xfId="5973" xr:uid="{00000000-0005-0000-0000-00004E130000}"/>
    <cellStyle name="Normal 4 2 4 2 2 5 3 2" xfId="15299" xr:uid="{B1596896-64AA-4EDA-AAF0-ABD514E2FE27}"/>
    <cellStyle name="Normal 4 2 4 2 2 5 4" xfId="11082" xr:uid="{0E201988-AA7C-4BAA-9E41-53A76688867B}"/>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445B2F17-3F54-49D0-89F5-9E1E33036A56}"/>
    <cellStyle name="Normal 4 2 4 2 2 6 2 3" xfId="13640" xr:uid="{5C9E6BB5-BF81-4A00-A574-71ADB4B85A2E}"/>
    <cellStyle name="Normal 4 2 4 2 2 6 3" xfId="6386" xr:uid="{00000000-0005-0000-0000-000052130000}"/>
    <cellStyle name="Normal 4 2 4 2 2 6 3 2" xfId="15712" xr:uid="{EF02C417-4BF7-4D8F-94CA-C15DD43A2229}"/>
    <cellStyle name="Normal 4 2 4 2 2 6 4" xfId="11495" xr:uid="{12E4CC60-2080-45B1-98B4-7729A3C50271}"/>
    <cellStyle name="Normal 4 2 4 2 2 7" xfId="2516" xr:uid="{00000000-0005-0000-0000-000053130000}"/>
    <cellStyle name="Normal 4 2 4 2 2 7 2" xfId="6799" xr:uid="{00000000-0005-0000-0000-000054130000}"/>
    <cellStyle name="Normal 4 2 4 2 2 7 2 2" xfId="16125" xr:uid="{02D5A11C-91F9-41FF-8E85-43ABC2870F71}"/>
    <cellStyle name="Normal 4 2 4 2 2 7 3" xfId="11908" xr:uid="{420836D5-6066-4503-B507-D9B86B64DCFC}"/>
    <cellStyle name="Normal 4 2 4 2 2 8" xfId="4734" xr:uid="{00000000-0005-0000-0000-000055130000}"/>
    <cellStyle name="Normal 4 2 4 2 2 8 2" xfId="14060" xr:uid="{E02A5F77-13FC-4069-9675-6FD12E9DF4C1}"/>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4D13CBA5-2631-44A3-92CF-8C63C9335478}"/>
    <cellStyle name="Normal 4 2 4 2 3 2 2 3" xfId="12403" xr:uid="{2AD4A777-B1AE-4C10-B3A5-3C596EC8EB9F}"/>
    <cellStyle name="Normal 4 2 4 2 3 2 3" xfId="5149" xr:uid="{00000000-0005-0000-0000-00005A130000}"/>
    <cellStyle name="Normal 4 2 4 2 3 2 3 2" xfId="14475" xr:uid="{C49D6ABB-E134-4C73-8A6A-CC6DD91103E7}"/>
    <cellStyle name="Normal 4 2 4 2 3 2 4" xfId="9452" xr:uid="{58F46659-8F00-4705-8554-54AEBE9B8A77}"/>
    <cellStyle name="Normal 4 2 4 2 3 2 5" xfId="10258" xr:uid="{F40357D9-CB0F-4862-A616-5E06641EEB3B}"/>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1409E4B2-090C-4D44-A4DC-28101E643C98}"/>
    <cellStyle name="Normal 4 2 4 2 3 3 2 3" xfId="12816" xr:uid="{0F8C0744-593B-4706-8A93-F6163518F4AA}"/>
    <cellStyle name="Normal 4 2 4 2 3 3 3" xfId="5562" xr:uid="{00000000-0005-0000-0000-00005E130000}"/>
    <cellStyle name="Normal 4 2 4 2 3 3 3 2" xfId="14888" xr:uid="{40A1DB2F-32B0-490F-9E6B-24EFF2FDB85C}"/>
    <cellStyle name="Normal 4 2 4 2 3 3 4" xfId="10671" xr:uid="{98908FB2-36C4-4CC8-AA2A-E4592E41EB7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9501A8FF-C703-4651-B670-F6A153DC5A90}"/>
    <cellStyle name="Normal 4 2 4 2 3 4 2 3" xfId="13229" xr:uid="{5E2951A2-E479-471E-9321-9ED4DF7D0680}"/>
    <cellStyle name="Normal 4 2 4 2 3 4 3" xfId="5975" xr:uid="{00000000-0005-0000-0000-000062130000}"/>
    <cellStyle name="Normal 4 2 4 2 3 4 3 2" xfId="15301" xr:uid="{DF80902C-ECE2-47DD-B9C7-A28FE4BD0D00}"/>
    <cellStyle name="Normal 4 2 4 2 3 4 4" xfId="11084" xr:uid="{F2106285-93F7-475D-85EB-18E548B57167}"/>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CF503A56-CA5D-4F8E-874D-C9B344E24367}"/>
    <cellStyle name="Normal 4 2 4 2 3 5 2 3" xfId="13642" xr:uid="{17D09F99-BD83-4ED6-99AC-32BD2A5F5A74}"/>
    <cellStyle name="Normal 4 2 4 2 3 5 3" xfId="6388" xr:uid="{00000000-0005-0000-0000-000066130000}"/>
    <cellStyle name="Normal 4 2 4 2 3 5 3 2" xfId="15714" xr:uid="{7FA84DE9-9AF5-43AF-8856-12163B801057}"/>
    <cellStyle name="Normal 4 2 4 2 3 5 4" xfId="11497" xr:uid="{E1F8FE71-98CC-4F83-B1D8-F1D1C0683429}"/>
    <cellStyle name="Normal 4 2 4 2 3 6" xfId="2518" xr:uid="{00000000-0005-0000-0000-000067130000}"/>
    <cellStyle name="Normal 4 2 4 2 3 6 2" xfId="6801" xr:uid="{00000000-0005-0000-0000-000068130000}"/>
    <cellStyle name="Normal 4 2 4 2 3 6 2 2" xfId="16127" xr:uid="{38B8EB1B-0F47-4191-8A44-4DF96BAB5525}"/>
    <cellStyle name="Normal 4 2 4 2 3 6 3" xfId="11910" xr:uid="{0DC0E55D-3F11-498E-9F08-2363FEB69BF2}"/>
    <cellStyle name="Normal 4 2 4 2 3 7" xfId="4736" xr:uid="{00000000-0005-0000-0000-000069130000}"/>
    <cellStyle name="Normal 4 2 4 2 3 7 2" xfId="14062" xr:uid="{D5BE738B-F465-484D-9BFD-B76CB0F4E74C}"/>
    <cellStyle name="Normal 4 2 4 2 3 8" xfId="9027" xr:uid="{DA430019-E492-48BB-ACD5-5BE853C50FBC}"/>
    <cellStyle name="Normal 4 2 4 2 3 9" xfId="9845" xr:uid="{06A571E9-20E2-47C7-BDAF-778D4EF55A9B}"/>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B2697F10-F658-44BB-85CA-CDCA901BCD84}"/>
    <cellStyle name="Normal 4 2 4 2 4 2 3" xfId="12400" xr:uid="{0298A5F9-9D06-4DB5-B38F-19A62303409E}"/>
    <cellStyle name="Normal 4 2 4 2 4 3" xfId="5146" xr:uid="{00000000-0005-0000-0000-00006D130000}"/>
    <cellStyle name="Normal 4 2 4 2 4 3 2" xfId="14472" xr:uid="{E667E7CC-1C50-42E7-A4FC-7669525632F9}"/>
    <cellStyle name="Normal 4 2 4 2 4 4" xfId="9245" xr:uid="{A0383DD8-843E-4601-922A-5CDD979D0589}"/>
    <cellStyle name="Normal 4 2 4 2 4 5" xfId="10255" xr:uid="{F0809F30-F387-494B-85F7-B840BD484BC0}"/>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8400223D-AFE2-4CD9-8DC3-5BC307C5CB1C}"/>
    <cellStyle name="Normal 4 2 4 2 5 2 3" xfId="12813" xr:uid="{8F5D4D4F-DEA0-4C67-A6EE-748C17A3FF68}"/>
    <cellStyle name="Normal 4 2 4 2 5 3" xfId="5559" xr:uid="{00000000-0005-0000-0000-000071130000}"/>
    <cellStyle name="Normal 4 2 4 2 5 3 2" xfId="14885" xr:uid="{4BAA265B-E093-42FD-9BCD-35129FBAEC14}"/>
    <cellStyle name="Normal 4 2 4 2 5 4" xfId="10668" xr:uid="{E3DAD705-0F99-43E0-822E-76924B7C5135}"/>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8063E57B-9798-4AF9-A0B9-053A231ECA9B}"/>
    <cellStyle name="Normal 4 2 4 2 6 2 3" xfId="13226" xr:uid="{DE3E670F-A896-4A22-AD89-3B1E272F7731}"/>
    <cellStyle name="Normal 4 2 4 2 6 3" xfId="5972" xr:uid="{00000000-0005-0000-0000-000075130000}"/>
    <cellStyle name="Normal 4 2 4 2 6 3 2" xfId="15298" xr:uid="{CA994D4D-5EC6-43F3-BAD1-30439C262079}"/>
    <cellStyle name="Normal 4 2 4 2 6 4" xfId="11081" xr:uid="{2011AD0B-E8DD-421D-88CC-12C610236B92}"/>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06B42942-5102-46DC-A5FF-80D9C8BABD51}"/>
    <cellStyle name="Normal 4 2 4 2 7 2 3" xfId="13639" xr:uid="{4030430F-DA53-4DF2-8574-3426EF2E126C}"/>
    <cellStyle name="Normal 4 2 4 2 7 3" xfId="6385" xr:uid="{00000000-0005-0000-0000-000079130000}"/>
    <cellStyle name="Normal 4 2 4 2 7 3 2" xfId="15711" xr:uid="{F20FD8AF-32E5-4EEF-A0AE-CFED4305965F}"/>
    <cellStyle name="Normal 4 2 4 2 7 4" xfId="11494" xr:uid="{D4C19566-9C13-4C0F-B5A3-A57AE04E55CE}"/>
    <cellStyle name="Normal 4 2 4 2 8" xfId="2515" xr:uid="{00000000-0005-0000-0000-00007A130000}"/>
    <cellStyle name="Normal 4 2 4 2 8 2" xfId="6798" xr:uid="{00000000-0005-0000-0000-00007B130000}"/>
    <cellStyle name="Normal 4 2 4 2 8 2 2" xfId="16124" xr:uid="{A58BC761-B007-41F5-BFD2-236E7D6B6061}"/>
    <cellStyle name="Normal 4 2 4 2 8 3" xfId="11907" xr:uid="{A141A657-2416-4B38-B691-B0D9124691ED}"/>
    <cellStyle name="Normal 4 2 4 2 9" xfId="4733" xr:uid="{00000000-0005-0000-0000-00007C130000}"/>
    <cellStyle name="Normal 4 2 4 2 9 2" xfId="14059" xr:uid="{03E95421-4662-4BD5-8D58-0BD8FD94136D}"/>
    <cellStyle name="Normal 4 2 4 3" xfId="360" xr:uid="{00000000-0005-0000-0000-00007D130000}"/>
    <cellStyle name="Normal 4 2 4 3 10" xfId="9846" xr:uid="{1AD5F946-9AA0-4D0C-B0CC-BB8CA3395B84}"/>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FE78E0F6-CE03-43F4-884E-1222658839AF}"/>
    <cellStyle name="Normal 4 2 4 3 2 2 2 3" xfId="12405" xr:uid="{497B20D7-8BEB-4CE6-9243-61867ED37E8D}"/>
    <cellStyle name="Normal 4 2 4 3 2 2 3" xfId="5151" xr:uid="{00000000-0005-0000-0000-000082130000}"/>
    <cellStyle name="Normal 4 2 4 3 2 2 3 2" xfId="14477" xr:uid="{92480C5D-045B-4140-9CF6-64883CFAF5ED}"/>
    <cellStyle name="Normal 4 2 4 3 2 2 4" xfId="9510" xr:uid="{AA534F18-B7F5-44D9-AE7D-03E6DE45E4F9}"/>
    <cellStyle name="Normal 4 2 4 3 2 2 5" xfId="10260" xr:uid="{58DD6524-3C79-4849-8368-35CBC70A74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99D8156B-ACA4-4D8A-9B03-C1CA5C198C54}"/>
    <cellStyle name="Normal 4 2 4 3 2 3 2 3" xfId="12818" xr:uid="{33D7759B-E9A5-4FC8-94D7-0BB63675D0B1}"/>
    <cellStyle name="Normal 4 2 4 3 2 3 3" xfId="5564" xr:uid="{00000000-0005-0000-0000-000086130000}"/>
    <cellStyle name="Normal 4 2 4 3 2 3 3 2" xfId="14890" xr:uid="{16EC68A5-5432-492F-947A-4A2EABDEFEC9}"/>
    <cellStyle name="Normal 4 2 4 3 2 3 4" xfId="10673" xr:uid="{DFB280B7-8DBE-4B05-8BFC-E8A909F46A6F}"/>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063D7CE2-C69A-46AB-967D-A94CAB13BABB}"/>
    <cellStyle name="Normal 4 2 4 3 2 4 2 3" xfId="13231" xr:uid="{B0FA49A8-39A3-4037-AC37-FE30CC1EB2FF}"/>
    <cellStyle name="Normal 4 2 4 3 2 4 3" xfId="5977" xr:uid="{00000000-0005-0000-0000-00008A130000}"/>
    <cellStyle name="Normal 4 2 4 3 2 4 3 2" xfId="15303" xr:uid="{57204EA5-E008-40AF-8671-A35D3C1081F7}"/>
    <cellStyle name="Normal 4 2 4 3 2 4 4" xfId="11086" xr:uid="{A3C92400-834A-42DD-B05C-20849EA16BE6}"/>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7BF5CD80-16E5-4830-AAD2-BB83ABFC1424}"/>
    <cellStyle name="Normal 4 2 4 3 2 5 2 3" xfId="13644" xr:uid="{01641021-F467-47BB-AD46-ECB32E62A6DE}"/>
    <cellStyle name="Normal 4 2 4 3 2 5 3" xfId="6390" xr:uid="{00000000-0005-0000-0000-00008E130000}"/>
    <cellStyle name="Normal 4 2 4 3 2 5 3 2" xfId="15716" xr:uid="{463373C4-43B9-4BC4-BAAF-F1F9B52B60F9}"/>
    <cellStyle name="Normal 4 2 4 3 2 5 4" xfId="11499" xr:uid="{E54249A5-8ADA-48D1-99F3-087365AC5EF3}"/>
    <cellStyle name="Normal 4 2 4 3 2 6" xfId="2520" xr:uid="{00000000-0005-0000-0000-00008F130000}"/>
    <cellStyle name="Normal 4 2 4 3 2 6 2" xfId="6803" xr:uid="{00000000-0005-0000-0000-000090130000}"/>
    <cellStyle name="Normal 4 2 4 3 2 6 2 2" xfId="16129" xr:uid="{438CE380-BACF-46F1-84D6-190732071314}"/>
    <cellStyle name="Normal 4 2 4 3 2 6 3" xfId="11912" xr:uid="{C9B45820-7C35-4E9D-B721-07C53B070642}"/>
    <cellStyle name="Normal 4 2 4 3 2 7" xfId="4738" xr:uid="{00000000-0005-0000-0000-000091130000}"/>
    <cellStyle name="Normal 4 2 4 3 2 7 2" xfId="14064" xr:uid="{41BF76B0-ADD2-41CC-9F32-7E5AAA1E9511}"/>
    <cellStyle name="Normal 4 2 4 3 2 8" xfId="9085" xr:uid="{0181E53C-86DC-4588-8447-D559FCF01541}"/>
    <cellStyle name="Normal 4 2 4 3 2 9" xfId="9847" xr:uid="{F82AAFA8-B9D5-4993-A96E-0F35D6781044}"/>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CFB0E43F-9BC2-4CE7-BA07-6FCA950F0C82}"/>
    <cellStyle name="Normal 4 2 4 3 3 2 3" xfId="12404" xr:uid="{B3E7D963-BACE-415C-8BD3-B21ABB65FD3B}"/>
    <cellStyle name="Normal 4 2 4 3 3 3" xfId="5150" xr:uid="{00000000-0005-0000-0000-000095130000}"/>
    <cellStyle name="Normal 4 2 4 3 3 3 2" xfId="14476" xr:uid="{FE1C3357-D117-44B1-B40C-6CCE9C27138E}"/>
    <cellStyle name="Normal 4 2 4 3 3 4" xfId="9303" xr:uid="{51CE977A-E9B9-47DD-B6CE-3ECF34A578F1}"/>
    <cellStyle name="Normal 4 2 4 3 3 5" xfId="10259" xr:uid="{4DB57FC4-D347-494A-996E-D4D467EA1D1B}"/>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AC2B29C8-91AA-429B-B959-47BD2F46E2B1}"/>
    <cellStyle name="Normal 4 2 4 3 4 2 3" xfId="12817" xr:uid="{8DF958F8-5FAC-49B0-A78A-A4125790AE28}"/>
    <cellStyle name="Normal 4 2 4 3 4 3" xfId="5563" xr:uid="{00000000-0005-0000-0000-000099130000}"/>
    <cellStyle name="Normal 4 2 4 3 4 3 2" xfId="14889" xr:uid="{7B743920-39D8-43DD-B4A9-5C3AFAE46FAB}"/>
    <cellStyle name="Normal 4 2 4 3 4 4" xfId="10672" xr:uid="{01F34890-827E-45DA-B0BB-FDB7BC4F1A20}"/>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8F04FF4C-4429-462D-AEE7-CA2C86E5475C}"/>
    <cellStyle name="Normal 4 2 4 3 5 2 3" xfId="13230" xr:uid="{DC6179F6-D91B-4730-8719-5CC895F0BF13}"/>
    <cellStyle name="Normal 4 2 4 3 5 3" xfId="5976" xr:uid="{00000000-0005-0000-0000-00009D130000}"/>
    <cellStyle name="Normal 4 2 4 3 5 3 2" xfId="15302" xr:uid="{EC95F1E1-F212-4EB9-9B82-53DD805B5F2E}"/>
    <cellStyle name="Normal 4 2 4 3 5 4" xfId="11085" xr:uid="{E7AC2164-7F01-454A-8D96-B4927193D880}"/>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FF3886EC-C803-40D1-AA3B-C67B9DA8F833}"/>
    <cellStyle name="Normal 4 2 4 3 6 2 3" xfId="13643" xr:uid="{B8FE9F93-D225-4988-9784-445F0DD6BA70}"/>
    <cellStyle name="Normal 4 2 4 3 6 3" xfId="6389" xr:uid="{00000000-0005-0000-0000-0000A1130000}"/>
    <cellStyle name="Normal 4 2 4 3 6 3 2" xfId="15715" xr:uid="{8742AB26-B032-439C-99A4-9DF978DC994C}"/>
    <cellStyle name="Normal 4 2 4 3 6 4" xfId="11498" xr:uid="{9E3CD9A4-20D7-441B-BE67-8739996D0F12}"/>
    <cellStyle name="Normal 4 2 4 3 7" xfId="2519" xr:uid="{00000000-0005-0000-0000-0000A2130000}"/>
    <cellStyle name="Normal 4 2 4 3 7 2" xfId="6802" xr:uid="{00000000-0005-0000-0000-0000A3130000}"/>
    <cellStyle name="Normal 4 2 4 3 7 2 2" xfId="16128" xr:uid="{5373010C-1C9A-4397-96F5-3EC3D93D0875}"/>
    <cellStyle name="Normal 4 2 4 3 7 3" xfId="11911" xr:uid="{5C2CA5DD-6DE8-4588-83E9-30B834C69626}"/>
    <cellStyle name="Normal 4 2 4 3 8" xfId="4737" xr:uid="{00000000-0005-0000-0000-0000A4130000}"/>
    <cellStyle name="Normal 4 2 4 3 8 2" xfId="14063" xr:uid="{CADE4DC3-6808-4384-B2CB-4DE932803755}"/>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80A16EAC-00F3-49C2-AD2F-86FA50EDBBF8}"/>
    <cellStyle name="Normal 4 2 4 4 2 2 3" xfId="12406" xr:uid="{3BFCB4B6-AC4E-44C8-833C-04842CDDEA85}"/>
    <cellStyle name="Normal 4 2 4 4 2 3" xfId="5152" xr:uid="{00000000-0005-0000-0000-0000A9130000}"/>
    <cellStyle name="Normal 4 2 4 4 2 3 2" xfId="14478" xr:uid="{93E7CB7A-4A28-4C3F-AE1A-76DF6E08B969}"/>
    <cellStyle name="Normal 4 2 4 4 2 4" xfId="9407" xr:uid="{5D8D6A7A-388E-41EC-80E9-28307FA015D6}"/>
    <cellStyle name="Normal 4 2 4 4 2 5" xfId="10261" xr:uid="{3FC1951C-8894-4D1F-8248-4840120273DB}"/>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5B58F81A-8B8C-4150-B174-9942FA5B90F3}"/>
    <cellStyle name="Normal 4 2 4 4 3 2 3" xfId="12819" xr:uid="{DBA1D881-6548-4DCC-986D-CDFF14C8FDB3}"/>
    <cellStyle name="Normal 4 2 4 4 3 3" xfId="5565" xr:uid="{00000000-0005-0000-0000-0000AD130000}"/>
    <cellStyle name="Normal 4 2 4 4 3 3 2" xfId="14891" xr:uid="{730874E3-F5FA-45CB-A511-8BB53B1E18CB}"/>
    <cellStyle name="Normal 4 2 4 4 3 4" xfId="10674" xr:uid="{5742C707-EE11-4F86-930E-9D169E4DBF4D}"/>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EE297EEF-9427-4878-8D97-D52652BDD630}"/>
    <cellStyle name="Normal 4 2 4 4 4 2 3" xfId="13232" xr:uid="{CD662768-F40F-4B92-A225-CB4F2228F006}"/>
    <cellStyle name="Normal 4 2 4 4 4 3" xfId="5978" xr:uid="{00000000-0005-0000-0000-0000B1130000}"/>
    <cellStyle name="Normal 4 2 4 4 4 3 2" xfId="15304" xr:uid="{1E994EEC-1989-40D4-8BBA-06864BEFED2B}"/>
    <cellStyle name="Normal 4 2 4 4 4 4" xfId="11087" xr:uid="{190E0CB2-3CB7-41F6-8D18-A9FCBDFDE253}"/>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C627DF6F-DC25-4CE2-B92F-96F44EBC2A05}"/>
    <cellStyle name="Normal 4 2 4 4 5 2 3" xfId="13645" xr:uid="{2291AFC0-FD33-4713-9DA6-2AC69F6B3B21}"/>
    <cellStyle name="Normal 4 2 4 4 5 3" xfId="6391" xr:uid="{00000000-0005-0000-0000-0000B5130000}"/>
    <cellStyle name="Normal 4 2 4 4 5 3 2" xfId="15717" xr:uid="{5939BA55-3C89-4757-BDB3-EBBD540C101A}"/>
    <cellStyle name="Normal 4 2 4 4 5 4" xfId="11500" xr:uid="{7B0F8BEB-5223-418A-B6FC-7F03F8956471}"/>
    <cellStyle name="Normal 4 2 4 4 6" xfId="2521" xr:uid="{00000000-0005-0000-0000-0000B6130000}"/>
    <cellStyle name="Normal 4 2 4 4 6 2" xfId="6804" xr:uid="{00000000-0005-0000-0000-0000B7130000}"/>
    <cellStyle name="Normal 4 2 4 4 6 2 2" xfId="16130" xr:uid="{019182E0-76F5-4EA5-8D43-2B949E109F5B}"/>
    <cellStyle name="Normal 4 2 4 4 6 3" xfId="11913" xr:uid="{3733BB48-C7F0-4241-8EF9-3E34171A43B1}"/>
    <cellStyle name="Normal 4 2 4 4 7" xfId="4739" xr:uid="{00000000-0005-0000-0000-0000B8130000}"/>
    <cellStyle name="Normal 4 2 4 4 7 2" xfId="14065" xr:uid="{A7395683-30EA-463E-8ED3-9199761DE890}"/>
    <cellStyle name="Normal 4 2 4 4 8" xfId="8982" xr:uid="{4C273C9B-E12E-4EF2-812F-666600229207}"/>
    <cellStyle name="Normal 4 2 4 4 9" xfId="9848" xr:uid="{DBC624E6-58C1-455E-B263-B11C574531F8}"/>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290F29A2-196D-41F9-8BB6-32F92DE94286}"/>
    <cellStyle name="Normal 4 2 4 5 2 3" xfId="12399" xr:uid="{3BFD57BE-B1FA-4D02-B8BD-1E3B649BB720}"/>
    <cellStyle name="Normal 4 2 4 5 3" xfId="5145" xr:uid="{00000000-0005-0000-0000-0000BC130000}"/>
    <cellStyle name="Normal 4 2 4 5 3 2" xfId="14471" xr:uid="{040018CD-8139-4E9C-8C3A-6EF7BCE11D54}"/>
    <cellStyle name="Normal 4 2 4 5 4" xfId="9199" xr:uid="{1A9A2DC3-2FEA-4A30-A92C-84708E9B2741}"/>
    <cellStyle name="Normal 4 2 4 5 5" xfId="10254" xr:uid="{3C39C16E-A61F-4255-B634-DA22337F35B4}"/>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41C810E1-E5DF-4DB5-B176-439DBB8A4DAC}"/>
    <cellStyle name="Normal 4 2 4 6 2 3" xfId="12812" xr:uid="{A691BEB2-99A5-4B43-8568-53722991D819}"/>
    <cellStyle name="Normal 4 2 4 6 3" xfId="5558" xr:uid="{00000000-0005-0000-0000-0000C0130000}"/>
    <cellStyle name="Normal 4 2 4 6 3 2" xfId="14884" xr:uid="{5C0818F6-B2C7-4566-ABC2-AF05A721F1D4}"/>
    <cellStyle name="Normal 4 2 4 6 4" xfId="10667" xr:uid="{29C5FA2D-E0F0-435E-9D7D-3C98CFECBC60}"/>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987BF6A0-00FB-4FC5-A274-DFD63747C5BA}"/>
    <cellStyle name="Normal 4 2 4 7 2 3" xfId="13225" xr:uid="{20B3B20B-8529-4949-A393-DE68B445771E}"/>
    <cellStyle name="Normal 4 2 4 7 3" xfId="5971" xr:uid="{00000000-0005-0000-0000-0000C4130000}"/>
    <cellStyle name="Normal 4 2 4 7 3 2" xfId="15297" xr:uid="{FEEC77D3-6BE7-4FA3-8BE1-0E10FB5810D9}"/>
    <cellStyle name="Normal 4 2 4 7 4" xfId="11080" xr:uid="{0790A15D-B4EC-4DAB-BDAF-670D7AA8CC89}"/>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D4B68D66-CDA9-4723-A78D-6D28F04059DB}"/>
    <cellStyle name="Normal 4 2 4 8 2 3" xfId="13638" xr:uid="{0626A544-46CD-4548-9D49-16BD8430C214}"/>
    <cellStyle name="Normal 4 2 4 8 3" xfId="6384" xr:uid="{00000000-0005-0000-0000-0000C8130000}"/>
    <cellStyle name="Normal 4 2 4 8 3 2" xfId="15710" xr:uid="{FFCA6BD3-E676-4EDF-97C4-DCC4A8148BF7}"/>
    <cellStyle name="Normal 4 2 4 8 4" xfId="11493" xr:uid="{32D78905-242D-4744-BA43-CB81CF112C67}"/>
    <cellStyle name="Normal 4 2 4 9" xfId="2514" xr:uid="{00000000-0005-0000-0000-0000C9130000}"/>
    <cellStyle name="Normal 4 2 4 9 2" xfId="6797" xr:uid="{00000000-0005-0000-0000-0000CA130000}"/>
    <cellStyle name="Normal 4 2 4 9 2 2" xfId="16123" xr:uid="{8A8D901D-88D0-4654-8DDC-CDDC1CDE143B}"/>
    <cellStyle name="Normal 4 2 4 9 3" xfId="11906" xr:uid="{96B7B4F1-35C2-4D6B-8493-F0110C53E093}"/>
    <cellStyle name="Normal 4 2 5" xfId="363" xr:uid="{00000000-0005-0000-0000-0000CB130000}"/>
    <cellStyle name="Normal 4 2 5 10" xfId="9849" xr:uid="{155AAAE7-F80C-4BC8-B3C0-B1ACEE97453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77A80A5B-25CE-4860-A5FB-3766CCBFADCF}"/>
    <cellStyle name="Normal 4 2 5 2 2 2 3" xfId="12408" xr:uid="{3254693D-0E4F-4AB3-9D57-F4D1DB7A2E37}"/>
    <cellStyle name="Normal 4 2 5 2 2 3" xfId="5154" xr:uid="{00000000-0005-0000-0000-0000D0130000}"/>
    <cellStyle name="Normal 4 2 5 2 2 3 2" xfId="14480" xr:uid="{48FB5018-C7FF-40C3-8A71-F973F1883592}"/>
    <cellStyle name="Normal 4 2 5 2 2 4" xfId="9478" xr:uid="{9FEAEEC2-067D-4244-BB0F-0858128140EB}"/>
    <cellStyle name="Normal 4 2 5 2 2 5" xfId="10263" xr:uid="{7773430B-0DFE-4A12-A5EB-C23DD7623AF5}"/>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3F3C5F3D-603B-42F1-8F7E-FF92F9AF8552}"/>
    <cellStyle name="Normal 4 2 5 2 3 2 3" xfId="12821" xr:uid="{53669374-FA92-48C7-AED7-CC495ADDEDC3}"/>
    <cellStyle name="Normal 4 2 5 2 3 3" xfId="5567" xr:uid="{00000000-0005-0000-0000-0000D4130000}"/>
    <cellStyle name="Normal 4 2 5 2 3 3 2" xfId="14893" xr:uid="{4A170F90-0E5D-4941-B6BA-3EE997A5204B}"/>
    <cellStyle name="Normal 4 2 5 2 3 4" xfId="10676" xr:uid="{D6D8FA3B-A164-45BA-BA83-49A9A4424D65}"/>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969D6237-ED64-446F-B054-FE6FF67ED344}"/>
    <cellStyle name="Normal 4 2 5 2 4 2 3" xfId="13234" xr:uid="{5C552FFA-D68C-415C-8590-969BD6E83DB7}"/>
    <cellStyle name="Normal 4 2 5 2 4 3" xfId="5980" xr:uid="{00000000-0005-0000-0000-0000D8130000}"/>
    <cellStyle name="Normal 4 2 5 2 4 3 2" xfId="15306" xr:uid="{34EB4C0D-0563-403D-BAAE-F3A6A5EF4B2D}"/>
    <cellStyle name="Normal 4 2 5 2 4 4" xfId="11089" xr:uid="{71808E4A-3774-4B1C-96E8-9B53C9C5A292}"/>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9716F5B6-6326-4A74-9052-319BF73C3EFE}"/>
    <cellStyle name="Normal 4 2 5 2 5 2 3" xfId="13647" xr:uid="{D6C31D7E-E586-4C3C-A0DF-C144F32DC6A1}"/>
    <cellStyle name="Normal 4 2 5 2 5 3" xfId="6393" xr:uid="{00000000-0005-0000-0000-0000DC130000}"/>
    <cellStyle name="Normal 4 2 5 2 5 3 2" xfId="15719" xr:uid="{39B82D78-9687-42FD-BD27-5140BF792066}"/>
    <cellStyle name="Normal 4 2 5 2 5 4" xfId="11502" xr:uid="{17EF47B3-2EBD-4ACB-A8DD-B8964DBBFF8B}"/>
    <cellStyle name="Normal 4 2 5 2 6" xfId="2523" xr:uid="{00000000-0005-0000-0000-0000DD130000}"/>
    <cellStyle name="Normal 4 2 5 2 6 2" xfId="6806" xr:uid="{00000000-0005-0000-0000-0000DE130000}"/>
    <cellStyle name="Normal 4 2 5 2 6 2 2" xfId="16132" xr:uid="{0D5B0279-84B3-41B0-AF1F-DF8BF630F485}"/>
    <cellStyle name="Normal 4 2 5 2 6 3" xfId="11915" xr:uid="{30917B48-4756-4E6B-BEAB-1CCACB520EEA}"/>
    <cellStyle name="Normal 4 2 5 2 7" xfId="4741" xr:uid="{00000000-0005-0000-0000-0000DF130000}"/>
    <cellStyle name="Normal 4 2 5 2 7 2" xfId="14067" xr:uid="{8AB91A3F-AB9D-4407-A385-01204BB1E440}"/>
    <cellStyle name="Normal 4 2 5 2 8" xfId="9053" xr:uid="{0AE18A98-D9E6-47B9-86B0-DDAD3BC77B48}"/>
    <cellStyle name="Normal 4 2 5 2 9" xfId="9850" xr:uid="{F7DBC36E-A90D-4D51-B6C1-2ECDC4458518}"/>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CFDBFC32-5C33-4ACF-8F3D-8286D55F20A3}"/>
    <cellStyle name="Normal 4 2 5 3 2 3" xfId="12407" xr:uid="{19CEC863-8F4B-4273-B4A2-D4CBF1A3E770}"/>
    <cellStyle name="Normal 4 2 5 3 3" xfId="5153" xr:uid="{00000000-0005-0000-0000-0000E3130000}"/>
    <cellStyle name="Normal 4 2 5 3 3 2" xfId="14479" xr:uid="{17AF8BF1-AF2A-412D-8091-2E91423F3F13}"/>
    <cellStyle name="Normal 4 2 5 3 4" xfId="9271" xr:uid="{41AE7BB1-E3C7-48BD-B24F-55AE39E68BB6}"/>
    <cellStyle name="Normal 4 2 5 3 5" xfId="10262" xr:uid="{9B4BAAA5-8C3C-4AFD-8506-A95DA3FB15FF}"/>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216E51F7-C306-49B1-97FF-0D9F8CE7FE4F}"/>
    <cellStyle name="Normal 4 2 5 4 2 3" xfId="12820" xr:uid="{EF7DDDA9-2EA7-49E1-BCCE-38A3938C6D79}"/>
    <cellStyle name="Normal 4 2 5 4 3" xfId="5566" xr:uid="{00000000-0005-0000-0000-0000E7130000}"/>
    <cellStyle name="Normal 4 2 5 4 3 2" xfId="14892" xr:uid="{9680848D-A918-40B9-B63B-02C1D97DCE69}"/>
    <cellStyle name="Normal 4 2 5 4 4" xfId="10675" xr:uid="{717F6C71-C104-4DD6-B96A-D8CEFAFCDBC4}"/>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16DEA1C2-DE80-47B4-AE83-DC73CA228EBA}"/>
    <cellStyle name="Normal 4 2 5 5 2 3" xfId="13233" xr:uid="{F81410B6-E498-45DB-BC4F-1AA986256BA2}"/>
    <cellStyle name="Normal 4 2 5 5 3" xfId="5979" xr:uid="{00000000-0005-0000-0000-0000EB130000}"/>
    <cellStyle name="Normal 4 2 5 5 3 2" xfId="15305" xr:uid="{7831CA62-3182-414F-B4F5-297DBC4AB097}"/>
    <cellStyle name="Normal 4 2 5 5 4" xfId="11088" xr:uid="{D80B7AE9-B9DA-4591-A462-A5E372D65BE6}"/>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EEDE41E0-360B-48D1-9381-6C8B3366286C}"/>
    <cellStyle name="Normal 4 2 5 6 2 3" xfId="13646" xr:uid="{01A25F70-A915-48B5-A328-26DD03C1ACCF}"/>
    <cellStyle name="Normal 4 2 5 6 3" xfId="6392" xr:uid="{00000000-0005-0000-0000-0000EF130000}"/>
    <cellStyle name="Normal 4 2 5 6 3 2" xfId="15718" xr:uid="{F9E5B55F-548E-4FB3-B2C6-823DDEAE6D73}"/>
    <cellStyle name="Normal 4 2 5 6 4" xfId="11501" xr:uid="{70A18F11-C6BF-4A6F-A4F1-2586A3E0B725}"/>
    <cellStyle name="Normal 4 2 5 7" xfId="2522" xr:uid="{00000000-0005-0000-0000-0000F0130000}"/>
    <cellStyle name="Normal 4 2 5 7 2" xfId="6805" xr:uid="{00000000-0005-0000-0000-0000F1130000}"/>
    <cellStyle name="Normal 4 2 5 7 2 2" xfId="16131" xr:uid="{ED0177AE-FBD4-4077-BB8B-8D7C17D2893A}"/>
    <cellStyle name="Normal 4 2 5 7 3" xfId="11914" xr:uid="{F9C3C751-F5AC-4F35-B477-1D38B6691E6D}"/>
    <cellStyle name="Normal 4 2 5 8" xfId="4740" xr:uid="{00000000-0005-0000-0000-0000F2130000}"/>
    <cellStyle name="Normal 4 2 5 8 2" xfId="14066" xr:uid="{7864D1E1-6570-4997-A80A-4504E5081DA4}"/>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BE4791D7-36D7-4F5B-903C-4E9062CCFCBE}"/>
    <cellStyle name="Normal 4 2 6 2 2 3" xfId="12409" xr:uid="{6F509630-B42F-41EE-951F-4192CCA3CCE4}"/>
    <cellStyle name="Normal 4 2 6 2 3" xfId="5155" xr:uid="{00000000-0005-0000-0000-0000F7130000}"/>
    <cellStyle name="Normal 4 2 6 2 3 2" xfId="14481" xr:uid="{584F3C43-3FB6-45CD-BFC0-AE9C3EF299AF}"/>
    <cellStyle name="Normal 4 2 6 2 4" xfId="9387" xr:uid="{933EA8C7-37F7-4AF2-922A-47A5CB1A47BC}"/>
    <cellStyle name="Normal 4 2 6 2 5" xfId="10264" xr:uid="{65FFE66B-BE63-470B-A255-437AE529817F}"/>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AE287D30-C8B8-4B3B-A3BA-AB2C4CC35B33}"/>
    <cellStyle name="Normal 4 2 6 3 2 3" xfId="12822" xr:uid="{07991715-93CC-417C-8754-32D903547F3E}"/>
    <cellStyle name="Normal 4 2 6 3 3" xfId="5568" xr:uid="{00000000-0005-0000-0000-0000FB130000}"/>
    <cellStyle name="Normal 4 2 6 3 3 2" xfId="14894" xr:uid="{2102DC9A-B124-4200-8241-04C90FEA7F27}"/>
    <cellStyle name="Normal 4 2 6 3 4" xfId="10677" xr:uid="{E84E7649-5DC3-4A49-ACEA-BCC8A75444E6}"/>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D94ED45B-9E68-4519-8D8E-1E6DC1DD43EF}"/>
    <cellStyle name="Normal 4 2 6 4 2 3" xfId="13235" xr:uid="{96326133-AC1F-44F2-B06B-1BA574558E2E}"/>
    <cellStyle name="Normal 4 2 6 4 3" xfId="5981" xr:uid="{00000000-0005-0000-0000-0000FF130000}"/>
    <cellStyle name="Normal 4 2 6 4 3 2" xfId="15307" xr:uid="{1C4405AD-2CBD-4539-B88C-838C5301F7C6}"/>
    <cellStyle name="Normal 4 2 6 4 4" xfId="11090" xr:uid="{C221DB36-E247-434B-AC8A-639B3DE67A26}"/>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C435919A-CD50-4285-A5AF-6EC1DE28BA2E}"/>
    <cellStyle name="Normal 4 2 6 5 2 3" xfId="13648" xr:uid="{3041CD33-D2BD-4F8F-A6D4-F6F5CE026EC1}"/>
    <cellStyle name="Normal 4 2 6 5 3" xfId="6394" xr:uid="{00000000-0005-0000-0000-000003140000}"/>
    <cellStyle name="Normal 4 2 6 5 3 2" xfId="15720" xr:uid="{57954032-90CD-4A89-B40C-5C3598B05357}"/>
    <cellStyle name="Normal 4 2 6 5 4" xfId="11503" xr:uid="{1CFBA818-553D-4F3A-93F3-688FC689A3EA}"/>
    <cellStyle name="Normal 4 2 6 6" xfId="2524" xr:uid="{00000000-0005-0000-0000-000004140000}"/>
    <cellStyle name="Normal 4 2 6 6 2" xfId="6807" xr:uid="{00000000-0005-0000-0000-000005140000}"/>
    <cellStyle name="Normal 4 2 6 6 2 2" xfId="16133" xr:uid="{2C1A6CC3-BAB1-4035-B7E3-BEA6FF4C45D7}"/>
    <cellStyle name="Normal 4 2 6 6 3" xfId="11916" xr:uid="{6307DA1B-C4F5-4EEF-9005-7081ADAE4CC6}"/>
    <cellStyle name="Normal 4 2 6 7" xfId="4742" xr:uid="{00000000-0005-0000-0000-000006140000}"/>
    <cellStyle name="Normal 4 2 6 7 2" xfId="14068" xr:uid="{5A02CE60-C3A6-469E-A0F8-09CAC1795FFB}"/>
    <cellStyle name="Normal 4 2 6 8" xfId="8962" xr:uid="{1A1596D6-3914-4465-A638-E540359059D2}"/>
    <cellStyle name="Normal 4 2 6 9" xfId="9851" xr:uid="{525F47FE-592E-4462-A9F9-0A3D37DDF95F}"/>
    <cellStyle name="Normal 4 2 7" xfId="9165" xr:uid="{6363F967-7399-442D-B2CE-00085FF7F1E8}"/>
    <cellStyle name="Normal 4 2 8" xfId="8743" xr:uid="{E2B8331F-47F9-4829-99C7-E05840A106B9}"/>
    <cellStyle name="Normal 4 3" xfId="366" xr:uid="{00000000-0005-0000-0000-000007140000}"/>
    <cellStyle name="Normal 4 3 10" xfId="9852" xr:uid="{6EFEE579-1D7B-4369-A2A7-9A98134520DA}"/>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37EA9D0B-E262-47B1-9943-E4A02EFB0974}"/>
    <cellStyle name="Normal 4 3 2 2 2 2" xfId="370" xr:uid="{00000000-0005-0000-0000-00000B140000}"/>
    <cellStyle name="Normal 4 3 2 2 2 2 10" xfId="9854" xr:uid="{39B069D4-E825-40F9-80B6-08950FBB44CD}"/>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391B9117-9F96-491F-9649-8EAD72633F2A}"/>
    <cellStyle name="Normal 4 3 2 2 2 2 2 2 2 3" xfId="12413" xr:uid="{4D7E39FA-6CAA-49B1-B00B-2E348BA331EF}"/>
    <cellStyle name="Normal 4 3 2 2 2 2 2 2 3" xfId="5159" xr:uid="{00000000-0005-0000-0000-000010140000}"/>
    <cellStyle name="Normal 4 3 2 2 2 2 2 2 3 2" xfId="14485" xr:uid="{B03A5303-FBA0-46E7-938C-865D300D0B4F}"/>
    <cellStyle name="Normal 4 3 2 2 2 2 2 2 4" xfId="9557" xr:uid="{4F6BDD99-7BF1-4D2F-9EDC-4F75F1942DB4}"/>
    <cellStyle name="Normal 4 3 2 2 2 2 2 2 5" xfId="10268" xr:uid="{C6064E79-DE77-4C15-82CA-D42C916ECADE}"/>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BD3F1FD0-A353-4B50-A8CD-F03AEC24660E}"/>
    <cellStyle name="Normal 4 3 2 2 2 2 2 3 2 3" xfId="12826" xr:uid="{C052B8AA-F13B-4262-9DBD-B12BC4421D72}"/>
    <cellStyle name="Normal 4 3 2 2 2 2 2 3 3" xfId="5572" xr:uid="{00000000-0005-0000-0000-000014140000}"/>
    <cellStyle name="Normal 4 3 2 2 2 2 2 3 3 2" xfId="14898" xr:uid="{D7093EE6-6095-4907-8E45-22A090E271B8}"/>
    <cellStyle name="Normal 4 3 2 2 2 2 2 3 4" xfId="10681" xr:uid="{F5B2D76F-8413-47E3-90FD-B97A74EC72A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3CE47A51-11D9-4D23-A600-28EBB22285F4}"/>
    <cellStyle name="Normal 4 3 2 2 2 2 2 4 2 3" xfId="13239" xr:uid="{57A5A20B-D5DF-4FB0-A67E-86AE9F4C0C8D}"/>
    <cellStyle name="Normal 4 3 2 2 2 2 2 4 3" xfId="5985" xr:uid="{00000000-0005-0000-0000-000018140000}"/>
    <cellStyle name="Normal 4 3 2 2 2 2 2 4 3 2" xfId="15311" xr:uid="{58B7DE4A-B6C6-4DFA-A80A-99E87CC4BEF8}"/>
    <cellStyle name="Normal 4 3 2 2 2 2 2 4 4" xfId="11094" xr:uid="{F39A5EA4-33E9-449F-A937-D9F7FDB6450C}"/>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AFFFC4DC-4023-4E72-86F1-D4C5735B643B}"/>
    <cellStyle name="Normal 4 3 2 2 2 2 2 5 2 3" xfId="13652" xr:uid="{2B4E6D5F-92F9-42CE-A91A-BC2BFFCD52F0}"/>
    <cellStyle name="Normal 4 3 2 2 2 2 2 5 3" xfId="6398" xr:uid="{00000000-0005-0000-0000-00001C140000}"/>
    <cellStyle name="Normal 4 3 2 2 2 2 2 5 3 2" xfId="15724" xr:uid="{E9155A0D-5270-4ECF-9C31-43890C9EFEDF}"/>
    <cellStyle name="Normal 4 3 2 2 2 2 2 5 4" xfId="11507" xr:uid="{50B5312F-D09D-4C4C-AE2C-32A431A4F312}"/>
    <cellStyle name="Normal 4 3 2 2 2 2 2 6" xfId="2528" xr:uid="{00000000-0005-0000-0000-00001D140000}"/>
    <cellStyle name="Normal 4 3 2 2 2 2 2 6 2" xfId="6811" xr:uid="{00000000-0005-0000-0000-00001E140000}"/>
    <cellStyle name="Normal 4 3 2 2 2 2 2 6 2 2" xfId="16137" xr:uid="{FFE21BCB-377D-4002-8462-B13D40A8D785}"/>
    <cellStyle name="Normal 4 3 2 2 2 2 2 6 3" xfId="11920" xr:uid="{DFCD04FE-B23B-4394-B199-1E2A4E27C24D}"/>
    <cellStyle name="Normal 4 3 2 2 2 2 2 7" xfId="4746" xr:uid="{00000000-0005-0000-0000-00001F140000}"/>
    <cellStyle name="Normal 4 3 2 2 2 2 2 7 2" xfId="14072" xr:uid="{AF1EF5B5-832C-4B13-BCAC-C4BD2083B38A}"/>
    <cellStyle name="Normal 4 3 2 2 2 2 2 8" xfId="9132" xr:uid="{14F6ED12-EABF-4C82-AD59-55D351026913}"/>
    <cellStyle name="Normal 4 3 2 2 2 2 2 9" xfId="9855" xr:uid="{D265FD6D-E127-4611-AAC7-BDB76EB0A6B8}"/>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4BACA854-CFEE-4A6C-818E-5D21DB61BA3E}"/>
    <cellStyle name="Normal 4 3 2 2 2 2 3 2 3" xfId="12412" xr:uid="{91C812D8-4085-4B5F-AE56-22D7D390C6F7}"/>
    <cellStyle name="Normal 4 3 2 2 2 2 3 3" xfId="5158" xr:uid="{00000000-0005-0000-0000-000023140000}"/>
    <cellStyle name="Normal 4 3 2 2 2 2 3 3 2" xfId="14484" xr:uid="{44EAC6C4-787A-4F3F-9055-E2EEB3412334}"/>
    <cellStyle name="Normal 4 3 2 2 2 2 3 4" xfId="9350" xr:uid="{DFFEAFB7-A284-4FD9-B115-C19DA011CCC7}"/>
    <cellStyle name="Normal 4 3 2 2 2 2 3 5" xfId="10267" xr:uid="{238AA8E8-3161-4A08-88C6-FDB2B2656726}"/>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47CC9844-AC27-4048-AAEE-F8763B27B20C}"/>
    <cellStyle name="Normal 4 3 2 2 2 2 4 2 3" xfId="12825" xr:uid="{878225E1-0403-4262-981C-D1D699D848C4}"/>
    <cellStyle name="Normal 4 3 2 2 2 2 4 3" xfId="5571" xr:uid="{00000000-0005-0000-0000-000027140000}"/>
    <cellStyle name="Normal 4 3 2 2 2 2 4 3 2" xfId="14897" xr:uid="{4DC82D68-5408-4108-85AB-FF57D4280063}"/>
    <cellStyle name="Normal 4 3 2 2 2 2 4 4" xfId="10680" xr:uid="{4A28A1BC-C940-45AD-9694-0A4088B6ADAE}"/>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10B50CD8-3891-4B9C-81BB-63E8F635F049}"/>
    <cellStyle name="Normal 4 3 2 2 2 2 5 2 3" xfId="13238" xr:uid="{C33BDCAD-BB95-4CD2-B85F-F1951CBA4DCD}"/>
    <cellStyle name="Normal 4 3 2 2 2 2 5 3" xfId="5984" xr:uid="{00000000-0005-0000-0000-00002B140000}"/>
    <cellStyle name="Normal 4 3 2 2 2 2 5 3 2" xfId="15310" xr:uid="{B3ADF154-57C2-4359-A712-29FCA324118F}"/>
    <cellStyle name="Normal 4 3 2 2 2 2 5 4" xfId="11093" xr:uid="{ADA627A4-D9E3-4DE1-A75B-FDA4ED7F5EB6}"/>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9A58AC93-4337-4D41-8B4E-7F3F86A9439F}"/>
    <cellStyle name="Normal 4 3 2 2 2 2 6 2 3" xfId="13651" xr:uid="{85A96A86-A06C-4F81-8988-34FC86193CB9}"/>
    <cellStyle name="Normal 4 3 2 2 2 2 6 3" xfId="6397" xr:uid="{00000000-0005-0000-0000-00002F140000}"/>
    <cellStyle name="Normal 4 3 2 2 2 2 6 3 2" xfId="15723" xr:uid="{D28E4E0D-25BA-4BB4-99AC-0548F18BBF02}"/>
    <cellStyle name="Normal 4 3 2 2 2 2 6 4" xfId="11506" xr:uid="{BB0A70A5-1D2D-47FD-BD31-5249742E8607}"/>
    <cellStyle name="Normal 4 3 2 2 2 2 7" xfId="2527" xr:uid="{00000000-0005-0000-0000-000030140000}"/>
    <cellStyle name="Normal 4 3 2 2 2 2 7 2" xfId="6810" xr:uid="{00000000-0005-0000-0000-000031140000}"/>
    <cellStyle name="Normal 4 3 2 2 2 2 7 2 2" xfId="16136" xr:uid="{81EFA48A-9A7F-46B6-B554-79B96E38CC82}"/>
    <cellStyle name="Normal 4 3 2 2 2 2 7 3" xfId="11919" xr:uid="{5498468E-1AAD-4966-87BF-B889353E9D93}"/>
    <cellStyle name="Normal 4 3 2 2 2 2 8" xfId="4745" xr:uid="{00000000-0005-0000-0000-000032140000}"/>
    <cellStyle name="Normal 4 3 2 2 2 2 8 2" xfId="14071" xr:uid="{FE912B00-D8DC-4F18-956C-B782D32A764F}"/>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CACE611A-CF72-4D0D-8B8A-CA556AB9B214}"/>
    <cellStyle name="Normal 4 3 2 2 2 3 2 2 3" xfId="12414" xr:uid="{579C6FA3-6701-4B36-8C75-B67663C14468}"/>
    <cellStyle name="Normal 4 3 2 2 2 3 2 3" xfId="5160" xr:uid="{00000000-0005-0000-0000-000037140000}"/>
    <cellStyle name="Normal 4 3 2 2 2 3 2 3 2" xfId="14486" xr:uid="{62B8E1BC-352C-40C8-978F-AD13FC48C041}"/>
    <cellStyle name="Normal 4 3 2 2 2 3 2 4" xfId="9454" xr:uid="{B81F5EAA-7D8E-43B5-94D7-313E66088BA5}"/>
    <cellStyle name="Normal 4 3 2 2 2 3 2 5" xfId="10269" xr:uid="{C5835ACC-AF43-4434-B44A-B2460B11BBCC}"/>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65D9EC94-48CB-49C8-A084-64A3608CBA59}"/>
    <cellStyle name="Normal 4 3 2 2 2 3 3 2 3" xfId="12827" xr:uid="{0B570B4A-2125-4DEA-99B9-D0B8C765ADFE}"/>
    <cellStyle name="Normal 4 3 2 2 2 3 3 3" xfId="5573" xr:uid="{00000000-0005-0000-0000-00003B140000}"/>
    <cellStyle name="Normal 4 3 2 2 2 3 3 3 2" xfId="14899" xr:uid="{2F6BC1D9-D553-4298-86C3-E6EB4705F7F8}"/>
    <cellStyle name="Normal 4 3 2 2 2 3 3 4" xfId="10682" xr:uid="{BA32FAA3-BEA5-4856-B2A6-D55C9139BAEA}"/>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46C336CA-9667-4862-878F-B9BD794F65DC}"/>
    <cellStyle name="Normal 4 3 2 2 2 3 4 2 3" xfId="13240" xr:uid="{6630067D-E3B0-44BD-9E46-803E8A6C0795}"/>
    <cellStyle name="Normal 4 3 2 2 2 3 4 3" xfId="5986" xr:uid="{00000000-0005-0000-0000-00003F140000}"/>
    <cellStyle name="Normal 4 3 2 2 2 3 4 3 2" xfId="15312" xr:uid="{D6965B59-04DB-44C3-AE37-F1F7BB3FBFAC}"/>
    <cellStyle name="Normal 4 3 2 2 2 3 4 4" xfId="11095" xr:uid="{45394DC2-AE08-4C35-974E-E5E67CF4A752}"/>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5859E05C-18DC-46FB-9441-A87ACD652331}"/>
    <cellStyle name="Normal 4 3 2 2 2 3 5 2 3" xfId="13653" xr:uid="{1C075711-2322-49D9-AAA2-F80874786515}"/>
    <cellStyle name="Normal 4 3 2 2 2 3 5 3" xfId="6399" xr:uid="{00000000-0005-0000-0000-000043140000}"/>
    <cellStyle name="Normal 4 3 2 2 2 3 5 3 2" xfId="15725" xr:uid="{AC1C058E-43A9-4D61-A6B7-C350654563CC}"/>
    <cellStyle name="Normal 4 3 2 2 2 3 5 4" xfId="11508" xr:uid="{326166C1-BCA5-4811-B82E-04748BDFAAF4}"/>
    <cellStyle name="Normal 4 3 2 2 2 3 6" xfId="2529" xr:uid="{00000000-0005-0000-0000-000044140000}"/>
    <cellStyle name="Normal 4 3 2 2 2 3 6 2" xfId="6812" xr:uid="{00000000-0005-0000-0000-000045140000}"/>
    <cellStyle name="Normal 4 3 2 2 2 3 6 2 2" xfId="16138" xr:uid="{88EB0D39-19E6-4BC6-B1D3-4AFB23F5D7BF}"/>
    <cellStyle name="Normal 4 3 2 2 2 3 6 3" xfId="11921" xr:uid="{A16B99EE-A6EC-424E-A50B-0ECB523F6FC1}"/>
    <cellStyle name="Normal 4 3 2 2 2 3 7" xfId="4747" xr:uid="{00000000-0005-0000-0000-000046140000}"/>
    <cellStyle name="Normal 4 3 2 2 2 3 7 2" xfId="14073" xr:uid="{EDF802FC-7BA8-4D1A-B13F-75C15AB6A55E}"/>
    <cellStyle name="Normal 4 3 2 2 2 3 8" xfId="9029" xr:uid="{CC421D7E-69EF-4D96-A95C-E67F046F8D14}"/>
    <cellStyle name="Normal 4 3 2 2 2 3 9" xfId="9856" xr:uid="{42F2F596-43C0-4A5E-815D-2A3141CF4115}"/>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F596157F-CBAB-45E1-B29D-5A208D881F4A}"/>
    <cellStyle name="Normal 4 3 2 2 2 4 2 3" xfId="12411" xr:uid="{36FB3974-2F1F-4A1F-9DD9-A97F1EAF3B94}"/>
    <cellStyle name="Normal 4 3 2 2 2 4 3" xfId="5157" xr:uid="{00000000-0005-0000-0000-00004A140000}"/>
    <cellStyle name="Normal 4 3 2 2 2 4 3 2" xfId="14483" xr:uid="{BE6D6368-FBF3-4BDE-BBCC-5B69214184E4}"/>
    <cellStyle name="Normal 4 3 2 2 2 4 4" xfId="9247" xr:uid="{70D9D224-DB0B-42B4-B4A9-BC88F455C395}"/>
    <cellStyle name="Normal 4 3 2 2 2 4 5" xfId="10266" xr:uid="{390673D3-9F82-49A9-A8FF-FC7F017144B4}"/>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78EB4C77-890B-40FD-B985-0ADBDD95A05C}"/>
    <cellStyle name="Normal 4 3 2 2 2 5 2 3" xfId="12824" xr:uid="{D42E3262-228C-4F0B-8410-A84F5400D594}"/>
    <cellStyle name="Normal 4 3 2 2 2 5 3" xfId="5570" xr:uid="{00000000-0005-0000-0000-00004E140000}"/>
    <cellStyle name="Normal 4 3 2 2 2 5 3 2" xfId="14896" xr:uid="{3EF4E4BC-AB89-43F4-BFA6-F66508DD2AF9}"/>
    <cellStyle name="Normal 4 3 2 2 2 5 4" xfId="10679" xr:uid="{89B69F4E-BAA2-484A-AA67-9372EA6D3A03}"/>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49D450B4-5FD4-48B4-8F0B-0615E9916F3E}"/>
    <cellStyle name="Normal 4 3 2 2 2 6 2 3" xfId="13237" xr:uid="{41722A01-08C9-49C7-A9F6-04589996E6B9}"/>
    <cellStyle name="Normal 4 3 2 2 2 6 3" xfId="5983" xr:uid="{00000000-0005-0000-0000-000052140000}"/>
    <cellStyle name="Normal 4 3 2 2 2 6 3 2" xfId="15309" xr:uid="{685A1DEF-0EC3-48FE-B339-65B56FD11609}"/>
    <cellStyle name="Normal 4 3 2 2 2 6 4" xfId="11092" xr:uid="{A25A7AD1-5F22-4934-BE57-956488B8F166}"/>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4BE82472-F423-4A2A-8CE0-0BEBD7667C57}"/>
    <cellStyle name="Normal 4 3 2 2 2 7 2 3" xfId="13650" xr:uid="{BD6AD72D-7530-4963-96CB-E7BDE40B1C9A}"/>
    <cellStyle name="Normal 4 3 2 2 2 7 3" xfId="6396" xr:uid="{00000000-0005-0000-0000-000056140000}"/>
    <cellStyle name="Normal 4 3 2 2 2 7 3 2" xfId="15722" xr:uid="{4EA825B9-7403-448D-B469-1BF6E3A775FE}"/>
    <cellStyle name="Normal 4 3 2 2 2 7 4" xfId="11505" xr:uid="{FD73DCF2-08E6-4544-B7E0-8BE01CB1FD01}"/>
    <cellStyle name="Normal 4 3 2 2 2 8" xfId="2526" xr:uid="{00000000-0005-0000-0000-000057140000}"/>
    <cellStyle name="Normal 4 3 2 2 2 8 2" xfId="6809" xr:uid="{00000000-0005-0000-0000-000058140000}"/>
    <cellStyle name="Normal 4 3 2 2 2 8 2 2" xfId="16135" xr:uid="{D4E242B0-A9EA-4A9D-8A0B-CB71544EB48E}"/>
    <cellStyle name="Normal 4 3 2 2 2 8 3" xfId="11918" xr:uid="{8CD5C125-73DA-45E3-8796-1E49B3CBF0CE}"/>
    <cellStyle name="Normal 4 3 2 2 2 9" xfId="4744" xr:uid="{00000000-0005-0000-0000-000059140000}"/>
    <cellStyle name="Normal 4 3 2 2 2 9 2" xfId="14070" xr:uid="{58C5E942-24E1-44DE-83AD-6A63F50C6BBD}"/>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755884E5-49A7-4452-ABCD-95018FA51257}"/>
    <cellStyle name="Normal 4 3 3 2" xfId="375" xr:uid="{00000000-0005-0000-0000-00005E140000}"/>
    <cellStyle name="Normal 4 3 3 2 10" xfId="9858" xr:uid="{BB427D91-FAB0-46FB-9991-F6062042696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F736C6A5-EFE8-4EA6-965F-8951DC731D33}"/>
    <cellStyle name="Normal 4 3 3 2 2 2 2 3" xfId="12417" xr:uid="{49929619-52C9-4E15-A798-13FD7842319A}"/>
    <cellStyle name="Normal 4 3 3 2 2 2 3" xfId="5163" xr:uid="{00000000-0005-0000-0000-000063140000}"/>
    <cellStyle name="Normal 4 3 3 2 2 2 3 2" xfId="14489" xr:uid="{9ED80B16-FD5E-4F5A-872F-215D5C4B2CAF}"/>
    <cellStyle name="Normal 4 3 3 2 2 2 4" xfId="9556" xr:uid="{7233D5E9-9F1E-43FF-8391-DCCFDF8A705D}"/>
    <cellStyle name="Normal 4 3 3 2 2 2 5" xfId="10272" xr:uid="{64AC1454-A08B-496F-97BE-F388CB86C06F}"/>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B381F050-9207-4D51-A465-287DCACB4A14}"/>
    <cellStyle name="Normal 4 3 3 2 2 3 2 3" xfId="12830" xr:uid="{705AE432-7F42-4EA1-A914-012264D90FAC}"/>
    <cellStyle name="Normal 4 3 3 2 2 3 3" xfId="5576" xr:uid="{00000000-0005-0000-0000-000067140000}"/>
    <cellStyle name="Normal 4 3 3 2 2 3 3 2" xfId="14902" xr:uid="{279434CC-0FB3-46FB-A63D-367D8397BA91}"/>
    <cellStyle name="Normal 4 3 3 2 2 3 4" xfId="10685" xr:uid="{9D790D19-DA4D-408A-8AE0-CD8B9208F92B}"/>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80283F9C-127B-4BDF-A514-CC1190CEFF97}"/>
    <cellStyle name="Normal 4 3 3 2 2 4 2 3" xfId="13243" xr:uid="{63D99554-8764-445F-96BA-8EA6EC8CFBF7}"/>
    <cellStyle name="Normal 4 3 3 2 2 4 3" xfId="5989" xr:uid="{00000000-0005-0000-0000-00006B140000}"/>
    <cellStyle name="Normal 4 3 3 2 2 4 3 2" xfId="15315" xr:uid="{76E7ACAF-4FF2-492C-B434-2B6934F6E9F0}"/>
    <cellStyle name="Normal 4 3 3 2 2 4 4" xfId="11098" xr:uid="{C75CC145-2F9C-4EBA-B582-B60F62F32649}"/>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C2CE7009-E8E2-46CF-91D6-A5B7A3BA72F6}"/>
    <cellStyle name="Normal 4 3 3 2 2 5 2 3" xfId="13656" xr:uid="{8A57DF71-F760-4DD3-8C04-711004E6B49C}"/>
    <cellStyle name="Normal 4 3 3 2 2 5 3" xfId="6402" xr:uid="{00000000-0005-0000-0000-00006F140000}"/>
    <cellStyle name="Normal 4 3 3 2 2 5 3 2" xfId="15728" xr:uid="{CA3C23C9-9802-432B-8CE9-6CF57A516DC5}"/>
    <cellStyle name="Normal 4 3 3 2 2 5 4" xfId="11511" xr:uid="{AF9F189B-3F6D-4ECF-9CB4-2A532F81A260}"/>
    <cellStyle name="Normal 4 3 3 2 2 6" xfId="2532" xr:uid="{00000000-0005-0000-0000-000070140000}"/>
    <cellStyle name="Normal 4 3 3 2 2 6 2" xfId="6815" xr:uid="{00000000-0005-0000-0000-000071140000}"/>
    <cellStyle name="Normal 4 3 3 2 2 6 2 2" xfId="16141" xr:uid="{78160292-1BB0-4EAB-A7C1-6BA358BFA754}"/>
    <cellStyle name="Normal 4 3 3 2 2 6 3" xfId="11924" xr:uid="{E5165353-E1C0-4F59-A1C3-EBA1FD61E4A1}"/>
    <cellStyle name="Normal 4 3 3 2 2 7" xfId="4750" xr:uid="{00000000-0005-0000-0000-000072140000}"/>
    <cellStyle name="Normal 4 3 3 2 2 7 2" xfId="14076" xr:uid="{E328F400-A1A7-4EDE-9C93-E1B696B71811}"/>
    <cellStyle name="Normal 4 3 3 2 2 8" xfId="9131" xr:uid="{D7BA3B10-6765-4B57-99D1-3AF7343772F8}"/>
    <cellStyle name="Normal 4 3 3 2 2 9" xfId="9859" xr:uid="{FEB96D6C-E76A-47E5-9232-7A5B7FB8E7D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873B165E-FF42-47A3-961D-4E834190F34A}"/>
    <cellStyle name="Normal 4 3 3 2 3 2 3" xfId="12416" xr:uid="{3B55D285-F1B7-44A4-9351-A421FCBA57FE}"/>
    <cellStyle name="Normal 4 3 3 2 3 3" xfId="5162" xr:uid="{00000000-0005-0000-0000-000076140000}"/>
    <cellStyle name="Normal 4 3 3 2 3 3 2" xfId="14488" xr:uid="{7F561D92-86CD-4DE0-8B58-91D774839E9D}"/>
    <cellStyle name="Normal 4 3 3 2 3 4" xfId="9349" xr:uid="{E498700C-D7AE-42FC-8EB1-59BA2C1BA6B9}"/>
    <cellStyle name="Normal 4 3 3 2 3 5" xfId="10271" xr:uid="{09124676-2C22-44D9-9799-09478E0631B0}"/>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8094950B-5346-463A-B326-7CCEEE269772}"/>
    <cellStyle name="Normal 4 3 3 2 4 2 3" xfId="12829" xr:uid="{07981382-B9D7-4B94-A1F6-0F5386A26536}"/>
    <cellStyle name="Normal 4 3 3 2 4 3" xfId="5575" xr:uid="{00000000-0005-0000-0000-00007A140000}"/>
    <cellStyle name="Normal 4 3 3 2 4 3 2" xfId="14901" xr:uid="{947DC589-85C0-414A-999E-EE42D18765E9}"/>
    <cellStyle name="Normal 4 3 3 2 4 4" xfId="10684" xr:uid="{921E7CD2-09DC-4683-BAFF-9F481F563237}"/>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273C30E0-05D0-4854-8632-5CC0FDEC3F81}"/>
    <cellStyle name="Normal 4 3 3 2 5 2 3" xfId="13242" xr:uid="{111D1D16-C3AC-491B-9F8D-DB336E5D9C3F}"/>
    <cellStyle name="Normal 4 3 3 2 5 3" xfId="5988" xr:uid="{00000000-0005-0000-0000-00007E140000}"/>
    <cellStyle name="Normal 4 3 3 2 5 3 2" xfId="15314" xr:uid="{A11613B2-EA2E-4CE5-98FF-EDB0D48B8908}"/>
    <cellStyle name="Normal 4 3 3 2 5 4" xfId="11097" xr:uid="{1035E519-3789-4501-85D9-1A7B130F192D}"/>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AF7A8307-ECB6-4641-9C2E-7B20F48BAEEB}"/>
    <cellStyle name="Normal 4 3 3 2 6 2 3" xfId="13655" xr:uid="{4B93F1AF-2014-4163-8F8D-3B8847784450}"/>
    <cellStyle name="Normal 4 3 3 2 6 3" xfId="6401" xr:uid="{00000000-0005-0000-0000-000082140000}"/>
    <cellStyle name="Normal 4 3 3 2 6 3 2" xfId="15727" xr:uid="{F101C9B7-30EA-469B-A2FA-E94B2F169B3D}"/>
    <cellStyle name="Normal 4 3 3 2 6 4" xfId="11510" xr:uid="{400E4E2F-3322-46B1-B736-B4D9F5A853FD}"/>
    <cellStyle name="Normal 4 3 3 2 7" xfId="2531" xr:uid="{00000000-0005-0000-0000-000083140000}"/>
    <cellStyle name="Normal 4 3 3 2 7 2" xfId="6814" xr:uid="{00000000-0005-0000-0000-000084140000}"/>
    <cellStyle name="Normal 4 3 3 2 7 2 2" xfId="16140" xr:uid="{93A10352-87AC-4FCE-87C9-55B6DA6DFED7}"/>
    <cellStyle name="Normal 4 3 3 2 7 3" xfId="11923" xr:uid="{50AC9098-924E-4E4D-A004-44F79BB68FE9}"/>
    <cellStyle name="Normal 4 3 3 2 8" xfId="4749" xr:uid="{00000000-0005-0000-0000-000085140000}"/>
    <cellStyle name="Normal 4 3 3 2 8 2" xfId="14075" xr:uid="{0AC17F04-8FDD-47D7-A51A-10B3882ADF87}"/>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B9C8B9C5-0CAB-4B3B-A66B-B6C46F70989B}"/>
    <cellStyle name="Normal 4 3 3 3 2 2 3" xfId="12418" xr:uid="{3DF81C9C-C8B2-4D0F-A94B-41353DBE6AFE}"/>
    <cellStyle name="Normal 4 3 3 3 2 3" xfId="5164" xr:uid="{00000000-0005-0000-0000-00008A140000}"/>
    <cellStyle name="Normal 4 3 3 3 2 3 2" xfId="14490" xr:uid="{EF358721-50C5-48FE-9CCB-15AE00772F4E}"/>
    <cellStyle name="Normal 4 3 3 3 2 4" xfId="9453" xr:uid="{18D68920-503C-42C1-A733-EBE17DC6D008}"/>
    <cellStyle name="Normal 4 3 3 3 2 5" xfId="10273" xr:uid="{24CC1C2E-88AB-4588-AE71-607A2AC0B189}"/>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3836AACD-A1D1-49CA-AAFD-64D59F6F741A}"/>
    <cellStyle name="Normal 4 3 3 3 3 2 3" xfId="12831" xr:uid="{5B30D6C7-A3AC-4701-A670-CF669778D743}"/>
    <cellStyle name="Normal 4 3 3 3 3 3" xfId="5577" xr:uid="{00000000-0005-0000-0000-00008E140000}"/>
    <cellStyle name="Normal 4 3 3 3 3 3 2" xfId="14903" xr:uid="{0A019CCF-081A-4D3A-BE27-767CAC4F8324}"/>
    <cellStyle name="Normal 4 3 3 3 3 4" xfId="10686" xr:uid="{9EFA18FF-2B34-4E59-A174-9C935ABA125F}"/>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D0A5D4DD-4A8A-497C-AB3B-66A3725B4DBD}"/>
    <cellStyle name="Normal 4 3 3 3 4 2 3" xfId="13244" xr:uid="{334E0326-0778-4F6B-998E-A6541BFE0BD8}"/>
    <cellStyle name="Normal 4 3 3 3 4 3" xfId="5990" xr:uid="{00000000-0005-0000-0000-000092140000}"/>
    <cellStyle name="Normal 4 3 3 3 4 3 2" xfId="15316" xr:uid="{1CA7B687-DB6E-4059-8137-85BBDCF7EF2B}"/>
    <cellStyle name="Normal 4 3 3 3 4 4" xfId="11099" xr:uid="{36F14F36-0BC8-45AD-9BD3-A11E37540AF2}"/>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3AC6071D-DBBA-4214-A0CF-BA3B14D63ED2}"/>
    <cellStyle name="Normal 4 3 3 3 5 2 3" xfId="13657" xr:uid="{1930007A-1FB9-4349-9CCD-8AE00C8C5194}"/>
    <cellStyle name="Normal 4 3 3 3 5 3" xfId="6403" xr:uid="{00000000-0005-0000-0000-000096140000}"/>
    <cellStyle name="Normal 4 3 3 3 5 3 2" xfId="15729" xr:uid="{B99A2D0D-280D-4AF9-89BC-4B60E679BD48}"/>
    <cellStyle name="Normal 4 3 3 3 5 4" xfId="11512" xr:uid="{06197F6B-E9C7-434D-80BD-B3752DFA8874}"/>
    <cellStyle name="Normal 4 3 3 3 6" xfId="2533" xr:uid="{00000000-0005-0000-0000-000097140000}"/>
    <cellStyle name="Normal 4 3 3 3 6 2" xfId="6816" xr:uid="{00000000-0005-0000-0000-000098140000}"/>
    <cellStyle name="Normal 4 3 3 3 6 2 2" xfId="16142" xr:uid="{091483D1-B6C7-4F6F-82EB-B92C10130161}"/>
    <cellStyle name="Normal 4 3 3 3 6 3" xfId="11925" xr:uid="{1842D4FC-1A42-498F-BF02-441FB02502FB}"/>
    <cellStyle name="Normal 4 3 3 3 7" xfId="4751" xr:uid="{00000000-0005-0000-0000-000099140000}"/>
    <cellStyle name="Normal 4 3 3 3 7 2" xfId="14077" xr:uid="{782DB73A-1400-48B4-98CF-597CD6DF9527}"/>
    <cellStyle name="Normal 4 3 3 3 8" xfId="9028" xr:uid="{A0BD85BE-0D8B-455E-B326-708B8FF8A8C8}"/>
    <cellStyle name="Normal 4 3 3 3 9" xfId="9860" xr:uid="{A77D57AF-863D-4607-A805-85202C41C3A6}"/>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65C155AF-E1C7-46B7-A463-79F9D464C3CE}"/>
    <cellStyle name="Normal 4 3 3 4 2 3" xfId="12415" xr:uid="{7EDF4671-A828-47C7-A7D6-A22F47C306BD}"/>
    <cellStyle name="Normal 4 3 3 4 3" xfId="5161" xr:uid="{00000000-0005-0000-0000-00009D140000}"/>
    <cellStyle name="Normal 4 3 3 4 3 2" xfId="14487" xr:uid="{1D3CA933-CCCA-4E38-BF24-AFBE48221AED}"/>
    <cellStyle name="Normal 4 3 3 4 4" xfId="9246" xr:uid="{E1107DA9-8F13-4216-80A2-CEA1D2EF57FC}"/>
    <cellStyle name="Normal 4 3 3 4 5" xfId="10270" xr:uid="{EC35DCCE-394D-4269-B592-A56FAC474066}"/>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B2423B73-90D8-4DF6-A25D-CEE19062DA11}"/>
    <cellStyle name="Normal 4 3 3 5 2 3" xfId="12828" xr:uid="{290CEEC6-5913-4FAF-B450-5AC6CCD6B80D}"/>
    <cellStyle name="Normal 4 3 3 5 3" xfId="5574" xr:uid="{00000000-0005-0000-0000-0000A1140000}"/>
    <cellStyle name="Normal 4 3 3 5 3 2" xfId="14900" xr:uid="{126B34E5-4084-4BA5-A2AD-EE89B5A7001F}"/>
    <cellStyle name="Normal 4 3 3 5 4" xfId="10683" xr:uid="{EC3FADE9-249D-41EA-9384-94D1AF9E26A8}"/>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9BF806EE-5033-437D-8913-2E818E4973DF}"/>
    <cellStyle name="Normal 4 3 3 6 2 3" xfId="13241" xr:uid="{3EC8D05D-9A03-40FB-BA59-B897E7264178}"/>
    <cellStyle name="Normal 4 3 3 6 3" xfId="5987" xr:uid="{00000000-0005-0000-0000-0000A5140000}"/>
    <cellStyle name="Normal 4 3 3 6 3 2" xfId="15313" xr:uid="{CC9C3543-71FF-49F2-8EED-AE3B39F103F7}"/>
    <cellStyle name="Normal 4 3 3 6 4" xfId="11096" xr:uid="{2BB9FF39-BFDE-4947-8A5F-BF1231377164}"/>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62FBDF59-69B7-4B70-A523-C3F6DA55917B}"/>
    <cellStyle name="Normal 4 3 3 7 2 3" xfId="13654" xr:uid="{411CE62A-560A-40E9-B5AE-E4017AA571D7}"/>
    <cellStyle name="Normal 4 3 3 7 3" xfId="6400" xr:uid="{00000000-0005-0000-0000-0000A9140000}"/>
    <cellStyle name="Normal 4 3 3 7 3 2" xfId="15726" xr:uid="{E2C7DBC4-CA76-4FDD-B37A-5B0A25754BC6}"/>
    <cellStyle name="Normal 4 3 3 7 4" xfId="11509" xr:uid="{2DE24A3F-C39F-485C-B802-0599E09C507B}"/>
    <cellStyle name="Normal 4 3 3 8" xfId="2530" xr:uid="{00000000-0005-0000-0000-0000AA140000}"/>
    <cellStyle name="Normal 4 3 3 8 2" xfId="6813" xr:uid="{00000000-0005-0000-0000-0000AB140000}"/>
    <cellStyle name="Normal 4 3 3 8 2 2" xfId="16139" xr:uid="{C7160E52-D3EC-4A32-87B9-10EA06AF4865}"/>
    <cellStyle name="Normal 4 3 3 8 3" xfId="11922" xr:uid="{C1306A47-D190-424E-993C-2547AB3CE4C7}"/>
    <cellStyle name="Normal 4 3 3 9" xfId="4748" xr:uid="{00000000-0005-0000-0000-0000AC140000}"/>
    <cellStyle name="Normal 4 3 3 9 2" xfId="14074" xr:uid="{3B0782B7-289B-4263-A19A-B86786D9647B}"/>
    <cellStyle name="Normal 4 3 4" xfId="842" xr:uid="{00000000-0005-0000-0000-0000AD140000}"/>
    <cellStyle name="Normal 4 3 4 2" xfId="3079" xr:uid="{00000000-0005-0000-0000-0000AE140000}"/>
    <cellStyle name="Normal 4 3 4 2 2" xfId="7301" xr:uid="{00000000-0005-0000-0000-0000AF140000}"/>
    <cellStyle name="Normal 4 3 4 2 2 2" xfId="16627" xr:uid="{15DC6887-015E-46F5-B9F2-7A3A7179500B}"/>
    <cellStyle name="Normal 4 3 4 2 3" xfId="12410" xr:uid="{A67ADD61-4327-4FF8-9A68-F0878AD7F2A3}"/>
    <cellStyle name="Normal 4 3 4 3" xfId="5156" xr:uid="{00000000-0005-0000-0000-0000B0140000}"/>
    <cellStyle name="Normal 4 3 4 3 2" xfId="14482" xr:uid="{993A44CF-05F0-46F4-A982-03532BC7A710}"/>
    <cellStyle name="Normal 4 3 4 4" xfId="9608" xr:uid="{C2EFFD2B-01D5-4B2B-BD85-BB4245D6A35E}"/>
    <cellStyle name="Normal 4 3 4 5" xfId="10265" xr:uid="{56DF8540-95C9-49BE-9ACD-A34D2BCA496A}"/>
    <cellStyle name="Normal 4 3 5" xfId="1262" xr:uid="{00000000-0005-0000-0000-0000B1140000}"/>
    <cellStyle name="Normal 4 3 5 2" xfId="3492" xr:uid="{00000000-0005-0000-0000-0000B2140000}"/>
    <cellStyle name="Normal 4 3 5 2 2" xfId="7714" xr:uid="{00000000-0005-0000-0000-0000B3140000}"/>
    <cellStyle name="Normal 4 3 5 2 2 2" xfId="17040" xr:uid="{2D6E4DF2-EC38-4088-85D3-2C4FE55A4F37}"/>
    <cellStyle name="Normal 4 3 5 2 3" xfId="12823" xr:uid="{E2AC4417-5F3A-47B3-A0E8-A6C9AEFC0069}"/>
    <cellStyle name="Normal 4 3 5 3" xfId="5569" xr:uid="{00000000-0005-0000-0000-0000B4140000}"/>
    <cellStyle name="Normal 4 3 5 3 2" xfId="14895" xr:uid="{D317FA9E-C152-47AB-82A9-BB46C1D212E8}"/>
    <cellStyle name="Normal 4 3 5 4" xfId="10678" xr:uid="{8E77F1B9-4744-4F14-A581-4C46381EF423}"/>
    <cellStyle name="Normal 4 3 6" xfId="1675" xr:uid="{00000000-0005-0000-0000-0000B5140000}"/>
    <cellStyle name="Normal 4 3 6 2" xfId="3905" xr:uid="{00000000-0005-0000-0000-0000B6140000}"/>
    <cellStyle name="Normal 4 3 6 2 2" xfId="8127" xr:uid="{00000000-0005-0000-0000-0000B7140000}"/>
    <cellStyle name="Normal 4 3 6 2 2 2" xfId="17453" xr:uid="{BE7D4606-DB88-49EC-AA51-7AB09337BDA7}"/>
    <cellStyle name="Normal 4 3 6 2 3" xfId="13236" xr:uid="{DE3BEE3C-65E2-4548-8162-CF428278963C}"/>
    <cellStyle name="Normal 4 3 6 3" xfId="5982" xr:uid="{00000000-0005-0000-0000-0000B8140000}"/>
    <cellStyle name="Normal 4 3 6 3 2" xfId="15308" xr:uid="{1EF08D6D-B7F8-40DB-A5DD-632D9B6A666B}"/>
    <cellStyle name="Normal 4 3 6 4" xfId="11091" xr:uid="{8D33BABF-C40F-45E5-9937-1953C97F91A7}"/>
    <cellStyle name="Normal 4 3 7" xfId="2089" xr:uid="{00000000-0005-0000-0000-0000B9140000}"/>
    <cellStyle name="Normal 4 3 7 2" xfId="4318" xr:uid="{00000000-0005-0000-0000-0000BA140000}"/>
    <cellStyle name="Normal 4 3 7 2 2" xfId="8540" xr:uid="{00000000-0005-0000-0000-0000BB140000}"/>
    <cellStyle name="Normal 4 3 7 2 2 2" xfId="17866" xr:uid="{CBCA206B-944D-4AAE-8BD3-D6E21F1C825E}"/>
    <cellStyle name="Normal 4 3 7 2 3" xfId="13649" xr:uid="{FF71637D-3D40-4408-8E9E-B87254D68832}"/>
    <cellStyle name="Normal 4 3 7 3" xfId="6395" xr:uid="{00000000-0005-0000-0000-0000BC140000}"/>
    <cellStyle name="Normal 4 3 7 3 2" xfId="15721" xr:uid="{C4B7314C-F6A6-44F5-BF71-ED4136CA8CFC}"/>
    <cellStyle name="Normal 4 3 7 4" xfId="11504" xr:uid="{BB27BBFC-9887-4F98-B636-68615884D67B}"/>
    <cellStyle name="Normal 4 3 8" xfId="2525" xr:uid="{00000000-0005-0000-0000-0000BD140000}"/>
    <cellStyle name="Normal 4 3 8 2" xfId="6808" xr:uid="{00000000-0005-0000-0000-0000BE140000}"/>
    <cellStyle name="Normal 4 3 8 2 2" xfId="16134" xr:uid="{680FF555-ACD1-48EF-BC59-19D21190CE31}"/>
    <cellStyle name="Normal 4 3 8 3" xfId="11917" xr:uid="{B367026B-97C5-447E-84FF-F2C44FA29F41}"/>
    <cellStyle name="Normal 4 3 9" xfId="4743" xr:uid="{00000000-0005-0000-0000-0000BF140000}"/>
    <cellStyle name="Normal 4 3 9 2" xfId="14069" xr:uid="{799BB8C8-F5A6-4CE4-9023-4F46E07E2688}"/>
    <cellStyle name="Normal 4 4" xfId="378" xr:uid="{00000000-0005-0000-0000-0000C0140000}"/>
    <cellStyle name="Normal 4 4 10" xfId="2534" xr:uid="{00000000-0005-0000-0000-0000C1140000}"/>
    <cellStyle name="Normal 4 4 10 2" xfId="6817" xr:uid="{00000000-0005-0000-0000-0000C2140000}"/>
    <cellStyle name="Normal 4 4 10 2 2" xfId="16143" xr:uid="{D52B2CE0-5512-4B91-A11A-9ADBC67883B8}"/>
    <cellStyle name="Normal 4 4 10 3" xfId="11926" xr:uid="{2FCF7344-F023-41DE-BE9A-64223F9D315C}"/>
    <cellStyle name="Normal 4 4 11" xfId="4752" xr:uid="{00000000-0005-0000-0000-0000C3140000}"/>
    <cellStyle name="Normal 4 4 11 2" xfId="14078" xr:uid="{8635620D-E227-4B24-B4C2-F7359410FEB2}"/>
    <cellStyle name="Normal 4 4 12" xfId="8749" xr:uid="{A91736B6-873D-4B1A-8B29-18DC69E5E65F}"/>
    <cellStyle name="Normal 4 4 13" xfId="9861" xr:uid="{5C8FD336-15D3-4C73-96B8-F261ED135328}"/>
    <cellStyle name="Normal 4 4 2" xfId="379" xr:uid="{00000000-0005-0000-0000-0000C4140000}"/>
    <cellStyle name="Normal 4 4 2 10" xfId="4753" xr:uid="{00000000-0005-0000-0000-0000C5140000}"/>
    <cellStyle name="Normal 4 4 2 10 2" xfId="14079" xr:uid="{8058EA8B-61B4-424C-9DF9-56E3E60B026D}"/>
    <cellStyle name="Normal 4 4 2 11" xfId="8781" xr:uid="{12B8F0AD-1EB8-4D0A-9CAD-21DEEFEDAE41}"/>
    <cellStyle name="Normal 4 4 2 12" xfId="9862" xr:uid="{E7B3FF54-EE08-4D76-99BA-A3D70077EDF5}"/>
    <cellStyle name="Normal 4 4 2 2" xfId="380" xr:uid="{00000000-0005-0000-0000-0000C6140000}"/>
    <cellStyle name="Normal 4 4 2 2 10" xfId="8824" xr:uid="{FF218EA8-00A9-476B-AA88-FBBBBED2D06B}"/>
    <cellStyle name="Normal 4 4 2 2 11" xfId="9863" xr:uid="{C6788923-2E4C-4FF8-AE73-59D7D87A92BB}"/>
    <cellStyle name="Normal 4 4 2 2 2" xfId="381" xr:uid="{00000000-0005-0000-0000-0000C7140000}"/>
    <cellStyle name="Normal 4 4 2 2 2 10" xfId="9864" xr:uid="{E1203A61-09F1-4898-A677-2CA068CD59E6}"/>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03AE4105-6F11-43D9-9F59-53895455FB2E}"/>
    <cellStyle name="Normal 4 4 2 2 2 2 2 2 3" xfId="12423" xr:uid="{A2EA7985-1FF6-41F2-85B2-E1FE17C9005E}"/>
    <cellStyle name="Normal 4 4 2 2 2 2 2 3" xfId="5169" xr:uid="{00000000-0005-0000-0000-0000CC140000}"/>
    <cellStyle name="Normal 4 4 2 2 2 2 2 3 2" xfId="14495" xr:uid="{C853E824-AF6C-4BFD-A0EB-5C07F72C0E68}"/>
    <cellStyle name="Normal 4 4 2 2 2 2 2 4" xfId="9559" xr:uid="{6E5E886C-D83F-47E6-AD2B-552CC2A98FD0}"/>
    <cellStyle name="Normal 4 4 2 2 2 2 2 5" xfId="10278" xr:uid="{4C907E2D-BD83-40F5-A919-9EF43EDBB652}"/>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4202BB2C-848D-42D8-9A2B-37D690E9F9CC}"/>
    <cellStyle name="Normal 4 4 2 2 2 2 3 2 3" xfId="12836" xr:uid="{EE88228F-1738-49BF-9734-0542A68336F1}"/>
    <cellStyle name="Normal 4 4 2 2 2 2 3 3" xfId="5582" xr:uid="{00000000-0005-0000-0000-0000D0140000}"/>
    <cellStyle name="Normal 4 4 2 2 2 2 3 3 2" xfId="14908" xr:uid="{F76AE004-F732-4A81-9E56-AB70E763DE2C}"/>
    <cellStyle name="Normal 4 4 2 2 2 2 3 4" xfId="10691" xr:uid="{3D4C7FAD-D267-409A-95CB-A69BA27AD488}"/>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F0CB622A-B17A-4D39-8DD8-5DC14C54CCD4}"/>
    <cellStyle name="Normal 4 4 2 2 2 2 4 2 3" xfId="13249" xr:uid="{07D7B162-A794-498B-B763-C4A58037A819}"/>
    <cellStyle name="Normal 4 4 2 2 2 2 4 3" xfId="5995" xr:uid="{00000000-0005-0000-0000-0000D4140000}"/>
    <cellStyle name="Normal 4 4 2 2 2 2 4 3 2" xfId="15321" xr:uid="{5C5CFACF-F0B3-43AE-8057-02CFA3AEC748}"/>
    <cellStyle name="Normal 4 4 2 2 2 2 4 4" xfId="11104" xr:uid="{02508409-15C3-45F9-AE26-F8132BFADAB5}"/>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9F37A14F-4C10-49B7-8FF8-BD2E7E1B09D0}"/>
    <cellStyle name="Normal 4 4 2 2 2 2 5 2 3" xfId="13662" xr:uid="{B8D2FA3D-BCCD-4B27-BBEE-97996412B8D5}"/>
    <cellStyle name="Normal 4 4 2 2 2 2 5 3" xfId="6408" xr:uid="{00000000-0005-0000-0000-0000D8140000}"/>
    <cellStyle name="Normal 4 4 2 2 2 2 5 3 2" xfId="15734" xr:uid="{F5AF0A0F-6B0F-427A-968C-FBA4EA977CD4}"/>
    <cellStyle name="Normal 4 4 2 2 2 2 5 4" xfId="11517" xr:uid="{9B1CA585-AFC1-4949-AAAC-C1C4AC7794CB}"/>
    <cellStyle name="Normal 4 4 2 2 2 2 6" xfId="2538" xr:uid="{00000000-0005-0000-0000-0000D9140000}"/>
    <cellStyle name="Normal 4 4 2 2 2 2 6 2" xfId="6821" xr:uid="{00000000-0005-0000-0000-0000DA140000}"/>
    <cellStyle name="Normal 4 4 2 2 2 2 6 2 2" xfId="16147" xr:uid="{21F08A70-761E-4891-9B0D-D52692FA8937}"/>
    <cellStyle name="Normal 4 4 2 2 2 2 6 3" xfId="11930" xr:uid="{9D100E52-93A1-4D8E-8BC6-1D0B1F18FC53}"/>
    <cellStyle name="Normal 4 4 2 2 2 2 7" xfId="4756" xr:uid="{00000000-0005-0000-0000-0000DB140000}"/>
    <cellStyle name="Normal 4 4 2 2 2 2 7 2" xfId="14082" xr:uid="{DBB9EFEE-2238-405B-BC5E-D73F6184AC79}"/>
    <cellStyle name="Normal 4 4 2 2 2 2 8" xfId="9134" xr:uid="{B37D4C66-6754-4A5E-BFF7-77694E4355C2}"/>
    <cellStyle name="Normal 4 4 2 2 2 2 9" xfId="9865" xr:uid="{F2B5E45F-4BF7-40AB-B180-2733DFE31118}"/>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824FEA0E-FB0A-47E5-85EF-887F7596E66E}"/>
    <cellStyle name="Normal 4 4 2 2 2 3 2 3" xfId="12422" xr:uid="{489EBCE0-4405-46A2-8626-C7E64C4F9477}"/>
    <cellStyle name="Normal 4 4 2 2 2 3 3" xfId="5168" xr:uid="{00000000-0005-0000-0000-0000DF140000}"/>
    <cellStyle name="Normal 4 4 2 2 2 3 3 2" xfId="14494" xr:uid="{6E7CAA65-917D-4895-9668-03CD21220128}"/>
    <cellStyle name="Normal 4 4 2 2 2 3 4" xfId="9352" xr:uid="{76F31DA2-44D0-447F-BA9C-6271BA6AAE96}"/>
    <cellStyle name="Normal 4 4 2 2 2 3 5" xfId="10277" xr:uid="{F109C0C0-36C6-49B6-AFD2-69F884F2D77E}"/>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3B1C0256-83FC-412D-9C02-5C3DC6B532D6}"/>
    <cellStyle name="Normal 4 4 2 2 2 4 2 3" xfId="12835" xr:uid="{1A7F149F-A54C-4889-8EBE-85367B5BEF25}"/>
    <cellStyle name="Normal 4 4 2 2 2 4 3" xfId="5581" xr:uid="{00000000-0005-0000-0000-0000E3140000}"/>
    <cellStyle name="Normal 4 4 2 2 2 4 3 2" xfId="14907" xr:uid="{8AEC32D3-9C70-4216-AA24-E784493146B3}"/>
    <cellStyle name="Normal 4 4 2 2 2 4 4" xfId="10690" xr:uid="{C3032811-BE43-494F-B2BC-C0C27D80AF85}"/>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E3E32E46-E2B0-4560-88AC-0D5A7BC316B5}"/>
    <cellStyle name="Normal 4 4 2 2 2 5 2 3" xfId="13248" xr:uid="{87332210-5EF6-41B2-9CA9-DDD42358DCD5}"/>
    <cellStyle name="Normal 4 4 2 2 2 5 3" xfId="5994" xr:uid="{00000000-0005-0000-0000-0000E7140000}"/>
    <cellStyle name="Normal 4 4 2 2 2 5 3 2" xfId="15320" xr:uid="{F3CA6DFB-97AF-493A-9C98-7A2ADA97EC63}"/>
    <cellStyle name="Normal 4 4 2 2 2 5 4" xfId="11103" xr:uid="{4C6E314D-67CE-4EAF-B391-26290358C682}"/>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A2BAB6E2-AFDB-41E4-AF2A-5ECF5418DADF}"/>
    <cellStyle name="Normal 4 4 2 2 2 6 2 3" xfId="13661" xr:uid="{5EA5D41F-768A-4998-AF3F-5264EED843AF}"/>
    <cellStyle name="Normal 4 4 2 2 2 6 3" xfId="6407" xr:uid="{00000000-0005-0000-0000-0000EB140000}"/>
    <cellStyle name="Normal 4 4 2 2 2 6 3 2" xfId="15733" xr:uid="{D29D6965-9FFF-4E05-B967-2C4FB92509D1}"/>
    <cellStyle name="Normal 4 4 2 2 2 6 4" xfId="11516" xr:uid="{1BB148DE-E4A3-4F11-9ABE-68829A02B165}"/>
    <cellStyle name="Normal 4 4 2 2 2 7" xfId="2537" xr:uid="{00000000-0005-0000-0000-0000EC140000}"/>
    <cellStyle name="Normal 4 4 2 2 2 7 2" xfId="6820" xr:uid="{00000000-0005-0000-0000-0000ED140000}"/>
    <cellStyle name="Normal 4 4 2 2 2 7 2 2" xfId="16146" xr:uid="{DECA9A80-A1EE-4B15-A57B-6BDFEF30A5B5}"/>
    <cellStyle name="Normal 4 4 2 2 2 7 3" xfId="11929" xr:uid="{6820A85F-1317-4B11-8D56-A320C77746CF}"/>
    <cellStyle name="Normal 4 4 2 2 2 8" xfId="4755" xr:uid="{00000000-0005-0000-0000-0000EE140000}"/>
    <cellStyle name="Normal 4 4 2 2 2 8 2" xfId="14081" xr:uid="{A3B42F03-E542-4CC1-B8A4-10DAC2A88BF9}"/>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3CE181C6-6A8B-413A-BD3B-CBFD5FA9AB93}"/>
    <cellStyle name="Normal 4 4 2 2 3 2 2 3" xfId="12424" xr:uid="{2D5B5060-C76D-44D5-BF5D-18F5B4849E8B}"/>
    <cellStyle name="Normal 4 4 2 2 3 2 3" xfId="5170" xr:uid="{00000000-0005-0000-0000-0000F3140000}"/>
    <cellStyle name="Normal 4 4 2 2 3 2 3 2" xfId="14496" xr:uid="{22461717-9454-4CD6-9959-A92044B1D071}"/>
    <cellStyle name="Normal 4 4 2 2 3 2 4" xfId="9456" xr:uid="{7CB0B972-68D8-4A2C-A3A7-1D2BD109E44A}"/>
    <cellStyle name="Normal 4 4 2 2 3 2 5" xfId="10279" xr:uid="{698D4B5A-70F2-47B9-90DC-1E77DAD4304C}"/>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04A804AF-6501-44EB-869D-BC1E105FA2A8}"/>
    <cellStyle name="Normal 4 4 2 2 3 3 2 3" xfId="12837" xr:uid="{DD833802-8359-4BC9-BECC-4676EE6B3319}"/>
    <cellStyle name="Normal 4 4 2 2 3 3 3" xfId="5583" xr:uid="{00000000-0005-0000-0000-0000F7140000}"/>
    <cellStyle name="Normal 4 4 2 2 3 3 3 2" xfId="14909" xr:uid="{124D0138-6668-4855-BD0C-A857BAB13DF1}"/>
    <cellStyle name="Normal 4 4 2 2 3 3 4" xfId="10692" xr:uid="{ED255FDF-B0EE-4949-B633-CC1661DAE353}"/>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C44DAB81-6B0D-4D4F-AC5C-26EC8F51C03E}"/>
    <cellStyle name="Normal 4 4 2 2 3 4 2 3" xfId="13250" xr:uid="{394D640B-6694-4522-A280-5F3640E7DC09}"/>
    <cellStyle name="Normal 4 4 2 2 3 4 3" xfId="5996" xr:uid="{00000000-0005-0000-0000-0000FB140000}"/>
    <cellStyle name="Normal 4 4 2 2 3 4 3 2" xfId="15322" xr:uid="{DB6400D4-47B7-4EBB-B407-3391873E79AE}"/>
    <cellStyle name="Normal 4 4 2 2 3 4 4" xfId="11105" xr:uid="{BAFC066B-CA8C-4830-94A9-80E6D1ABD38C}"/>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7632C097-8280-4B96-B5F2-8DD2CC08DEFC}"/>
    <cellStyle name="Normal 4 4 2 2 3 5 2 3" xfId="13663" xr:uid="{AF51C273-5E7B-4763-93BC-0086A33F66CF}"/>
    <cellStyle name="Normal 4 4 2 2 3 5 3" xfId="6409" xr:uid="{00000000-0005-0000-0000-0000FF140000}"/>
    <cellStyle name="Normal 4 4 2 2 3 5 3 2" xfId="15735" xr:uid="{DD7D59DF-A1E8-42BC-90BF-C5AA1FBC9F15}"/>
    <cellStyle name="Normal 4 4 2 2 3 5 4" xfId="11518" xr:uid="{B6D99914-3CF5-4A40-AE8C-DCD15EE911E5}"/>
    <cellStyle name="Normal 4 4 2 2 3 6" xfId="2539" xr:uid="{00000000-0005-0000-0000-000000150000}"/>
    <cellStyle name="Normal 4 4 2 2 3 6 2" xfId="6822" xr:uid="{00000000-0005-0000-0000-000001150000}"/>
    <cellStyle name="Normal 4 4 2 2 3 6 2 2" xfId="16148" xr:uid="{1ED3BFC7-5B08-49EA-BAB1-C36A23EC77B8}"/>
    <cellStyle name="Normal 4 4 2 2 3 6 3" xfId="11931" xr:uid="{2C81ED9A-74AC-4D5C-9187-4EEF396C26D9}"/>
    <cellStyle name="Normal 4 4 2 2 3 7" xfId="4757" xr:uid="{00000000-0005-0000-0000-000002150000}"/>
    <cellStyle name="Normal 4 4 2 2 3 7 2" xfId="14083" xr:uid="{B4985B0D-0DAB-4657-BDC2-B4027E889515}"/>
    <cellStyle name="Normal 4 4 2 2 3 8" xfId="9031" xr:uid="{F1B59444-328A-4279-8A0A-A9F7E26061D5}"/>
    <cellStyle name="Normal 4 4 2 2 3 9" xfId="9866" xr:uid="{759F9FAE-4506-4E04-B68A-75C2493BEB29}"/>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0FA0E174-49A4-439C-ADC5-F5D04A1973DA}"/>
    <cellStyle name="Normal 4 4 2 2 4 2 3" xfId="12421" xr:uid="{A8DF9850-4318-43A2-A6CB-310F537B2927}"/>
    <cellStyle name="Normal 4 4 2 2 4 3" xfId="5167" xr:uid="{00000000-0005-0000-0000-000006150000}"/>
    <cellStyle name="Normal 4 4 2 2 4 3 2" xfId="14493" xr:uid="{35940D15-1A6E-4DD6-AF6A-B6B92FFF2114}"/>
    <cellStyle name="Normal 4 4 2 2 4 4" xfId="9249" xr:uid="{7E4CA7C7-738D-4CFA-907A-40590344548A}"/>
    <cellStyle name="Normal 4 4 2 2 4 5" xfId="10276" xr:uid="{3DA7C951-6E85-40C7-9B68-09C206417A4E}"/>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91E79782-0688-43D3-B93C-F7D2ECFF7595}"/>
    <cellStyle name="Normal 4 4 2 2 5 2 3" xfId="12834" xr:uid="{7A1062B6-7AF9-4FC9-AB12-87945055BBDB}"/>
    <cellStyle name="Normal 4 4 2 2 5 3" xfId="5580" xr:uid="{00000000-0005-0000-0000-00000A150000}"/>
    <cellStyle name="Normal 4 4 2 2 5 3 2" xfId="14906" xr:uid="{4BF6D80A-67B5-438D-AA3F-9A1FE279F976}"/>
    <cellStyle name="Normal 4 4 2 2 5 4" xfId="10689" xr:uid="{22CDED36-65A3-4380-B497-61624E39D280}"/>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69A4DEAD-7773-4A09-A808-6DF9FDF0B5B7}"/>
    <cellStyle name="Normal 4 4 2 2 6 2 3" xfId="13247" xr:uid="{18A80349-01CA-4955-A543-8DAF5DB2EC5F}"/>
    <cellStyle name="Normal 4 4 2 2 6 3" xfId="5993" xr:uid="{00000000-0005-0000-0000-00000E150000}"/>
    <cellStyle name="Normal 4 4 2 2 6 3 2" xfId="15319" xr:uid="{4F2A1DC5-1A94-453E-A730-BAF9AB873BC9}"/>
    <cellStyle name="Normal 4 4 2 2 6 4" xfId="11102" xr:uid="{F2786C3A-8904-4AAA-AFE7-770E13AB1708}"/>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B1527A60-589D-4C14-B5E9-A38597E2C6A0}"/>
    <cellStyle name="Normal 4 4 2 2 7 2 3" xfId="13660" xr:uid="{7F824139-33D1-4385-A1BB-C55361F86EFE}"/>
    <cellStyle name="Normal 4 4 2 2 7 3" xfId="6406" xr:uid="{00000000-0005-0000-0000-000012150000}"/>
    <cellStyle name="Normal 4 4 2 2 7 3 2" xfId="15732" xr:uid="{A6FF0BC2-3570-4EDE-9DFF-FDFA37F8E2AF}"/>
    <cellStyle name="Normal 4 4 2 2 7 4" xfId="11515" xr:uid="{FDED8D33-0F6E-4442-8170-66D3B180CF8C}"/>
    <cellStyle name="Normal 4 4 2 2 8" xfId="2536" xr:uid="{00000000-0005-0000-0000-000013150000}"/>
    <cellStyle name="Normal 4 4 2 2 8 2" xfId="6819" xr:uid="{00000000-0005-0000-0000-000014150000}"/>
    <cellStyle name="Normal 4 4 2 2 8 2 2" xfId="16145" xr:uid="{D1A01559-E0C5-4ACD-ADF2-00B880A1D2C5}"/>
    <cellStyle name="Normal 4 4 2 2 8 3" xfId="11928" xr:uid="{3360D687-356A-453B-A87C-45BC5BDB7258}"/>
    <cellStyle name="Normal 4 4 2 2 9" xfId="4754" xr:uid="{00000000-0005-0000-0000-000015150000}"/>
    <cellStyle name="Normal 4 4 2 2 9 2" xfId="14080" xr:uid="{39019E73-34B6-4321-9C14-D6295B929679}"/>
    <cellStyle name="Normal 4 4 2 3" xfId="384" xr:uid="{00000000-0005-0000-0000-000016150000}"/>
    <cellStyle name="Normal 4 4 2 3 10" xfId="9867" xr:uid="{A5B1789C-0BC6-45D1-B7EE-795E2FB98863}"/>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843F9780-ECE2-4E74-8858-572E44614B1F}"/>
    <cellStyle name="Normal 4 4 2 3 2 2 2 3" xfId="12426" xr:uid="{08B55B07-04DB-49CC-94A4-7BCF01B81690}"/>
    <cellStyle name="Normal 4 4 2 3 2 2 3" xfId="5172" xr:uid="{00000000-0005-0000-0000-00001B150000}"/>
    <cellStyle name="Normal 4 4 2 3 2 2 3 2" xfId="14498" xr:uid="{4A7B0BBB-382F-430F-A3EC-A9D4BD25A668}"/>
    <cellStyle name="Normal 4 4 2 3 2 2 4" xfId="9516" xr:uid="{93008D3B-5827-4778-B167-5B518B5BF56F}"/>
    <cellStyle name="Normal 4 4 2 3 2 2 5" xfId="10281" xr:uid="{6ABF41C2-CDF4-4419-87B6-09E61B46FC91}"/>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DA3F4FBE-AABA-4664-973F-C59451AF1565}"/>
    <cellStyle name="Normal 4 4 2 3 2 3 2 3" xfId="12839" xr:uid="{5E1FE8B2-EA8F-464B-ADE6-FDACB9D94E60}"/>
    <cellStyle name="Normal 4 4 2 3 2 3 3" xfId="5585" xr:uid="{00000000-0005-0000-0000-00001F150000}"/>
    <cellStyle name="Normal 4 4 2 3 2 3 3 2" xfId="14911" xr:uid="{63784316-2894-4D6C-8249-D725A1768DD7}"/>
    <cellStyle name="Normal 4 4 2 3 2 3 4" xfId="10694" xr:uid="{9C450204-E568-4587-8147-0971F82C2994}"/>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1C63A995-0F73-4145-AC6B-DC2769C91F87}"/>
    <cellStyle name="Normal 4 4 2 3 2 4 2 3" xfId="13252" xr:uid="{8915E418-09A6-4C6C-9F34-ADCB15AC655B}"/>
    <cellStyle name="Normal 4 4 2 3 2 4 3" xfId="5998" xr:uid="{00000000-0005-0000-0000-000023150000}"/>
    <cellStyle name="Normal 4 4 2 3 2 4 3 2" xfId="15324" xr:uid="{4C68924B-B0A7-4B02-88D5-07B7C2B63AFF}"/>
    <cellStyle name="Normal 4 4 2 3 2 4 4" xfId="11107" xr:uid="{4BED3E70-F7A8-4159-A6CF-F3DCD9862DE7}"/>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F59F641A-6D93-448A-811F-2166973B84F8}"/>
    <cellStyle name="Normal 4 4 2 3 2 5 2 3" xfId="13665" xr:uid="{B1547A17-A0CE-45CF-9BAF-8D7E83838556}"/>
    <cellStyle name="Normal 4 4 2 3 2 5 3" xfId="6411" xr:uid="{00000000-0005-0000-0000-000027150000}"/>
    <cellStyle name="Normal 4 4 2 3 2 5 3 2" xfId="15737" xr:uid="{D5C68409-EFD9-4B40-96E2-A1019A6C8EC7}"/>
    <cellStyle name="Normal 4 4 2 3 2 5 4" xfId="11520" xr:uid="{85CEC2D1-4E3B-41FB-A323-25797DAFF118}"/>
    <cellStyle name="Normal 4 4 2 3 2 6" xfId="2541" xr:uid="{00000000-0005-0000-0000-000028150000}"/>
    <cellStyle name="Normal 4 4 2 3 2 6 2" xfId="6824" xr:uid="{00000000-0005-0000-0000-000029150000}"/>
    <cellStyle name="Normal 4 4 2 3 2 6 2 2" xfId="16150" xr:uid="{B5504BC9-C7E1-4D3A-9222-560C11E47805}"/>
    <cellStyle name="Normal 4 4 2 3 2 6 3" xfId="11933" xr:uid="{C595B6E8-A3BA-46DF-919B-5B8122D5457C}"/>
    <cellStyle name="Normal 4 4 2 3 2 7" xfId="4759" xr:uid="{00000000-0005-0000-0000-00002A150000}"/>
    <cellStyle name="Normal 4 4 2 3 2 7 2" xfId="14085" xr:uid="{90034C4A-C808-46B9-B3F5-FC19586F3E5E}"/>
    <cellStyle name="Normal 4 4 2 3 2 8" xfId="9091" xr:uid="{9DBAED0A-05EE-4674-B1B7-8D03DBB53301}"/>
    <cellStyle name="Normal 4 4 2 3 2 9" xfId="9868" xr:uid="{E4BD48FB-18A3-43CD-B801-C915300B01D8}"/>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65BAAB2A-FAC6-4D00-9B6F-FA6342C6145E}"/>
    <cellStyle name="Normal 4 4 2 3 3 2 3" xfId="12425" xr:uid="{08244661-3D72-4E3E-BE6F-7D4A801B1C6A}"/>
    <cellStyle name="Normal 4 4 2 3 3 3" xfId="5171" xr:uid="{00000000-0005-0000-0000-00002E150000}"/>
    <cellStyle name="Normal 4 4 2 3 3 3 2" xfId="14497" xr:uid="{C9B87A45-CDE0-4801-AB84-4FB9F61FA0CD}"/>
    <cellStyle name="Normal 4 4 2 3 3 4" xfId="9309" xr:uid="{73E912F6-92AF-449E-AE53-1DEDEF686C0F}"/>
    <cellStyle name="Normal 4 4 2 3 3 5" xfId="10280" xr:uid="{7AB91B0C-0676-4CF5-89D1-EB1803CD8E80}"/>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53705A65-1995-4362-B592-61148AA70BD4}"/>
    <cellStyle name="Normal 4 4 2 3 4 2 3" xfId="12838" xr:uid="{7CD03C8A-9189-42B5-9EDD-4DC91044A05F}"/>
    <cellStyle name="Normal 4 4 2 3 4 3" xfId="5584" xr:uid="{00000000-0005-0000-0000-000032150000}"/>
    <cellStyle name="Normal 4 4 2 3 4 3 2" xfId="14910" xr:uid="{D1E23B1F-64BC-44C6-857C-7112EA8F67E3}"/>
    <cellStyle name="Normal 4 4 2 3 4 4" xfId="10693" xr:uid="{7CEA6595-D8F1-4297-AB82-1CC256F85145}"/>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F5C88831-064E-4C25-B383-B338B179341F}"/>
    <cellStyle name="Normal 4 4 2 3 5 2 3" xfId="13251" xr:uid="{C981A599-D8AA-4A74-A483-8D5AB5046EFE}"/>
    <cellStyle name="Normal 4 4 2 3 5 3" xfId="5997" xr:uid="{00000000-0005-0000-0000-000036150000}"/>
    <cellStyle name="Normal 4 4 2 3 5 3 2" xfId="15323" xr:uid="{3D8F34E3-1634-4AFF-8029-F1627EA4FDBC}"/>
    <cellStyle name="Normal 4 4 2 3 5 4" xfId="11106" xr:uid="{EEE5A4DF-7735-45A2-87ED-94AF26E04805}"/>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81B6C852-4189-4AEF-A2AF-D040E01322CA}"/>
    <cellStyle name="Normal 4 4 2 3 6 2 3" xfId="13664" xr:uid="{445100B4-E5DB-4F0F-8787-FEFAEF88C0B8}"/>
    <cellStyle name="Normal 4 4 2 3 6 3" xfId="6410" xr:uid="{00000000-0005-0000-0000-00003A150000}"/>
    <cellStyle name="Normal 4 4 2 3 6 3 2" xfId="15736" xr:uid="{11669A0F-E39D-4167-94E8-52EA8E7E55EE}"/>
    <cellStyle name="Normal 4 4 2 3 6 4" xfId="11519" xr:uid="{46EC59C3-B992-458F-84AB-839D66991C1A}"/>
    <cellStyle name="Normal 4 4 2 3 7" xfId="2540" xr:uid="{00000000-0005-0000-0000-00003B150000}"/>
    <cellStyle name="Normal 4 4 2 3 7 2" xfId="6823" xr:uid="{00000000-0005-0000-0000-00003C150000}"/>
    <cellStyle name="Normal 4 4 2 3 7 2 2" xfId="16149" xr:uid="{69F096EF-EB8D-454C-B5CC-50656DCEB0DB}"/>
    <cellStyle name="Normal 4 4 2 3 7 3" xfId="11932" xr:uid="{BC7A63B1-49E7-4AD9-B5B1-5A8F74E6C0C8}"/>
    <cellStyle name="Normal 4 4 2 3 8" xfId="4758" xr:uid="{00000000-0005-0000-0000-00003D150000}"/>
    <cellStyle name="Normal 4 4 2 3 8 2" xfId="14084" xr:uid="{892A1319-14A7-4B63-84A1-CC55E827A962}"/>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66CEBEB9-1AB9-4219-9712-88CC61C11E05}"/>
    <cellStyle name="Normal 4 4 2 4 2 2 3" xfId="12427" xr:uid="{B2EA573E-A877-4629-9BD5-F31465681187}"/>
    <cellStyle name="Normal 4 4 2 4 2 3" xfId="5173" xr:uid="{00000000-0005-0000-0000-000042150000}"/>
    <cellStyle name="Normal 4 4 2 4 2 3 2" xfId="14499" xr:uid="{75E77E97-5E02-43A4-AB4B-7802DC0232B2}"/>
    <cellStyle name="Normal 4 4 2 4 2 4" xfId="9413" xr:uid="{4DC092EA-7C69-4E02-9FE8-33F62D070F54}"/>
    <cellStyle name="Normal 4 4 2 4 2 5" xfId="10282" xr:uid="{4E1CC899-A110-4C3A-A5BE-CEDF782FCBCB}"/>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B9ADB874-B7D0-4968-818A-1DFA6F564AB2}"/>
    <cellStyle name="Normal 4 4 2 4 3 2 3" xfId="12840" xr:uid="{7812EB26-9D4E-4BD8-B41D-B1BD768A4622}"/>
    <cellStyle name="Normal 4 4 2 4 3 3" xfId="5586" xr:uid="{00000000-0005-0000-0000-000046150000}"/>
    <cellStyle name="Normal 4 4 2 4 3 3 2" xfId="14912" xr:uid="{05FD87BA-D8D9-4683-8B64-8D04622EA2FB}"/>
    <cellStyle name="Normal 4 4 2 4 3 4" xfId="10695" xr:uid="{CEFEBECA-38BC-4414-9A7A-C3ABE36F9044}"/>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9B1E9A40-0896-46FA-A3BB-F8FDE0795FF4}"/>
    <cellStyle name="Normal 4 4 2 4 4 2 3" xfId="13253" xr:uid="{73A78D1B-7DF3-4BD0-8C09-C0AE8600053C}"/>
    <cellStyle name="Normal 4 4 2 4 4 3" xfId="5999" xr:uid="{00000000-0005-0000-0000-00004A150000}"/>
    <cellStyle name="Normal 4 4 2 4 4 3 2" xfId="15325" xr:uid="{D8000FF5-E502-4954-8908-6D959B33A5DE}"/>
    <cellStyle name="Normal 4 4 2 4 4 4" xfId="11108" xr:uid="{F7B20E42-2118-42A5-B8F7-93C59909FF10}"/>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9D55A269-1F3B-4CE5-96BB-466179935099}"/>
    <cellStyle name="Normal 4 4 2 4 5 2 3" xfId="13666" xr:uid="{8E1FEDF4-03B5-4771-8B7C-544A54A7BDE7}"/>
    <cellStyle name="Normal 4 4 2 4 5 3" xfId="6412" xr:uid="{00000000-0005-0000-0000-00004E150000}"/>
    <cellStyle name="Normal 4 4 2 4 5 3 2" xfId="15738" xr:uid="{2B83E501-F316-4F14-8CC5-9E19A24E9AB9}"/>
    <cellStyle name="Normal 4 4 2 4 5 4" xfId="11521" xr:uid="{94529800-FF53-4A0B-9929-07AF693A0B9B}"/>
    <cellStyle name="Normal 4 4 2 4 6" xfId="2542" xr:uid="{00000000-0005-0000-0000-00004F150000}"/>
    <cellStyle name="Normal 4 4 2 4 6 2" xfId="6825" xr:uid="{00000000-0005-0000-0000-000050150000}"/>
    <cellStyle name="Normal 4 4 2 4 6 2 2" xfId="16151" xr:uid="{4EED7925-ADF9-4997-AF74-BA990AD2D7A1}"/>
    <cellStyle name="Normal 4 4 2 4 6 3" xfId="11934" xr:uid="{3E382AEC-7E59-4C1C-A9BB-DC60ACB07960}"/>
    <cellStyle name="Normal 4 4 2 4 7" xfId="4760" xr:uid="{00000000-0005-0000-0000-000051150000}"/>
    <cellStyle name="Normal 4 4 2 4 7 2" xfId="14086" xr:uid="{8D4E22C1-A535-4112-9E2F-B6621AA0A229}"/>
    <cellStyle name="Normal 4 4 2 4 8" xfId="8988" xr:uid="{F852E7B0-7ACD-4401-B3B6-BE989A5C8AD5}"/>
    <cellStyle name="Normal 4 4 2 4 9" xfId="9869" xr:uid="{02C068C1-82D4-452F-A1BB-1AB9B96D9154}"/>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8B35D951-7C7B-40FA-83AB-F3E441164194}"/>
    <cellStyle name="Normal 4 4 2 5 2 3" xfId="12420" xr:uid="{961AB1A9-0067-449F-A635-AC29E40C97D7}"/>
    <cellStyle name="Normal 4 4 2 5 3" xfId="5166" xr:uid="{00000000-0005-0000-0000-000055150000}"/>
    <cellStyle name="Normal 4 4 2 5 3 2" xfId="14492" xr:uid="{E2693356-7296-4270-96E1-789A9043A77D}"/>
    <cellStyle name="Normal 4 4 2 5 4" xfId="9205" xr:uid="{A63DE01D-3EC8-40FC-A47E-E0EA001EED52}"/>
    <cellStyle name="Normal 4 4 2 5 5" xfId="10275" xr:uid="{1D5B8E40-54C9-4CFF-B4E7-737BA0FEFFE6}"/>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DA5C82DC-56E5-42D3-8B63-FC4EDE09100A}"/>
    <cellStyle name="Normal 4 4 2 6 2 3" xfId="12833" xr:uid="{FE139E5D-80DD-4FDA-BD7E-B3073BB7F7BB}"/>
    <cellStyle name="Normal 4 4 2 6 3" xfId="5579" xr:uid="{00000000-0005-0000-0000-000059150000}"/>
    <cellStyle name="Normal 4 4 2 6 3 2" xfId="14905" xr:uid="{3F8F0B36-8874-45FB-88D4-295FB39E3BA2}"/>
    <cellStyle name="Normal 4 4 2 6 4" xfId="10688" xr:uid="{818D5574-F3FE-425F-B736-538ADF146470}"/>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DD8E71F4-9914-410C-A374-4D4F21D49A62}"/>
    <cellStyle name="Normal 4 4 2 7 2 3" xfId="13246" xr:uid="{2CC6BB6A-F2B0-428C-A6A3-F7251B7CAA61}"/>
    <cellStyle name="Normal 4 4 2 7 3" xfId="5992" xr:uid="{00000000-0005-0000-0000-00005D150000}"/>
    <cellStyle name="Normal 4 4 2 7 3 2" xfId="15318" xr:uid="{08DFFEBC-DAB1-4C10-AEE0-D114B2FFBB32}"/>
    <cellStyle name="Normal 4 4 2 7 4" xfId="11101" xr:uid="{F2069050-0FFA-46CA-9C55-A58E207193A5}"/>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593FF3B2-9490-47E9-BEC7-A45BF1A1DAA4}"/>
    <cellStyle name="Normal 4 4 2 8 2 3" xfId="13659" xr:uid="{4A6851AB-733C-43B4-98B8-07F1052A3032}"/>
    <cellStyle name="Normal 4 4 2 8 3" xfId="6405" xr:uid="{00000000-0005-0000-0000-000061150000}"/>
    <cellStyle name="Normal 4 4 2 8 3 2" xfId="15731" xr:uid="{85579DFA-1D5D-4F17-B9A2-8571B37A1C79}"/>
    <cellStyle name="Normal 4 4 2 8 4" xfId="11514" xr:uid="{F42A33E2-E7C6-46B8-9818-9F00F43791F4}"/>
    <cellStyle name="Normal 4 4 2 9" xfId="2535" xr:uid="{00000000-0005-0000-0000-000062150000}"/>
    <cellStyle name="Normal 4 4 2 9 2" xfId="6818" xr:uid="{00000000-0005-0000-0000-000063150000}"/>
    <cellStyle name="Normal 4 4 2 9 2 2" xfId="16144" xr:uid="{51EDF8CD-BD2A-4C9F-80FA-1DC686427255}"/>
    <cellStyle name="Normal 4 4 2 9 3" xfId="11927" xr:uid="{D00530E6-3BB5-443E-8998-D6958EC2FD8E}"/>
    <cellStyle name="Normal 4 4 3" xfId="387" xr:uid="{00000000-0005-0000-0000-000064150000}"/>
    <cellStyle name="Normal 4 4 3 10" xfId="8823" xr:uid="{E623F102-F69B-4FD0-BEDA-A1480AF4D892}"/>
    <cellStyle name="Normal 4 4 3 11" xfId="9870" xr:uid="{ABD2B593-6A56-4AFD-A29B-BD0E42E19019}"/>
    <cellStyle name="Normal 4 4 3 2" xfId="388" xr:uid="{00000000-0005-0000-0000-000065150000}"/>
    <cellStyle name="Normal 4 4 3 2 10" xfId="9871" xr:uid="{4E92AB3B-5DEC-4C10-96A9-086304BCE453}"/>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2572514A-BA8B-48A0-B3AB-F2A004FD52CB}"/>
    <cellStyle name="Normal 4 4 3 2 2 2 2 3" xfId="12430" xr:uid="{C9848D15-DEB8-4807-A7D4-3D379B85851F}"/>
    <cellStyle name="Normal 4 4 3 2 2 2 3" xfId="5176" xr:uid="{00000000-0005-0000-0000-00006A150000}"/>
    <cellStyle name="Normal 4 4 3 2 2 2 3 2" xfId="14502" xr:uid="{1AF06008-F020-4F2A-B29F-BE338065E292}"/>
    <cellStyle name="Normal 4 4 3 2 2 2 4" xfId="9558" xr:uid="{8C9519E6-5920-473D-9749-EC61E4877632}"/>
    <cellStyle name="Normal 4 4 3 2 2 2 5" xfId="10285" xr:uid="{3CBF7236-80E2-47C6-B2CD-FBD550FC2BEF}"/>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CD8D7E41-E9BE-45C2-9441-F3E880ACC8CD}"/>
    <cellStyle name="Normal 4 4 3 2 2 3 2 3" xfId="12843" xr:uid="{468F493A-F884-4E25-877B-AC74D6BE508B}"/>
    <cellStyle name="Normal 4 4 3 2 2 3 3" xfId="5589" xr:uid="{00000000-0005-0000-0000-00006E150000}"/>
    <cellStyle name="Normal 4 4 3 2 2 3 3 2" xfId="14915" xr:uid="{C394D714-2DD8-432C-9312-7E30C8DE14E8}"/>
    <cellStyle name="Normal 4 4 3 2 2 3 4" xfId="10698" xr:uid="{290BA6AA-E3C6-4929-94BA-EDB3B9BE206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FFAD2EA2-80C8-4330-838E-38E8F5B9E942}"/>
    <cellStyle name="Normal 4 4 3 2 2 4 2 3" xfId="13256" xr:uid="{4B394FBE-8AFA-4F04-853B-F1A6FC3691D6}"/>
    <cellStyle name="Normal 4 4 3 2 2 4 3" xfId="6002" xr:uid="{00000000-0005-0000-0000-000072150000}"/>
    <cellStyle name="Normal 4 4 3 2 2 4 3 2" xfId="15328" xr:uid="{49A91DA3-D8E3-4621-9D3D-4E191A2A3B98}"/>
    <cellStyle name="Normal 4 4 3 2 2 4 4" xfId="11111" xr:uid="{8E5CF810-D2B6-4F65-84DC-CED23E210813}"/>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1BCA2E79-5E50-493D-BDDB-7527E28BB344}"/>
    <cellStyle name="Normal 4 4 3 2 2 5 2 3" xfId="13669" xr:uid="{40A8EE92-9F8A-4707-99BA-B2C886E8A303}"/>
    <cellStyle name="Normal 4 4 3 2 2 5 3" xfId="6415" xr:uid="{00000000-0005-0000-0000-000076150000}"/>
    <cellStyle name="Normal 4 4 3 2 2 5 3 2" xfId="15741" xr:uid="{B37A8CEC-B34F-45E5-9EE4-859D7913BF70}"/>
    <cellStyle name="Normal 4 4 3 2 2 5 4" xfId="11524" xr:uid="{139C98BA-05ED-407A-B411-FC5227E3F900}"/>
    <cellStyle name="Normal 4 4 3 2 2 6" xfId="2545" xr:uid="{00000000-0005-0000-0000-000077150000}"/>
    <cellStyle name="Normal 4 4 3 2 2 6 2" xfId="6828" xr:uid="{00000000-0005-0000-0000-000078150000}"/>
    <cellStyle name="Normal 4 4 3 2 2 6 2 2" xfId="16154" xr:uid="{78E54BFE-ABFB-4AE4-BB85-2DC6DFB652B5}"/>
    <cellStyle name="Normal 4 4 3 2 2 6 3" xfId="11937" xr:uid="{2FA76B6E-D4C7-47C1-A390-FC6C1F516C49}"/>
    <cellStyle name="Normal 4 4 3 2 2 7" xfId="4763" xr:uid="{00000000-0005-0000-0000-000079150000}"/>
    <cellStyle name="Normal 4 4 3 2 2 7 2" xfId="14089" xr:uid="{671C3C62-F992-4F1D-87EE-18A9E5C9A23F}"/>
    <cellStyle name="Normal 4 4 3 2 2 8" xfId="9133" xr:uid="{37002A66-D58A-4EF9-8D22-8F1A3EE99E08}"/>
    <cellStyle name="Normal 4 4 3 2 2 9" xfId="9872" xr:uid="{31D2DB99-15EA-40E7-BFC4-B0563BD6BD1F}"/>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7C846F0D-0168-4E7F-A2C6-6B21E6187569}"/>
    <cellStyle name="Normal 4 4 3 2 3 2 3" xfId="12429" xr:uid="{86ACDC3B-9819-4847-B640-0E55322D7696}"/>
    <cellStyle name="Normal 4 4 3 2 3 3" xfId="5175" xr:uid="{00000000-0005-0000-0000-00007D150000}"/>
    <cellStyle name="Normal 4 4 3 2 3 3 2" xfId="14501" xr:uid="{9DDBC04F-D24A-4D25-805A-F7DE0B348FD0}"/>
    <cellStyle name="Normal 4 4 3 2 3 4" xfId="9351" xr:uid="{51AD2B95-755A-411D-AA40-98381F5D8294}"/>
    <cellStyle name="Normal 4 4 3 2 3 5" xfId="10284" xr:uid="{0D64470B-40DF-4CAF-A11B-A9A3B0BB340C}"/>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0BFE9A24-3DA5-446C-B0D9-9C0E074D4123}"/>
    <cellStyle name="Normal 4 4 3 2 4 2 3" xfId="12842" xr:uid="{CDB33E23-572F-45F3-B379-8A4F504BB2A5}"/>
    <cellStyle name="Normal 4 4 3 2 4 3" xfId="5588" xr:uid="{00000000-0005-0000-0000-000081150000}"/>
    <cellStyle name="Normal 4 4 3 2 4 3 2" xfId="14914" xr:uid="{C74E98FA-FC94-4CF9-A167-B473DFFE1C87}"/>
    <cellStyle name="Normal 4 4 3 2 4 4" xfId="10697" xr:uid="{424E11A8-89EC-4EE6-9A33-23733498984E}"/>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9120E4AF-731A-45A8-BC64-C5A2E1AA6D89}"/>
    <cellStyle name="Normal 4 4 3 2 5 2 3" xfId="13255" xr:uid="{779A94AD-D764-4957-A57A-B15892BB7625}"/>
    <cellStyle name="Normal 4 4 3 2 5 3" xfId="6001" xr:uid="{00000000-0005-0000-0000-000085150000}"/>
    <cellStyle name="Normal 4 4 3 2 5 3 2" xfId="15327" xr:uid="{AE7CAD95-16F5-4117-8F54-D76E94261E2F}"/>
    <cellStyle name="Normal 4 4 3 2 5 4" xfId="11110" xr:uid="{06BA0BC3-7292-44A2-826F-20F5BE4B30A3}"/>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0D726C19-D616-4CEA-9D95-7AA32860DA2E}"/>
    <cellStyle name="Normal 4 4 3 2 6 2 3" xfId="13668" xr:uid="{BC99E391-BF93-4841-8CC0-9496AB57BD8A}"/>
    <cellStyle name="Normal 4 4 3 2 6 3" xfId="6414" xr:uid="{00000000-0005-0000-0000-000089150000}"/>
    <cellStyle name="Normal 4 4 3 2 6 3 2" xfId="15740" xr:uid="{A527164D-D448-4417-9BB3-6E18FE4688F5}"/>
    <cellStyle name="Normal 4 4 3 2 6 4" xfId="11523" xr:uid="{59110CBA-8486-456C-B7CC-32B7752CF513}"/>
    <cellStyle name="Normal 4 4 3 2 7" xfId="2544" xr:uid="{00000000-0005-0000-0000-00008A150000}"/>
    <cellStyle name="Normal 4 4 3 2 7 2" xfId="6827" xr:uid="{00000000-0005-0000-0000-00008B150000}"/>
    <cellStyle name="Normal 4 4 3 2 7 2 2" xfId="16153" xr:uid="{1FB6CCB2-A0B0-43A0-B729-C210FC557B3A}"/>
    <cellStyle name="Normal 4 4 3 2 7 3" xfId="11936" xr:uid="{3B6B8862-84BB-4CF4-8DE3-5AE6DC4A47F4}"/>
    <cellStyle name="Normal 4 4 3 2 8" xfId="4762" xr:uid="{00000000-0005-0000-0000-00008C150000}"/>
    <cellStyle name="Normal 4 4 3 2 8 2" xfId="14088" xr:uid="{2B06FB90-900B-43A8-B0E4-DE72A2ADD311}"/>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040CD064-4A60-4D81-9E5C-DF15BEAB65DD}"/>
    <cellStyle name="Normal 4 4 3 3 2 2 3" xfId="12431" xr:uid="{2892C6A2-C7A5-4FBA-BD24-6CDEE94AD179}"/>
    <cellStyle name="Normal 4 4 3 3 2 3" xfId="5177" xr:uid="{00000000-0005-0000-0000-000091150000}"/>
    <cellStyle name="Normal 4 4 3 3 2 3 2" xfId="14503" xr:uid="{7B138ABF-9C41-4EB6-B7A5-4CB42F0E4040}"/>
    <cellStyle name="Normal 4 4 3 3 2 4" xfId="9455" xr:uid="{E39EB3A2-D99A-426C-AFEC-E4C90C85BE02}"/>
    <cellStyle name="Normal 4 4 3 3 2 5" xfId="10286" xr:uid="{75C50D96-4705-4057-9614-AEAAEB586C20}"/>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02AA4BCA-90F5-4270-8B9A-16089A3BF2A3}"/>
    <cellStyle name="Normal 4 4 3 3 3 2 3" xfId="12844" xr:uid="{9A56A532-BBF1-407E-8FEB-ADD141274AD9}"/>
    <cellStyle name="Normal 4 4 3 3 3 3" xfId="5590" xr:uid="{00000000-0005-0000-0000-000095150000}"/>
    <cellStyle name="Normal 4 4 3 3 3 3 2" xfId="14916" xr:uid="{4082BF3C-1246-43B9-9DEC-DC59FB021B01}"/>
    <cellStyle name="Normal 4 4 3 3 3 4" xfId="10699" xr:uid="{B1325DE9-5457-4CDB-959E-6C0AB7F5118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F6FCB804-A92F-4E4B-90B2-2ECD0B128206}"/>
    <cellStyle name="Normal 4 4 3 3 4 2 3" xfId="13257" xr:uid="{542E8375-39AC-4CEA-AB3B-1A1714BA4F82}"/>
    <cellStyle name="Normal 4 4 3 3 4 3" xfId="6003" xr:uid="{00000000-0005-0000-0000-000099150000}"/>
    <cellStyle name="Normal 4 4 3 3 4 3 2" xfId="15329" xr:uid="{2FC8E883-7482-4829-B584-B927DDB8E42E}"/>
    <cellStyle name="Normal 4 4 3 3 4 4" xfId="11112" xr:uid="{F61F02E1-B1C5-48C6-AF5A-DDC0A0C95F4D}"/>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DD2D1B03-BB33-4DB2-802A-38DB1E05634C}"/>
    <cellStyle name="Normal 4 4 3 3 5 2 3" xfId="13670" xr:uid="{64712302-2663-4177-8FCF-EDC52A306A82}"/>
    <cellStyle name="Normal 4 4 3 3 5 3" xfId="6416" xr:uid="{00000000-0005-0000-0000-00009D150000}"/>
    <cellStyle name="Normal 4 4 3 3 5 3 2" xfId="15742" xr:uid="{04B02483-A1B0-462A-BB49-41F138F20A94}"/>
    <cellStyle name="Normal 4 4 3 3 5 4" xfId="11525" xr:uid="{4AE7EC75-C5A7-4B9A-8CE7-A175FB0FC455}"/>
    <cellStyle name="Normal 4 4 3 3 6" xfId="2546" xr:uid="{00000000-0005-0000-0000-00009E150000}"/>
    <cellStyle name="Normal 4 4 3 3 6 2" xfId="6829" xr:uid="{00000000-0005-0000-0000-00009F150000}"/>
    <cellStyle name="Normal 4 4 3 3 6 2 2" xfId="16155" xr:uid="{3BC53BBC-AE63-4450-B8A2-9D462830A188}"/>
    <cellStyle name="Normal 4 4 3 3 6 3" xfId="11938" xr:uid="{4AAB4080-16D8-4732-A904-D315BEB2A3F5}"/>
    <cellStyle name="Normal 4 4 3 3 7" xfId="4764" xr:uid="{00000000-0005-0000-0000-0000A0150000}"/>
    <cellStyle name="Normal 4 4 3 3 7 2" xfId="14090" xr:uid="{50257D6A-A7B3-4010-B2FB-0958DECE5EFB}"/>
    <cellStyle name="Normal 4 4 3 3 8" xfId="9030" xr:uid="{F975DAAD-4546-4770-9976-5C5C66DA227B}"/>
    <cellStyle name="Normal 4 4 3 3 9" xfId="9873" xr:uid="{548757D5-9A2E-478D-86DC-98F8F586298C}"/>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22B3310F-084E-490D-BDEA-A3F92CF09F13}"/>
    <cellStyle name="Normal 4 4 3 4 2 3" xfId="12428" xr:uid="{E5E3E0FD-FD62-44B5-B2A0-EC8645ECB759}"/>
    <cellStyle name="Normal 4 4 3 4 3" xfId="5174" xr:uid="{00000000-0005-0000-0000-0000A4150000}"/>
    <cellStyle name="Normal 4 4 3 4 3 2" xfId="14500" xr:uid="{36E972AC-63C5-4D89-95AE-1FB2434A22B4}"/>
    <cellStyle name="Normal 4 4 3 4 4" xfId="9248" xr:uid="{6C5F877B-48E6-47C2-B849-E53F373D5A86}"/>
    <cellStyle name="Normal 4 4 3 4 5" xfId="10283" xr:uid="{9FD3E8BF-D65D-4BB0-B97D-3A6189D07713}"/>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EDA62A5B-1132-48FA-B85D-05A91DCF5834}"/>
    <cellStyle name="Normal 4 4 3 5 2 3" xfId="12841" xr:uid="{1AE4183C-812B-4862-95D3-2A081FE5E414}"/>
    <cellStyle name="Normal 4 4 3 5 3" xfId="5587" xr:uid="{00000000-0005-0000-0000-0000A8150000}"/>
    <cellStyle name="Normal 4 4 3 5 3 2" xfId="14913" xr:uid="{E5614F79-1E83-4F44-BC8F-A25D40B68183}"/>
    <cellStyle name="Normal 4 4 3 5 4" xfId="10696" xr:uid="{A92213A4-A7E6-46DC-B8D6-2BF9A504C1F5}"/>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2CBD84A1-C471-4BEB-95C7-84F6478B6EFA}"/>
    <cellStyle name="Normal 4 4 3 6 2 3" xfId="13254" xr:uid="{94F13FD9-6530-4E24-B1FE-4DA031C92C56}"/>
    <cellStyle name="Normal 4 4 3 6 3" xfId="6000" xr:uid="{00000000-0005-0000-0000-0000AC150000}"/>
    <cellStyle name="Normal 4 4 3 6 3 2" xfId="15326" xr:uid="{E503E9A2-1F1D-4F73-91CD-0DB627888021}"/>
    <cellStyle name="Normal 4 4 3 6 4" xfId="11109" xr:uid="{71B2610E-B5F8-4E69-9860-71DC46BD603A}"/>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6B13802A-BA69-4B95-98C9-FC60DF45D7F0}"/>
    <cellStyle name="Normal 4 4 3 7 2 3" xfId="13667" xr:uid="{FA96468D-77DD-4F98-953E-DCA8EB464B2E}"/>
    <cellStyle name="Normal 4 4 3 7 3" xfId="6413" xr:uid="{00000000-0005-0000-0000-0000B0150000}"/>
    <cellStyle name="Normal 4 4 3 7 3 2" xfId="15739" xr:uid="{4A9A05AB-7420-495F-ACB6-25DF0858B3B5}"/>
    <cellStyle name="Normal 4 4 3 7 4" xfId="11522" xr:uid="{CFE2ACB2-66A7-41B8-9E7D-0728E0AF7408}"/>
    <cellStyle name="Normal 4 4 3 8" xfId="2543" xr:uid="{00000000-0005-0000-0000-0000B1150000}"/>
    <cellStyle name="Normal 4 4 3 8 2" xfId="6826" xr:uid="{00000000-0005-0000-0000-0000B2150000}"/>
    <cellStyle name="Normal 4 4 3 8 2 2" xfId="16152" xr:uid="{84499CD5-E939-410D-ADED-1A767B255F13}"/>
    <cellStyle name="Normal 4 4 3 8 3" xfId="11935" xr:uid="{EF842B29-3B6C-461C-9454-267352345246}"/>
    <cellStyle name="Normal 4 4 3 9" xfId="4761" xr:uid="{00000000-0005-0000-0000-0000B3150000}"/>
    <cellStyle name="Normal 4 4 3 9 2" xfId="14087" xr:uid="{E1B06A0A-B4E9-4072-B621-BA987F5EB10B}"/>
    <cellStyle name="Normal 4 4 4" xfId="391" xr:uid="{00000000-0005-0000-0000-0000B4150000}"/>
    <cellStyle name="Normal 4 4 4 10" xfId="9874" xr:uid="{5674B2E4-31C8-4C84-9C85-56113D7ACAE2}"/>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F55F3462-1F0F-4C6B-8D1B-B8013FABB202}"/>
    <cellStyle name="Normal 4 4 4 2 2 2 3" xfId="12433" xr:uid="{27D67733-B747-401D-964C-E76E0B15C65B}"/>
    <cellStyle name="Normal 4 4 4 2 2 3" xfId="5179" xr:uid="{00000000-0005-0000-0000-0000B9150000}"/>
    <cellStyle name="Normal 4 4 4 2 2 3 2" xfId="14505" xr:uid="{C8153B72-A7C0-4739-BAE4-1B0A9C071C23}"/>
    <cellStyle name="Normal 4 4 4 2 2 4" xfId="9484" xr:uid="{69910E0C-08C8-41C5-A6FC-61B52F6CD538}"/>
    <cellStyle name="Normal 4 4 4 2 2 5" xfId="10288" xr:uid="{C1BA846C-2B5B-45C4-A4D1-BB9738C17136}"/>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57F5758A-3354-4B5D-AEED-FE6D3E8158A2}"/>
    <cellStyle name="Normal 4 4 4 2 3 2 3" xfId="12846" xr:uid="{490553FE-368F-4637-B093-E07E968192EF}"/>
    <cellStyle name="Normal 4 4 4 2 3 3" xfId="5592" xr:uid="{00000000-0005-0000-0000-0000BD150000}"/>
    <cellStyle name="Normal 4 4 4 2 3 3 2" xfId="14918" xr:uid="{D2D2808D-A963-4EBD-823E-64545075FF22}"/>
    <cellStyle name="Normal 4 4 4 2 3 4" xfId="10701" xr:uid="{7D0D2081-345A-4E40-B4C6-9AED24D3FED0}"/>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DB25D442-FB30-49E6-A3CA-3F5B49F0C46D}"/>
    <cellStyle name="Normal 4 4 4 2 4 2 3" xfId="13259" xr:uid="{9D11E666-4CAF-442D-8891-6FE0ABC77E19}"/>
    <cellStyle name="Normal 4 4 4 2 4 3" xfId="6005" xr:uid="{00000000-0005-0000-0000-0000C1150000}"/>
    <cellStyle name="Normal 4 4 4 2 4 3 2" xfId="15331" xr:uid="{4FF2EEEE-D9F1-4C85-8BCC-EBAAD1215353}"/>
    <cellStyle name="Normal 4 4 4 2 4 4" xfId="11114" xr:uid="{E6F1DC02-1FDC-4742-B82A-4F9BD6AD0644}"/>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7E20578B-3392-4BF5-8C7F-D1AD8A406A5F}"/>
    <cellStyle name="Normal 4 4 4 2 5 2 3" xfId="13672" xr:uid="{86189E5B-6BDB-454C-99A6-19CA5325CDAA}"/>
    <cellStyle name="Normal 4 4 4 2 5 3" xfId="6418" xr:uid="{00000000-0005-0000-0000-0000C5150000}"/>
    <cellStyle name="Normal 4 4 4 2 5 3 2" xfId="15744" xr:uid="{D2EF1DD3-2E12-4C32-8906-ED6EAAF7BA17}"/>
    <cellStyle name="Normal 4 4 4 2 5 4" xfId="11527" xr:uid="{D40C981D-329D-45FB-8DFE-1CAFA0F57018}"/>
    <cellStyle name="Normal 4 4 4 2 6" xfId="2548" xr:uid="{00000000-0005-0000-0000-0000C6150000}"/>
    <cellStyle name="Normal 4 4 4 2 6 2" xfId="6831" xr:uid="{00000000-0005-0000-0000-0000C7150000}"/>
    <cellStyle name="Normal 4 4 4 2 6 2 2" xfId="16157" xr:uid="{A8B045F1-525B-4ECA-BCC1-A1557E37D39A}"/>
    <cellStyle name="Normal 4 4 4 2 6 3" xfId="11940" xr:uid="{DC56234E-0D1A-45FA-BE10-E36C47EBD791}"/>
    <cellStyle name="Normal 4 4 4 2 7" xfId="4766" xr:uid="{00000000-0005-0000-0000-0000C8150000}"/>
    <cellStyle name="Normal 4 4 4 2 7 2" xfId="14092" xr:uid="{B8F229F3-9F1D-442A-BC28-06B24FCD267B}"/>
    <cellStyle name="Normal 4 4 4 2 8" xfId="9059" xr:uid="{76617FCA-DBA6-4291-BD32-6340A19903F7}"/>
    <cellStyle name="Normal 4 4 4 2 9" xfId="9875" xr:uid="{54D57590-8CF6-4F7A-86AB-4EDDB4DBCAAA}"/>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1987B050-44C0-45CC-80EF-6BEFE1D01D00}"/>
    <cellStyle name="Normal 4 4 4 3 2 3" xfId="12432" xr:uid="{46F240DD-62C0-4306-80C4-2B3D00168A46}"/>
    <cellStyle name="Normal 4 4 4 3 3" xfId="5178" xr:uid="{00000000-0005-0000-0000-0000CC150000}"/>
    <cellStyle name="Normal 4 4 4 3 3 2" xfId="14504" xr:uid="{BF099E26-E364-4308-B7A9-AD7E1079C5D7}"/>
    <cellStyle name="Normal 4 4 4 3 4" xfId="9277" xr:uid="{DD01CD29-2559-4BCC-919C-99D1D75C445F}"/>
    <cellStyle name="Normal 4 4 4 3 5" xfId="10287" xr:uid="{C3EB6491-D837-420E-8E22-68CB3EBE118B}"/>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0E1BABA8-C8E2-41F7-9467-6C66E0A3F873}"/>
    <cellStyle name="Normal 4 4 4 4 2 3" xfId="12845" xr:uid="{E74C552A-3E24-4C54-AEED-E60ACCDA49BF}"/>
    <cellStyle name="Normal 4 4 4 4 3" xfId="5591" xr:uid="{00000000-0005-0000-0000-0000D0150000}"/>
    <cellStyle name="Normal 4 4 4 4 3 2" xfId="14917" xr:uid="{8FBD08CD-E40A-4A48-8B31-E53DEBB908A6}"/>
    <cellStyle name="Normal 4 4 4 4 4" xfId="10700" xr:uid="{E4F7DBF3-DC1A-4270-8FAC-75FBEB52C4B4}"/>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5D607120-5117-4055-8F3D-2AE3EEBAF642}"/>
    <cellStyle name="Normal 4 4 4 5 2 3" xfId="13258" xr:uid="{75D498A0-8838-4B59-9B2D-EA861477CF7A}"/>
    <cellStyle name="Normal 4 4 4 5 3" xfId="6004" xr:uid="{00000000-0005-0000-0000-0000D4150000}"/>
    <cellStyle name="Normal 4 4 4 5 3 2" xfId="15330" xr:uid="{0F88F22F-8D23-4A51-B75F-8A86C2295D73}"/>
    <cellStyle name="Normal 4 4 4 5 4" xfId="11113" xr:uid="{FA81B5F4-5FB9-4183-B7D3-5BC202D891CB}"/>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5E535013-00C8-453C-9031-26C5E54320E2}"/>
    <cellStyle name="Normal 4 4 4 6 2 3" xfId="13671" xr:uid="{BF1D398B-ED86-419D-B56E-43B8CA3F87B0}"/>
    <cellStyle name="Normal 4 4 4 6 3" xfId="6417" xr:uid="{00000000-0005-0000-0000-0000D8150000}"/>
    <cellStyle name="Normal 4 4 4 6 3 2" xfId="15743" xr:uid="{4EFA6AB1-6674-4771-8668-BD6DC712B3A1}"/>
    <cellStyle name="Normal 4 4 4 6 4" xfId="11526" xr:uid="{FE54F1E5-1E3A-49DB-BCD4-102591C471BB}"/>
    <cellStyle name="Normal 4 4 4 7" xfId="2547" xr:uid="{00000000-0005-0000-0000-0000D9150000}"/>
    <cellStyle name="Normal 4 4 4 7 2" xfId="6830" xr:uid="{00000000-0005-0000-0000-0000DA150000}"/>
    <cellStyle name="Normal 4 4 4 7 2 2" xfId="16156" xr:uid="{0890E8BC-4076-48FE-AC6B-37D3D01F94A2}"/>
    <cellStyle name="Normal 4 4 4 7 3" xfId="11939" xr:uid="{276450D1-813C-4351-9350-0E07C7E16C2F}"/>
    <cellStyle name="Normal 4 4 4 8" xfId="4765" xr:uid="{00000000-0005-0000-0000-0000DB150000}"/>
    <cellStyle name="Normal 4 4 4 8 2" xfId="14091" xr:uid="{1AC21605-BEF8-4FB4-BB21-37D791A1BC04}"/>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6CC7FA32-EECD-4C2B-B9B0-5017E9DF44BB}"/>
    <cellStyle name="Normal 4 4 5 2 2 3" xfId="12434" xr:uid="{0497EEF5-BEC8-4ED7-9E44-584389837675}"/>
    <cellStyle name="Normal 4 4 5 2 3" xfId="5180" xr:uid="{00000000-0005-0000-0000-0000E0150000}"/>
    <cellStyle name="Normal 4 4 5 2 3 2" xfId="14506" xr:uid="{DA6D4A9B-5B7B-4CF0-85BE-3E1D3753862E}"/>
    <cellStyle name="Normal 4 4 5 2 4" xfId="9393" xr:uid="{C2991CC4-4E0B-46C4-B338-C6A1C9BA2DE9}"/>
    <cellStyle name="Normal 4 4 5 2 5" xfId="10289" xr:uid="{A638AB75-A5C6-4B64-BAFB-1D71234758BD}"/>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4454FEA1-B817-4C4D-9985-EBF3C948871A}"/>
    <cellStyle name="Normal 4 4 5 3 2 3" xfId="12847" xr:uid="{F31276DE-7704-42AA-990D-C6FC0D3CE82A}"/>
    <cellStyle name="Normal 4 4 5 3 3" xfId="5593" xr:uid="{00000000-0005-0000-0000-0000E4150000}"/>
    <cellStyle name="Normal 4 4 5 3 3 2" xfId="14919" xr:uid="{C6C50B5A-8A6E-404F-BE40-601473BBC673}"/>
    <cellStyle name="Normal 4 4 5 3 4" xfId="10702" xr:uid="{3697575C-86F0-4AE9-9CE0-3EC58545DCC3}"/>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0B4817ED-1E58-4C8E-BC43-2461993F0F0B}"/>
    <cellStyle name="Normal 4 4 5 4 2 3" xfId="13260" xr:uid="{2C4E6053-0C6A-4811-ADBF-C6E1E958F810}"/>
    <cellStyle name="Normal 4 4 5 4 3" xfId="6006" xr:uid="{00000000-0005-0000-0000-0000E8150000}"/>
    <cellStyle name="Normal 4 4 5 4 3 2" xfId="15332" xr:uid="{DB66CA81-FCDF-4B79-8E2B-1CB24F852192}"/>
    <cellStyle name="Normal 4 4 5 4 4" xfId="11115" xr:uid="{C034067A-5E5E-47B1-89DB-F931F916E17D}"/>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9259E9F1-CA07-4D69-A6C6-1EEE46C1A5A7}"/>
    <cellStyle name="Normal 4 4 5 5 2 3" xfId="13673" xr:uid="{5FFAECF3-15D8-4910-A170-DB6C06B01E90}"/>
    <cellStyle name="Normal 4 4 5 5 3" xfId="6419" xr:uid="{00000000-0005-0000-0000-0000EC150000}"/>
    <cellStyle name="Normal 4 4 5 5 3 2" xfId="15745" xr:uid="{46A3C41D-CEED-4B5A-9E97-017454EF2639}"/>
    <cellStyle name="Normal 4 4 5 5 4" xfId="11528" xr:uid="{3318F307-0C42-4FDC-995E-70343B801BD8}"/>
    <cellStyle name="Normal 4 4 5 6" xfId="2549" xr:uid="{00000000-0005-0000-0000-0000ED150000}"/>
    <cellStyle name="Normal 4 4 5 6 2" xfId="6832" xr:uid="{00000000-0005-0000-0000-0000EE150000}"/>
    <cellStyle name="Normal 4 4 5 6 2 2" xfId="16158" xr:uid="{08F72EF9-EF3D-411B-80F3-71339C9526DD}"/>
    <cellStyle name="Normal 4 4 5 6 3" xfId="11941" xr:uid="{13CF45E3-A92E-4719-92BC-0791719DDD4E}"/>
    <cellStyle name="Normal 4 4 5 7" xfId="4767" xr:uid="{00000000-0005-0000-0000-0000EF150000}"/>
    <cellStyle name="Normal 4 4 5 7 2" xfId="14093" xr:uid="{BB4179B2-2C2D-4A5D-A8B6-A958711F248B}"/>
    <cellStyle name="Normal 4 4 5 8" xfId="8968" xr:uid="{BE877DDE-435D-4CBA-84F2-0372D1DDE771}"/>
    <cellStyle name="Normal 4 4 5 9" xfId="9876" xr:uid="{67E0E699-DC62-4B44-937A-6AB2668A6648}"/>
    <cellStyle name="Normal 4 4 6" xfId="853" xr:uid="{00000000-0005-0000-0000-0000F0150000}"/>
    <cellStyle name="Normal 4 4 6 2" xfId="3088" xr:uid="{00000000-0005-0000-0000-0000F1150000}"/>
    <cellStyle name="Normal 4 4 6 2 2" xfId="7310" xr:uid="{00000000-0005-0000-0000-0000F2150000}"/>
    <cellStyle name="Normal 4 4 6 2 2 2" xfId="16636" xr:uid="{4EBCCB0F-E183-497D-A50B-E32B2597F5DA}"/>
    <cellStyle name="Normal 4 4 6 2 3" xfId="12419" xr:uid="{CFA637DA-9D1D-4939-9556-5A822A371D9E}"/>
    <cellStyle name="Normal 4 4 6 3" xfId="5165" xr:uid="{00000000-0005-0000-0000-0000F3150000}"/>
    <cellStyle name="Normal 4 4 6 3 2" xfId="14491" xr:uid="{CF5A7795-93E2-4A0A-969C-DBDEBFA248DE}"/>
    <cellStyle name="Normal 4 4 6 4" xfId="9171" xr:uid="{C474601B-95F0-4C9E-AB77-B3E61D2A21D7}"/>
    <cellStyle name="Normal 4 4 6 5" xfId="10274" xr:uid="{84AD019F-A352-401A-86BC-78A426610B50}"/>
    <cellStyle name="Normal 4 4 7" xfId="1271" xr:uid="{00000000-0005-0000-0000-0000F4150000}"/>
    <cellStyle name="Normal 4 4 7 2" xfId="3501" xr:uid="{00000000-0005-0000-0000-0000F5150000}"/>
    <cellStyle name="Normal 4 4 7 2 2" xfId="7723" xr:uid="{00000000-0005-0000-0000-0000F6150000}"/>
    <cellStyle name="Normal 4 4 7 2 2 2" xfId="17049" xr:uid="{FA05494C-3242-4AB7-8F18-3A1C376AD756}"/>
    <cellStyle name="Normal 4 4 7 2 3" xfId="12832" xr:uid="{90EF347E-7092-41A6-91EF-E0D172C07C15}"/>
    <cellStyle name="Normal 4 4 7 3" xfId="5578" xr:uid="{00000000-0005-0000-0000-0000F7150000}"/>
    <cellStyle name="Normal 4 4 7 3 2" xfId="14904" xr:uid="{DB29A1F8-C698-42C0-8EE7-C8D0C6AD8C94}"/>
    <cellStyle name="Normal 4 4 7 4" xfId="10687" xr:uid="{62C30F97-4B31-417C-B612-1EC25522667A}"/>
    <cellStyle name="Normal 4 4 8" xfId="1684" xr:uid="{00000000-0005-0000-0000-0000F8150000}"/>
    <cellStyle name="Normal 4 4 8 2" xfId="3914" xr:uid="{00000000-0005-0000-0000-0000F9150000}"/>
    <cellStyle name="Normal 4 4 8 2 2" xfId="8136" xr:uid="{00000000-0005-0000-0000-0000FA150000}"/>
    <cellStyle name="Normal 4 4 8 2 2 2" xfId="17462" xr:uid="{27EC0398-505C-4450-969D-DB19B182B83B}"/>
    <cellStyle name="Normal 4 4 8 2 3" xfId="13245" xr:uid="{EF198F41-897C-4150-9C7E-D32EF43330E5}"/>
    <cellStyle name="Normal 4 4 8 3" xfId="5991" xr:uid="{00000000-0005-0000-0000-0000FB150000}"/>
    <cellStyle name="Normal 4 4 8 3 2" xfId="15317" xr:uid="{AFB8F5A6-E77C-4F76-AF93-BB4F1BE3DD4B}"/>
    <cellStyle name="Normal 4 4 8 4" xfId="11100" xr:uid="{005279B4-8869-40B2-BB39-1E9BC6768817}"/>
    <cellStyle name="Normal 4 4 9" xfId="2098" xr:uid="{00000000-0005-0000-0000-0000FC150000}"/>
    <cellStyle name="Normal 4 4 9 2" xfId="4327" xr:uid="{00000000-0005-0000-0000-0000FD150000}"/>
    <cellStyle name="Normal 4 4 9 2 2" xfId="8549" xr:uid="{00000000-0005-0000-0000-0000FE150000}"/>
    <cellStyle name="Normal 4 4 9 2 2 2" xfId="17875" xr:uid="{B1E7242A-CC83-406D-AB39-06DBD0E47EC5}"/>
    <cellStyle name="Normal 4 4 9 2 3" xfId="13658" xr:uid="{C5CA73E1-EC56-4486-ACFE-38646D67CC24}"/>
    <cellStyle name="Normal 4 4 9 3" xfId="6404" xr:uid="{00000000-0005-0000-0000-0000FF150000}"/>
    <cellStyle name="Normal 4 4 9 3 2" xfId="15730" xr:uid="{375E1CE3-83B8-43C2-A4DE-18649575FC81}"/>
    <cellStyle name="Normal 4 4 9 4" xfId="11513" xr:uid="{6852E8FE-0382-4179-8063-2D72273A8BD9}"/>
    <cellStyle name="Normal 4 5" xfId="394" xr:uid="{00000000-0005-0000-0000-000000160000}"/>
    <cellStyle name="Normal 4 6" xfId="395" xr:uid="{00000000-0005-0000-0000-000001160000}"/>
    <cellStyle name="Normal 4 6 10" xfId="4768" xr:uid="{00000000-0005-0000-0000-000002160000}"/>
    <cellStyle name="Normal 4 6 10 2" xfId="14094" xr:uid="{8569604B-BC6B-4CFA-A90B-49AB7F398D39}"/>
    <cellStyle name="Normal 4 6 11" xfId="8772" xr:uid="{23628FEE-4113-4B2C-B2A0-0106FC7F55C2}"/>
    <cellStyle name="Normal 4 6 12" xfId="9877" xr:uid="{A699D370-7528-46F6-B929-A7EC72855866}"/>
    <cellStyle name="Normal 4 6 2" xfId="396" xr:uid="{00000000-0005-0000-0000-000003160000}"/>
    <cellStyle name="Normal 4 6 2 10" xfId="8825" xr:uid="{C3062495-9D56-441B-95F6-B73E7DAC524C}"/>
    <cellStyle name="Normal 4 6 2 11" xfId="9878" xr:uid="{DD9751D7-4FEC-4B71-8E34-0E7C032A550C}"/>
    <cellStyle name="Normal 4 6 2 2" xfId="397" xr:uid="{00000000-0005-0000-0000-000004160000}"/>
    <cellStyle name="Normal 4 6 2 2 10" xfId="9879" xr:uid="{3847DA98-2E90-4F1F-8810-DED3E8439B2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010582D7-90F6-422F-94CF-CE10A16EC6A4}"/>
    <cellStyle name="Normal 4 6 2 2 2 2 2 3" xfId="12438" xr:uid="{6D614E26-2E2A-4CF4-BEEF-06B2B740D877}"/>
    <cellStyle name="Normal 4 6 2 2 2 2 3" xfId="5184" xr:uid="{00000000-0005-0000-0000-000009160000}"/>
    <cellStyle name="Normal 4 6 2 2 2 2 3 2" xfId="14510" xr:uid="{F8FEBBB2-295C-47E5-829E-7C5ED47C5CD4}"/>
    <cellStyle name="Normal 4 6 2 2 2 2 4" xfId="9560" xr:uid="{04DAEE11-A96E-4522-8546-8A0C107E12B9}"/>
    <cellStyle name="Normal 4 6 2 2 2 2 5" xfId="10293" xr:uid="{FE0A4D28-EF02-4CA3-9DE6-217BBDD7A2EB}"/>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3E37F234-76E6-4838-99B8-CFEA266D57D8}"/>
    <cellStyle name="Normal 4 6 2 2 2 3 2 3" xfId="12851" xr:uid="{797FC57F-A993-46A4-B6AE-61C2163C60C5}"/>
    <cellStyle name="Normal 4 6 2 2 2 3 3" xfId="5597" xr:uid="{00000000-0005-0000-0000-00000D160000}"/>
    <cellStyle name="Normal 4 6 2 2 2 3 3 2" xfId="14923" xr:uid="{4AB66F9B-F1C8-43D8-85B1-09DA5DEDD995}"/>
    <cellStyle name="Normal 4 6 2 2 2 3 4" xfId="10706" xr:uid="{022E0D99-9E78-406D-92BA-0EF9532B0BFB}"/>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EACACB90-EF71-4D66-9EE5-12119C11E857}"/>
    <cellStyle name="Normal 4 6 2 2 2 4 2 3" xfId="13264" xr:uid="{6D2D5D2B-39F2-4B24-BACD-680A4900D9D4}"/>
    <cellStyle name="Normal 4 6 2 2 2 4 3" xfId="6010" xr:uid="{00000000-0005-0000-0000-000011160000}"/>
    <cellStyle name="Normal 4 6 2 2 2 4 3 2" xfId="15336" xr:uid="{02CC3236-3E7E-447F-84F2-BFD1E46EA192}"/>
    <cellStyle name="Normal 4 6 2 2 2 4 4" xfId="11119" xr:uid="{A718A515-0155-4E10-A77A-70BE5ECD647F}"/>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107DF2D1-695D-445C-A42C-4B02D5200A88}"/>
    <cellStyle name="Normal 4 6 2 2 2 5 2 3" xfId="13677" xr:uid="{3E964CAC-D8DB-4DEC-A7F0-89803102BFC6}"/>
    <cellStyle name="Normal 4 6 2 2 2 5 3" xfId="6423" xr:uid="{00000000-0005-0000-0000-000015160000}"/>
    <cellStyle name="Normal 4 6 2 2 2 5 3 2" xfId="15749" xr:uid="{D16614D7-86CC-4AB7-96D2-4D5AC456E817}"/>
    <cellStyle name="Normal 4 6 2 2 2 5 4" xfId="11532" xr:uid="{245C1349-DE78-4D3F-808B-E62D37FA0BFD}"/>
    <cellStyle name="Normal 4 6 2 2 2 6" xfId="2553" xr:uid="{00000000-0005-0000-0000-000016160000}"/>
    <cellStyle name="Normal 4 6 2 2 2 6 2" xfId="6836" xr:uid="{00000000-0005-0000-0000-000017160000}"/>
    <cellStyle name="Normal 4 6 2 2 2 6 2 2" xfId="16162" xr:uid="{1741552F-611E-46D7-A3B9-8311EE157C2C}"/>
    <cellStyle name="Normal 4 6 2 2 2 6 3" xfId="11945" xr:uid="{6C30E9E6-5901-407B-AF89-5344083AF4FA}"/>
    <cellStyle name="Normal 4 6 2 2 2 7" xfId="4771" xr:uid="{00000000-0005-0000-0000-000018160000}"/>
    <cellStyle name="Normal 4 6 2 2 2 7 2" xfId="14097" xr:uid="{3C30D578-2DED-430D-ABD8-CC25FCDAC336}"/>
    <cellStyle name="Normal 4 6 2 2 2 8" xfId="9135" xr:uid="{2F4C420F-13DD-45DD-99DD-C7AFF7CD7823}"/>
    <cellStyle name="Normal 4 6 2 2 2 9" xfId="9880" xr:uid="{40303184-F000-4F7B-B34E-D40D2776D8AD}"/>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0790B355-60A0-4807-A6FB-9E5F3D32282C}"/>
    <cellStyle name="Normal 4 6 2 2 3 2 3" xfId="12437" xr:uid="{91F18EAF-50C8-474D-9BCA-E0453BC80E53}"/>
    <cellStyle name="Normal 4 6 2 2 3 3" xfId="5183" xr:uid="{00000000-0005-0000-0000-00001C160000}"/>
    <cellStyle name="Normal 4 6 2 2 3 3 2" xfId="14509" xr:uid="{52998B75-6613-45B0-A884-2569886647AD}"/>
    <cellStyle name="Normal 4 6 2 2 3 4" xfId="9353" xr:uid="{60C7EC16-17DE-43AF-A246-41C667B376B7}"/>
    <cellStyle name="Normal 4 6 2 2 3 5" xfId="10292" xr:uid="{B044BF54-D1BD-44ED-8BE1-A16457398964}"/>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9E8D0C50-B245-4A45-8E80-2AC482019D68}"/>
    <cellStyle name="Normal 4 6 2 2 4 2 3" xfId="12850" xr:uid="{40DC4122-1C4C-4F6B-AE87-152E7C06C4A9}"/>
    <cellStyle name="Normal 4 6 2 2 4 3" xfId="5596" xr:uid="{00000000-0005-0000-0000-000020160000}"/>
    <cellStyle name="Normal 4 6 2 2 4 3 2" xfId="14922" xr:uid="{B7F0A51F-B965-47F6-AC84-742673500EAC}"/>
    <cellStyle name="Normal 4 6 2 2 4 4" xfId="10705" xr:uid="{79EAD055-1B70-4D0F-9D23-EABF13C8AE45}"/>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53F81F1F-7313-41DF-9E20-4D1D066CE032}"/>
    <cellStyle name="Normal 4 6 2 2 5 2 3" xfId="13263" xr:uid="{D5E56E55-46A4-4A6E-A366-C427F0502F91}"/>
    <cellStyle name="Normal 4 6 2 2 5 3" xfId="6009" xr:uid="{00000000-0005-0000-0000-000024160000}"/>
    <cellStyle name="Normal 4 6 2 2 5 3 2" xfId="15335" xr:uid="{68285D9A-66FB-45CD-B6D9-ABCB1ECA5BC0}"/>
    <cellStyle name="Normal 4 6 2 2 5 4" xfId="11118" xr:uid="{684293F0-5876-4105-B072-796754585D53}"/>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BBDEB36A-84EA-4BD0-ABDB-B1B6822F75B4}"/>
    <cellStyle name="Normal 4 6 2 2 6 2 3" xfId="13676" xr:uid="{40EFD127-3AE3-46BE-9C41-1E7FF8905DB3}"/>
    <cellStyle name="Normal 4 6 2 2 6 3" xfId="6422" xr:uid="{00000000-0005-0000-0000-000028160000}"/>
    <cellStyle name="Normal 4 6 2 2 6 3 2" xfId="15748" xr:uid="{216F863E-BC48-4F0C-9B81-66CDD3177F46}"/>
    <cellStyle name="Normal 4 6 2 2 6 4" xfId="11531" xr:uid="{712A65CC-6EA4-44E6-B44A-69B4FFA8BFA6}"/>
    <cellStyle name="Normal 4 6 2 2 7" xfId="2552" xr:uid="{00000000-0005-0000-0000-000029160000}"/>
    <cellStyle name="Normal 4 6 2 2 7 2" xfId="6835" xr:uid="{00000000-0005-0000-0000-00002A160000}"/>
    <cellStyle name="Normal 4 6 2 2 7 2 2" xfId="16161" xr:uid="{C0D04BD5-5CB9-475E-8F25-FD1300C9EFCF}"/>
    <cellStyle name="Normal 4 6 2 2 7 3" xfId="11944" xr:uid="{7BCA3238-A7B5-43E3-A2A1-0F15146A0967}"/>
    <cellStyle name="Normal 4 6 2 2 8" xfId="4770" xr:uid="{00000000-0005-0000-0000-00002B160000}"/>
    <cellStyle name="Normal 4 6 2 2 8 2" xfId="14096" xr:uid="{58E47D6E-2AE4-411D-B075-29C327EB9EFF}"/>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E88EEEEC-DDC3-40E3-894D-DB2BE4B11F1D}"/>
    <cellStyle name="Normal 4 6 2 3 2 2 3" xfId="12439" xr:uid="{CE90F31F-B097-467E-97DF-D00CD535C386}"/>
    <cellStyle name="Normal 4 6 2 3 2 3" xfId="5185" xr:uid="{00000000-0005-0000-0000-000030160000}"/>
    <cellStyle name="Normal 4 6 2 3 2 3 2" xfId="14511" xr:uid="{BAD5EB52-81B3-48A5-9432-FACBD762E7F6}"/>
    <cellStyle name="Normal 4 6 2 3 2 4" xfId="9457" xr:uid="{E86AED2D-42AD-49DE-9461-1FA72B82C89E}"/>
    <cellStyle name="Normal 4 6 2 3 2 5" xfId="10294" xr:uid="{0DDDDB74-9920-49D6-B5AF-1A843321CEF7}"/>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874A39C2-6BA6-4B67-AEE7-B887FE35255E}"/>
    <cellStyle name="Normal 4 6 2 3 3 2 3" xfId="12852" xr:uid="{152BED00-744F-41A4-B6F8-6E578672268C}"/>
    <cellStyle name="Normal 4 6 2 3 3 3" xfId="5598" xr:uid="{00000000-0005-0000-0000-000034160000}"/>
    <cellStyle name="Normal 4 6 2 3 3 3 2" xfId="14924" xr:uid="{BEAA78C2-7941-4204-AC65-05A13243602F}"/>
    <cellStyle name="Normal 4 6 2 3 3 4" xfId="10707" xr:uid="{7C0A80AF-D3C8-4E80-A62B-D85B343A4805}"/>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7AC7216B-9762-4908-BA59-7B424C5F3196}"/>
    <cellStyle name="Normal 4 6 2 3 4 2 3" xfId="13265" xr:uid="{A4B74AAA-1162-4672-9EF1-27B09D67F990}"/>
    <cellStyle name="Normal 4 6 2 3 4 3" xfId="6011" xr:uid="{00000000-0005-0000-0000-000038160000}"/>
    <cellStyle name="Normal 4 6 2 3 4 3 2" xfId="15337" xr:uid="{E6D1F872-2A32-4EED-BD80-33B470ABF0E5}"/>
    <cellStyle name="Normal 4 6 2 3 4 4" xfId="11120" xr:uid="{81DE22A4-982F-4EF7-A7F1-AE605193F001}"/>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46E13D75-B26E-4D7A-9D70-C1CC5CC0427A}"/>
    <cellStyle name="Normal 4 6 2 3 5 2 3" xfId="13678" xr:uid="{95B8D776-A7DA-41DE-82C9-AE1421467B70}"/>
    <cellStyle name="Normal 4 6 2 3 5 3" xfId="6424" xr:uid="{00000000-0005-0000-0000-00003C160000}"/>
    <cellStyle name="Normal 4 6 2 3 5 3 2" xfId="15750" xr:uid="{DC795E40-8323-4EE1-B53B-21ABB9FE5CBF}"/>
    <cellStyle name="Normal 4 6 2 3 5 4" xfId="11533" xr:uid="{13A711EB-43C5-4E3B-9670-0525F69F694A}"/>
    <cellStyle name="Normal 4 6 2 3 6" xfId="2554" xr:uid="{00000000-0005-0000-0000-00003D160000}"/>
    <cellStyle name="Normal 4 6 2 3 6 2" xfId="6837" xr:uid="{00000000-0005-0000-0000-00003E160000}"/>
    <cellStyle name="Normal 4 6 2 3 6 2 2" xfId="16163" xr:uid="{FA91AED2-8E76-440C-93FA-9FE28FF88F40}"/>
    <cellStyle name="Normal 4 6 2 3 6 3" xfId="11946" xr:uid="{46FE7235-9F32-4AC7-AAC6-2C41818F620E}"/>
    <cellStyle name="Normal 4 6 2 3 7" xfId="4772" xr:uid="{00000000-0005-0000-0000-00003F160000}"/>
    <cellStyle name="Normal 4 6 2 3 7 2" xfId="14098" xr:uid="{2CC794E9-E2CE-4819-9683-5A252CE3330D}"/>
    <cellStyle name="Normal 4 6 2 3 8" xfId="9032" xr:uid="{576A1DC5-5971-4772-803F-0A60F80D4C41}"/>
    <cellStyle name="Normal 4 6 2 3 9" xfId="9881" xr:uid="{3E070001-5161-40F4-9AFD-03540F4B0AB0}"/>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D7FF16B4-DB3E-40ED-8B0A-E678F213B996}"/>
    <cellStyle name="Normal 4 6 2 4 2 3" xfId="12436" xr:uid="{AD111210-5085-4F43-8496-6A5884AB5AD5}"/>
    <cellStyle name="Normal 4 6 2 4 3" xfId="5182" xr:uid="{00000000-0005-0000-0000-000043160000}"/>
    <cellStyle name="Normal 4 6 2 4 3 2" xfId="14508" xr:uid="{3EBAAB1F-E37A-4BB2-B839-9E8E099204D6}"/>
    <cellStyle name="Normal 4 6 2 4 4" xfId="9250" xr:uid="{CBBC9A51-5203-4C00-93C7-FE7C973DCDD1}"/>
    <cellStyle name="Normal 4 6 2 4 5" xfId="10291" xr:uid="{E1235B01-01C2-436E-B721-769CE3C86172}"/>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30BBEA0A-8778-49E3-A1D9-CBC7AE850BFF}"/>
    <cellStyle name="Normal 4 6 2 5 2 3" xfId="12849" xr:uid="{0DE4A394-F4C8-412A-80B9-F5EFCE50F189}"/>
    <cellStyle name="Normal 4 6 2 5 3" xfId="5595" xr:uid="{00000000-0005-0000-0000-000047160000}"/>
    <cellStyle name="Normal 4 6 2 5 3 2" xfId="14921" xr:uid="{F2B3B7C6-BB83-424D-88CA-3FF2C7CE1EB1}"/>
    <cellStyle name="Normal 4 6 2 5 4" xfId="10704" xr:uid="{39A8C6A6-1FB8-4B9A-BB94-D2C74B838C9D}"/>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76F65375-EF4C-4934-93E8-DAA76F440295}"/>
    <cellStyle name="Normal 4 6 2 6 2 3" xfId="13262" xr:uid="{53DCA442-ECFF-46B0-8FF3-1D710C5C740A}"/>
    <cellStyle name="Normal 4 6 2 6 3" xfId="6008" xr:uid="{00000000-0005-0000-0000-00004B160000}"/>
    <cellStyle name="Normal 4 6 2 6 3 2" xfId="15334" xr:uid="{37005452-69EE-4373-9925-C805D9C8189F}"/>
    <cellStyle name="Normal 4 6 2 6 4" xfId="11117" xr:uid="{CDC55EAE-9E3E-4AF7-8A3F-A329A44977BC}"/>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167B16C1-32AB-479E-9E04-958C63E11D1F}"/>
    <cellStyle name="Normal 4 6 2 7 2 3" xfId="13675" xr:uid="{6BF61645-A799-43BC-A2D3-C233142F19DD}"/>
    <cellStyle name="Normal 4 6 2 7 3" xfId="6421" xr:uid="{00000000-0005-0000-0000-00004F160000}"/>
    <cellStyle name="Normal 4 6 2 7 3 2" xfId="15747" xr:uid="{D5BA4DEF-D5E1-4A73-A38A-E72FAAEF56AA}"/>
    <cellStyle name="Normal 4 6 2 7 4" xfId="11530" xr:uid="{6DA52A7D-5793-4625-9EC5-7046806AE580}"/>
    <cellStyle name="Normal 4 6 2 8" xfId="2551" xr:uid="{00000000-0005-0000-0000-000050160000}"/>
    <cellStyle name="Normal 4 6 2 8 2" xfId="6834" xr:uid="{00000000-0005-0000-0000-000051160000}"/>
    <cellStyle name="Normal 4 6 2 8 2 2" xfId="16160" xr:uid="{7DA4CE83-970A-4DE3-B403-F1BC2AEB44A9}"/>
    <cellStyle name="Normal 4 6 2 8 3" xfId="11943" xr:uid="{71E7CF77-59B4-4D2C-8C45-59B3CB105DA9}"/>
    <cellStyle name="Normal 4 6 2 9" xfId="4769" xr:uid="{00000000-0005-0000-0000-000052160000}"/>
    <cellStyle name="Normal 4 6 2 9 2" xfId="14095" xr:uid="{3A3BCD31-9F00-4B94-A15C-5F44AB14AAE9}"/>
    <cellStyle name="Normal 4 6 3" xfId="400" xr:uid="{00000000-0005-0000-0000-000053160000}"/>
    <cellStyle name="Normal 4 6 3 10" xfId="9882" xr:uid="{D30C8C9C-C824-4285-9210-3A8ACF4C1C1E}"/>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8D9C9FFF-3B7F-4C63-84F5-F7A74BD5DEBC}"/>
    <cellStyle name="Normal 4 6 3 2 2 2 3" xfId="12441" xr:uid="{0B1E3D35-D248-480D-AEEB-A584F838CCCB}"/>
    <cellStyle name="Normal 4 6 3 2 2 3" xfId="5187" xr:uid="{00000000-0005-0000-0000-000058160000}"/>
    <cellStyle name="Normal 4 6 3 2 2 3 2" xfId="14513" xr:uid="{8B9F3BC8-0100-4B78-BBA0-5FCDCEC70D82}"/>
    <cellStyle name="Normal 4 6 3 2 2 4" xfId="9507" xr:uid="{63E4C3EA-8BE6-4CDE-9E44-1D64049D4CF5}"/>
    <cellStyle name="Normal 4 6 3 2 2 5" xfId="10296" xr:uid="{38C8533E-3631-46DB-97BD-4B4341A6293B}"/>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82003B9B-A7DB-4EED-994C-82A60A039769}"/>
    <cellStyle name="Normal 4 6 3 2 3 2 3" xfId="12854" xr:uid="{DDD288F4-012F-4B6F-AE02-C8AAA0A8F2CC}"/>
    <cellStyle name="Normal 4 6 3 2 3 3" xfId="5600" xr:uid="{00000000-0005-0000-0000-00005C160000}"/>
    <cellStyle name="Normal 4 6 3 2 3 3 2" xfId="14926" xr:uid="{DEDDD2D9-F1C8-4571-815D-4AD063E981ED}"/>
    <cellStyle name="Normal 4 6 3 2 3 4" xfId="10709" xr:uid="{8C401AF9-B560-44F8-9DE7-CC76533DAE86}"/>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BAAD6FE9-5351-4B4F-976B-F8B204975927}"/>
    <cellStyle name="Normal 4 6 3 2 4 2 3" xfId="13267" xr:uid="{428A7265-4827-40D5-9FF3-0445B0CB45D6}"/>
    <cellStyle name="Normal 4 6 3 2 4 3" xfId="6013" xr:uid="{00000000-0005-0000-0000-000060160000}"/>
    <cellStyle name="Normal 4 6 3 2 4 3 2" xfId="15339" xr:uid="{86C0DD5F-D8F0-4882-A6AA-89E635E0D8BD}"/>
    <cellStyle name="Normal 4 6 3 2 4 4" xfId="11122" xr:uid="{A7C09EB1-9B21-4D28-BE06-0B59D6BF3BF7}"/>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FF30243C-1066-47C9-B95A-E370330068FE}"/>
    <cellStyle name="Normal 4 6 3 2 5 2 3" xfId="13680" xr:uid="{E11EE379-3B44-4E55-8F14-BC675D71D85C}"/>
    <cellStyle name="Normal 4 6 3 2 5 3" xfId="6426" xr:uid="{00000000-0005-0000-0000-000064160000}"/>
    <cellStyle name="Normal 4 6 3 2 5 3 2" xfId="15752" xr:uid="{60C11B92-0FA5-4BD6-B992-121ECC579EC8}"/>
    <cellStyle name="Normal 4 6 3 2 5 4" xfId="11535" xr:uid="{46C0C772-B361-4B60-B9F3-CB684BDBF72C}"/>
    <cellStyle name="Normal 4 6 3 2 6" xfId="2556" xr:uid="{00000000-0005-0000-0000-000065160000}"/>
    <cellStyle name="Normal 4 6 3 2 6 2" xfId="6839" xr:uid="{00000000-0005-0000-0000-000066160000}"/>
    <cellStyle name="Normal 4 6 3 2 6 2 2" xfId="16165" xr:uid="{340B538B-8615-4876-ABF8-CFFCEF92B437}"/>
    <cellStyle name="Normal 4 6 3 2 6 3" xfId="11948" xr:uid="{19CA4446-398D-4761-84A5-CD1CC7D3F71F}"/>
    <cellStyle name="Normal 4 6 3 2 7" xfId="4774" xr:uid="{00000000-0005-0000-0000-000067160000}"/>
    <cellStyle name="Normal 4 6 3 2 7 2" xfId="14100" xr:uid="{03107814-B50E-401B-A508-E6E3F14354AB}"/>
    <cellStyle name="Normal 4 6 3 2 8" xfId="9082" xr:uid="{B272D1AE-3713-4AD0-AE3F-D1A7344AD432}"/>
    <cellStyle name="Normal 4 6 3 2 9" xfId="9883" xr:uid="{2C0DCB06-5C62-4BD2-A985-27579475FABC}"/>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DA22836F-1122-48FF-AE4A-237A7C812330}"/>
    <cellStyle name="Normal 4 6 3 3 2 3" xfId="12440" xr:uid="{333CE0F7-E9A9-4EFC-BCEA-8CD922133509}"/>
    <cellStyle name="Normal 4 6 3 3 3" xfId="5186" xr:uid="{00000000-0005-0000-0000-00006B160000}"/>
    <cellStyle name="Normal 4 6 3 3 3 2" xfId="14512" xr:uid="{9BC9FA07-9FB7-4281-B1E7-B0426BD8BE9E}"/>
    <cellStyle name="Normal 4 6 3 3 4" xfId="9300" xr:uid="{955A2E97-C871-4115-A4F5-A642AE2D2C4B}"/>
    <cellStyle name="Normal 4 6 3 3 5" xfId="10295" xr:uid="{F92B3CC3-3E3D-47B2-AB05-F6030BCED33B}"/>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9F9DA69F-2337-4520-BC4C-8720846F1382}"/>
    <cellStyle name="Normal 4 6 3 4 2 3" xfId="12853" xr:uid="{26F4C0A8-E288-422E-B02B-AE9456709725}"/>
    <cellStyle name="Normal 4 6 3 4 3" xfId="5599" xr:uid="{00000000-0005-0000-0000-00006F160000}"/>
    <cellStyle name="Normal 4 6 3 4 3 2" xfId="14925" xr:uid="{D5D39AB0-6A36-47BA-B81F-124661B3B545}"/>
    <cellStyle name="Normal 4 6 3 4 4" xfId="10708" xr:uid="{34F1E3AC-9A94-4A6B-BA82-EE38488C3E41}"/>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4B208431-E302-4924-B94A-0528458E470B}"/>
    <cellStyle name="Normal 4 6 3 5 2 3" xfId="13266" xr:uid="{7E042B52-B14E-4078-9967-D90B83005F29}"/>
    <cellStyle name="Normal 4 6 3 5 3" xfId="6012" xr:uid="{00000000-0005-0000-0000-000073160000}"/>
    <cellStyle name="Normal 4 6 3 5 3 2" xfId="15338" xr:uid="{FAA4B9DA-D057-4928-BC36-66E0FC725FD3}"/>
    <cellStyle name="Normal 4 6 3 5 4" xfId="11121" xr:uid="{DF0F8BDA-1705-4581-AC72-E57950B05757}"/>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9CC309A1-CCAF-4F5D-9680-3FE5C807B1A3}"/>
    <cellStyle name="Normal 4 6 3 6 2 3" xfId="13679" xr:uid="{A9D24DB0-F721-419D-B15B-32FC63E9E56F}"/>
    <cellStyle name="Normal 4 6 3 6 3" xfId="6425" xr:uid="{00000000-0005-0000-0000-000077160000}"/>
    <cellStyle name="Normal 4 6 3 6 3 2" xfId="15751" xr:uid="{2FB94DBF-D99F-43F0-86D0-8898B6C58164}"/>
    <cellStyle name="Normal 4 6 3 6 4" xfId="11534" xr:uid="{0F4893ED-F2CB-4FFE-9A29-F8C231EEAECC}"/>
    <cellStyle name="Normal 4 6 3 7" xfId="2555" xr:uid="{00000000-0005-0000-0000-000078160000}"/>
    <cellStyle name="Normal 4 6 3 7 2" xfId="6838" xr:uid="{00000000-0005-0000-0000-000079160000}"/>
    <cellStyle name="Normal 4 6 3 7 2 2" xfId="16164" xr:uid="{F53647D9-2444-4FE2-9921-C5840C9148F6}"/>
    <cellStyle name="Normal 4 6 3 7 3" xfId="11947" xr:uid="{C41DD40D-16C7-412B-AAF5-EA8B53D6D3FB}"/>
    <cellStyle name="Normal 4 6 3 8" xfId="4773" xr:uid="{00000000-0005-0000-0000-00007A160000}"/>
    <cellStyle name="Normal 4 6 3 8 2" xfId="14099" xr:uid="{D2FFDC1D-CA0D-4433-ADB6-5043C877A5CE}"/>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6175E775-614F-4769-8F58-7C6A5442CAF2}"/>
    <cellStyle name="Normal 4 6 4 2 2 3" xfId="12442" xr:uid="{B762EA36-178B-47D5-8D92-8F7A8E2F588D}"/>
    <cellStyle name="Normal 4 6 4 2 3" xfId="5188" xr:uid="{00000000-0005-0000-0000-00007F160000}"/>
    <cellStyle name="Normal 4 6 4 2 3 2" xfId="14514" xr:uid="{E7557790-85B3-4491-9CE7-C13F701F9CF0}"/>
    <cellStyle name="Normal 4 6 4 2 4" xfId="9404" xr:uid="{D1BAB6D6-35EF-4C34-91EA-2EB17352CDF9}"/>
    <cellStyle name="Normal 4 6 4 2 5" xfId="10297" xr:uid="{3AE49A6D-5623-4338-B68B-738C9E67F49D}"/>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9E50FC3A-77AD-4129-8A21-029E4F84CBC9}"/>
    <cellStyle name="Normal 4 6 4 3 2 3" xfId="12855" xr:uid="{1329790F-9184-4C13-A789-6BDBFE758AD3}"/>
    <cellStyle name="Normal 4 6 4 3 3" xfId="5601" xr:uid="{00000000-0005-0000-0000-000083160000}"/>
    <cellStyle name="Normal 4 6 4 3 3 2" xfId="14927" xr:uid="{4AECB350-26EE-49A3-8052-C59220296665}"/>
    <cellStyle name="Normal 4 6 4 3 4" xfId="10710" xr:uid="{511F3A49-8CD7-4441-B80E-36ADFF13CB13}"/>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C3E41D33-6350-4FC5-A7DF-318E5B23E3D2}"/>
    <cellStyle name="Normal 4 6 4 4 2 3" xfId="13268" xr:uid="{0B0A5BE6-F23D-4F81-A6EB-528142D6F3B8}"/>
    <cellStyle name="Normal 4 6 4 4 3" xfId="6014" xr:uid="{00000000-0005-0000-0000-000087160000}"/>
    <cellStyle name="Normal 4 6 4 4 3 2" xfId="15340" xr:uid="{9323441F-FED1-454D-B6DD-B5CDDB8D8A25}"/>
    <cellStyle name="Normal 4 6 4 4 4" xfId="11123" xr:uid="{A91AA0DE-75E7-42D9-94C3-D4FAB536DB22}"/>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27BA0CAB-837F-4316-9861-989DB244DF31}"/>
    <cellStyle name="Normal 4 6 4 5 2 3" xfId="13681" xr:uid="{2D0335D1-E31B-40B1-AB5D-34C504ED9D04}"/>
    <cellStyle name="Normal 4 6 4 5 3" xfId="6427" xr:uid="{00000000-0005-0000-0000-00008B160000}"/>
    <cellStyle name="Normal 4 6 4 5 3 2" xfId="15753" xr:uid="{F6D653DA-C309-4261-B8FE-53F401D030D7}"/>
    <cellStyle name="Normal 4 6 4 5 4" xfId="11536" xr:uid="{2E9F6E1C-1990-4445-80BE-747E4874BF56}"/>
    <cellStyle name="Normal 4 6 4 6" xfId="2557" xr:uid="{00000000-0005-0000-0000-00008C160000}"/>
    <cellStyle name="Normal 4 6 4 6 2" xfId="6840" xr:uid="{00000000-0005-0000-0000-00008D160000}"/>
    <cellStyle name="Normal 4 6 4 6 2 2" xfId="16166" xr:uid="{B8E85A4D-AF7C-4B2C-8AC8-EC11AFB8E1E8}"/>
    <cellStyle name="Normal 4 6 4 6 3" xfId="11949" xr:uid="{56936CE8-D4D7-43EE-939C-8C03BA55CAC7}"/>
    <cellStyle name="Normal 4 6 4 7" xfId="4775" xr:uid="{00000000-0005-0000-0000-00008E160000}"/>
    <cellStyle name="Normal 4 6 4 7 2" xfId="14101" xr:uid="{A41F3DF1-8C76-4DA3-B204-9C7B425608D3}"/>
    <cellStyle name="Normal 4 6 4 8" xfId="8979" xr:uid="{358D1440-F461-4509-8416-8F78F7D13FF4}"/>
    <cellStyle name="Normal 4 6 4 9" xfId="9884" xr:uid="{A6E37B78-B562-4622-AAC9-CD67B890F202}"/>
    <cellStyle name="Normal 4 6 5" xfId="869" xr:uid="{00000000-0005-0000-0000-00008F160000}"/>
    <cellStyle name="Normal 4 6 5 2" xfId="3104" xr:uid="{00000000-0005-0000-0000-000090160000}"/>
    <cellStyle name="Normal 4 6 5 2 2" xfId="7326" xr:uid="{00000000-0005-0000-0000-000091160000}"/>
    <cellStyle name="Normal 4 6 5 2 2 2" xfId="16652" xr:uid="{5A74C67B-A817-42DE-8D96-3C8491F7219C}"/>
    <cellStyle name="Normal 4 6 5 2 3" xfId="12435" xr:uid="{8286AFF3-58BA-41AE-8497-47521E69A993}"/>
    <cellStyle name="Normal 4 6 5 3" xfId="5181" xr:uid="{00000000-0005-0000-0000-000092160000}"/>
    <cellStyle name="Normal 4 6 5 3 2" xfId="14507" xr:uid="{2B8591C6-ECB5-4D7E-B15A-42E454349007}"/>
    <cellStyle name="Normal 4 6 5 4" xfId="9196" xr:uid="{8DF5D81E-BEC3-4373-A99C-2D9CDEEBBA3C}"/>
    <cellStyle name="Normal 4 6 5 5" xfId="10290" xr:uid="{28E9D351-357C-4E45-866C-3DC18BAB49D9}"/>
    <cellStyle name="Normal 4 6 6" xfId="1287" xr:uid="{00000000-0005-0000-0000-000093160000}"/>
    <cellStyle name="Normal 4 6 6 2" xfId="3517" xr:uid="{00000000-0005-0000-0000-000094160000}"/>
    <cellStyle name="Normal 4 6 6 2 2" xfId="7739" xr:uid="{00000000-0005-0000-0000-000095160000}"/>
    <cellStyle name="Normal 4 6 6 2 2 2" xfId="17065" xr:uid="{2E95A4F3-3900-4A14-8CA7-863A162849E6}"/>
    <cellStyle name="Normal 4 6 6 2 3" xfId="12848" xr:uid="{331A05F9-DC0C-45CF-8682-EA1726F15A78}"/>
    <cellStyle name="Normal 4 6 6 3" xfId="5594" xr:uid="{00000000-0005-0000-0000-000096160000}"/>
    <cellStyle name="Normal 4 6 6 3 2" xfId="14920" xr:uid="{F21B0C19-97C0-40A1-8230-2BF04D690F84}"/>
    <cellStyle name="Normal 4 6 6 4" xfId="10703" xr:uid="{E927B4EE-8837-4E30-90FD-ABD8A111A5BA}"/>
    <cellStyle name="Normal 4 6 7" xfId="1700" xr:uid="{00000000-0005-0000-0000-000097160000}"/>
    <cellStyle name="Normal 4 6 7 2" xfId="3930" xr:uid="{00000000-0005-0000-0000-000098160000}"/>
    <cellStyle name="Normal 4 6 7 2 2" xfId="8152" xr:uid="{00000000-0005-0000-0000-000099160000}"/>
    <cellStyle name="Normal 4 6 7 2 2 2" xfId="17478" xr:uid="{F318BC75-B26C-43B4-9F1F-8258896DBC4B}"/>
    <cellStyle name="Normal 4 6 7 2 3" xfId="13261" xr:uid="{767DAA95-BA29-41D4-936D-335D427EC4E4}"/>
    <cellStyle name="Normal 4 6 7 3" xfId="6007" xr:uid="{00000000-0005-0000-0000-00009A160000}"/>
    <cellStyle name="Normal 4 6 7 3 2" xfId="15333" xr:uid="{D2642417-E9D0-4146-982E-6CC1D7AB3397}"/>
    <cellStyle name="Normal 4 6 7 4" xfId="11116" xr:uid="{4D4DA4B0-3FCF-4608-ACFC-D17390180C13}"/>
    <cellStyle name="Normal 4 6 8" xfId="2114" xr:uid="{00000000-0005-0000-0000-00009B160000}"/>
    <cellStyle name="Normal 4 6 8 2" xfId="4343" xr:uid="{00000000-0005-0000-0000-00009C160000}"/>
    <cellStyle name="Normal 4 6 8 2 2" xfId="8565" xr:uid="{00000000-0005-0000-0000-00009D160000}"/>
    <cellStyle name="Normal 4 6 8 2 2 2" xfId="17891" xr:uid="{DF7B7E5A-EB14-4E4D-B33C-6A1E1967D193}"/>
    <cellStyle name="Normal 4 6 8 2 3" xfId="13674" xr:uid="{4819DB13-3603-4D81-8E62-B77772BA1C91}"/>
    <cellStyle name="Normal 4 6 8 3" xfId="6420" xr:uid="{00000000-0005-0000-0000-00009E160000}"/>
    <cellStyle name="Normal 4 6 8 3 2" xfId="15746" xr:uid="{D1ECB852-B133-474C-800E-1C90CC764AC1}"/>
    <cellStyle name="Normal 4 6 8 4" xfId="11529" xr:uid="{082DEC8F-EA17-4758-B0A4-CC1FBC9BC9B7}"/>
    <cellStyle name="Normal 4 6 9" xfId="2550" xr:uid="{00000000-0005-0000-0000-00009F160000}"/>
    <cellStyle name="Normal 4 6 9 2" xfId="6833" xr:uid="{00000000-0005-0000-0000-0000A0160000}"/>
    <cellStyle name="Normal 4 6 9 2 2" xfId="16159" xr:uid="{30901E79-EAD3-4220-9880-D25653D06A3A}"/>
    <cellStyle name="Normal 4 6 9 3" xfId="11942" xr:uid="{B889156F-6F27-466A-8C36-5B4DAD12D29A}"/>
    <cellStyle name="Normal 4 7" xfId="403" xr:uid="{00000000-0005-0000-0000-0000A1160000}"/>
    <cellStyle name="Normal 4 7 10" xfId="9885" xr:uid="{B58AEA55-C697-41AB-A353-0ED450A909DE}"/>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03C1B77D-8908-4398-94C9-C4926EB1CAE6}"/>
    <cellStyle name="Normal 4 7 2 2 2 3" xfId="12444" xr:uid="{F6CB078E-3FF0-4C8B-A593-778FDC0318CA}"/>
    <cellStyle name="Normal 4 7 2 2 3" xfId="5190" xr:uid="{00000000-0005-0000-0000-0000A6160000}"/>
    <cellStyle name="Normal 4 7 2 2 3 2" xfId="14516" xr:uid="{7DF0DB96-EDB3-46AA-A3E4-5B663479E4C5}"/>
    <cellStyle name="Normal 4 7 2 2 4" xfId="9475" xr:uid="{1E309EF6-7D7C-4A4D-B2F1-E00D0CF6E167}"/>
    <cellStyle name="Normal 4 7 2 2 5" xfId="10299" xr:uid="{39695008-2C66-40BE-9748-8A7BE55ABBCD}"/>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41B85695-CBAE-4DE5-84BB-321A4C0DE5A3}"/>
    <cellStyle name="Normal 4 7 2 3 2 3" xfId="12857" xr:uid="{9698AF1B-056C-421D-9AC6-B9D5687C9CE7}"/>
    <cellStyle name="Normal 4 7 2 3 3" xfId="5603" xr:uid="{00000000-0005-0000-0000-0000AA160000}"/>
    <cellStyle name="Normal 4 7 2 3 3 2" xfId="14929" xr:uid="{419AF7E0-AB42-4B28-B36C-CE78E2B835BE}"/>
    <cellStyle name="Normal 4 7 2 3 4" xfId="10712" xr:uid="{C6482898-7AA0-418B-87E5-C22779322A0E}"/>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68550A85-33C1-472B-AB00-2C2D16FAC604}"/>
    <cellStyle name="Normal 4 7 2 4 2 3" xfId="13270" xr:uid="{56676C1F-9434-4FBA-89B2-113A097E3C8D}"/>
    <cellStyle name="Normal 4 7 2 4 3" xfId="6016" xr:uid="{00000000-0005-0000-0000-0000AE160000}"/>
    <cellStyle name="Normal 4 7 2 4 3 2" xfId="15342" xr:uid="{F67F1489-81EA-4537-AD15-72797EBC16F3}"/>
    <cellStyle name="Normal 4 7 2 4 4" xfId="11125" xr:uid="{311BAF17-080C-4ED2-86D2-B9CC689C0E08}"/>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5595664C-B676-4AE3-B8E4-A3A29BD928D3}"/>
    <cellStyle name="Normal 4 7 2 5 2 3" xfId="13683" xr:uid="{64A46BBF-B470-4AD6-A1BF-3BACDD3F890C}"/>
    <cellStyle name="Normal 4 7 2 5 3" xfId="6429" xr:uid="{00000000-0005-0000-0000-0000B2160000}"/>
    <cellStyle name="Normal 4 7 2 5 3 2" xfId="15755" xr:uid="{84E879E6-EBB8-4AE0-9877-12BB37FA163C}"/>
    <cellStyle name="Normal 4 7 2 5 4" xfId="11538" xr:uid="{D54AACC7-DFEB-46EF-926D-D4CEA80A7F04}"/>
    <cellStyle name="Normal 4 7 2 6" xfId="2559" xr:uid="{00000000-0005-0000-0000-0000B3160000}"/>
    <cellStyle name="Normal 4 7 2 6 2" xfId="6842" xr:uid="{00000000-0005-0000-0000-0000B4160000}"/>
    <cellStyle name="Normal 4 7 2 6 2 2" xfId="16168" xr:uid="{AF943229-956A-435A-A83A-32A090EB64A8}"/>
    <cellStyle name="Normal 4 7 2 6 3" xfId="11951" xr:uid="{4BEE8621-FDAB-475C-9D95-D6642550D02C}"/>
    <cellStyle name="Normal 4 7 2 7" xfId="4777" xr:uid="{00000000-0005-0000-0000-0000B5160000}"/>
    <cellStyle name="Normal 4 7 2 7 2" xfId="14103" xr:uid="{1D897E3A-6D90-4FFC-883A-7EE48867FAE6}"/>
    <cellStyle name="Normal 4 7 2 8" xfId="9050" xr:uid="{C18A0BCD-6C40-47C4-AC72-E06914F008F6}"/>
    <cellStyle name="Normal 4 7 2 9" xfId="9886" xr:uid="{9F5E06C9-07C0-4A17-BC7B-5A5E008240EB}"/>
    <cellStyle name="Normal 4 7 3" xfId="877" xr:uid="{00000000-0005-0000-0000-0000B6160000}"/>
    <cellStyle name="Normal 4 7 3 2" xfId="3112" xr:uid="{00000000-0005-0000-0000-0000B7160000}"/>
    <cellStyle name="Normal 4 7 3 2 2" xfId="7334" xr:uid="{00000000-0005-0000-0000-0000B8160000}"/>
    <cellStyle name="Normal 4 7 3 2 2 2" xfId="16660" xr:uid="{339F5A06-70F4-4CCE-9108-3868F685A280}"/>
    <cellStyle name="Normal 4 7 3 2 3" xfId="12443" xr:uid="{1ABAA92D-A0BC-4F82-BD71-4BF753243839}"/>
    <cellStyle name="Normal 4 7 3 3" xfId="5189" xr:uid="{00000000-0005-0000-0000-0000B9160000}"/>
    <cellStyle name="Normal 4 7 3 3 2" xfId="14515" xr:uid="{AAC5BDB0-2B38-40F7-B0DA-42A4D298E248}"/>
    <cellStyle name="Normal 4 7 3 4" xfId="9268" xr:uid="{83DA99B2-5D77-4110-AEB9-304D3ECEF3EB}"/>
    <cellStyle name="Normal 4 7 3 5" xfId="10298" xr:uid="{46F09AF1-1BBB-4623-86F3-F2C6C2AE4FBE}"/>
    <cellStyle name="Normal 4 7 4" xfId="1295" xr:uid="{00000000-0005-0000-0000-0000BA160000}"/>
    <cellStyle name="Normal 4 7 4 2" xfId="3525" xr:uid="{00000000-0005-0000-0000-0000BB160000}"/>
    <cellStyle name="Normal 4 7 4 2 2" xfId="7747" xr:uid="{00000000-0005-0000-0000-0000BC160000}"/>
    <cellStyle name="Normal 4 7 4 2 2 2" xfId="17073" xr:uid="{5F2D133C-AD9B-4F40-80E3-6D02BFBA6749}"/>
    <cellStyle name="Normal 4 7 4 2 3" xfId="12856" xr:uid="{CE4A7155-CFF4-42AC-9520-9D3840FE2E2E}"/>
    <cellStyle name="Normal 4 7 4 3" xfId="5602" xr:uid="{00000000-0005-0000-0000-0000BD160000}"/>
    <cellStyle name="Normal 4 7 4 3 2" xfId="14928" xr:uid="{AD6DD901-ACE1-45F3-A6BC-F0068E170063}"/>
    <cellStyle name="Normal 4 7 4 4" xfId="10711" xr:uid="{B15D139B-E21A-450C-B4BF-11B08C338C51}"/>
    <cellStyle name="Normal 4 7 5" xfId="1708" xr:uid="{00000000-0005-0000-0000-0000BE160000}"/>
    <cellStyle name="Normal 4 7 5 2" xfId="3938" xr:uid="{00000000-0005-0000-0000-0000BF160000}"/>
    <cellStyle name="Normal 4 7 5 2 2" xfId="8160" xr:uid="{00000000-0005-0000-0000-0000C0160000}"/>
    <cellStyle name="Normal 4 7 5 2 2 2" xfId="17486" xr:uid="{0F0B8102-3C31-406E-9765-F014C0964592}"/>
    <cellStyle name="Normal 4 7 5 2 3" xfId="13269" xr:uid="{BCC498B7-23DF-44D7-BC5C-A2EEEA8064F5}"/>
    <cellStyle name="Normal 4 7 5 3" xfId="6015" xr:uid="{00000000-0005-0000-0000-0000C1160000}"/>
    <cellStyle name="Normal 4 7 5 3 2" xfId="15341" xr:uid="{72457260-B037-4F6F-A8F3-DCD263C42924}"/>
    <cellStyle name="Normal 4 7 5 4" xfId="11124" xr:uid="{04263C7F-E9C1-42AF-946D-023F178DFD2C}"/>
    <cellStyle name="Normal 4 7 6" xfId="2122" xr:uid="{00000000-0005-0000-0000-0000C2160000}"/>
    <cellStyle name="Normal 4 7 6 2" xfId="4351" xr:uid="{00000000-0005-0000-0000-0000C3160000}"/>
    <cellStyle name="Normal 4 7 6 2 2" xfId="8573" xr:uid="{00000000-0005-0000-0000-0000C4160000}"/>
    <cellStyle name="Normal 4 7 6 2 2 2" xfId="17899" xr:uid="{FC8D5B87-F5E6-45A2-8753-8B1FD24C2BC8}"/>
    <cellStyle name="Normal 4 7 6 2 3" xfId="13682" xr:uid="{8C9670A4-FE7E-49E4-9EE3-F4D7EDE64026}"/>
    <cellStyle name="Normal 4 7 6 3" xfId="6428" xr:uid="{00000000-0005-0000-0000-0000C5160000}"/>
    <cellStyle name="Normal 4 7 6 3 2" xfId="15754" xr:uid="{62D3B872-9E44-4A69-A604-B9880A21A0F7}"/>
    <cellStyle name="Normal 4 7 6 4" xfId="11537" xr:uid="{55DCEE8A-9211-4BED-8E92-E874DCD490DD}"/>
    <cellStyle name="Normal 4 7 7" xfId="2558" xr:uid="{00000000-0005-0000-0000-0000C6160000}"/>
    <cellStyle name="Normal 4 7 7 2" xfId="6841" xr:uid="{00000000-0005-0000-0000-0000C7160000}"/>
    <cellStyle name="Normal 4 7 7 2 2" xfId="16167" xr:uid="{B45C5F8E-C1BD-4C61-AD9C-5A75C2786FF9}"/>
    <cellStyle name="Normal 4 7 7 3" xfId="11950" xr:uid="{CC69DC4D-A8AD-4220-926C-83C6AD38A051}"/>
    <cellStyle name="Normal 4 7 8" xfId="4776" xr:uid="{00000000-0005-0000-0000-0000C8160000}"/>
    <cellStyle name="Normal 4 7 8 2" xfId="14102" xr:uid="{29D5D66B-D0A3-43E0-AEDE-93890C81A7AC}"/>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6B9FD620-810F-4D8F-9E7A-DDACFB54296E}"/>
    <cellStyle name="Normal 4 8 2 2 3" xfId="12445" xr:uid="{BEE8332D-4D7B-4E69-9796-FD8964E32774}"/>
    <cellStyle name="Normal 4 8 2 3" xfId="5191" xr:uid="{00000000-0005-0000-0000-0000CD160000}"/>
    <cellStyle name="Normal 4 8 2 3 2" xfId="14517" xr:uid="{C09BAC20-5F34-4376-A8EC-F89D4A6752FF}"/>
    <cellStyle name="Normal 4 8 2 4" xfId="9384" xr:uid="{6351F1DA-E485-4044-8429-C0AE76E79EEE}"/>
    <cellStyle name="Normal 4 8 2 5" xfId="10300" xr:uid="{B505E92B-1773-432A-A41D-A0138D377191}"/>
    <cellStyle name="Normal 4 8 3" xfId="1297" xr:uid="{00000000-0005-0000-0000-0000CE160000}"/>
    <cellStyle name="Normal 4 8 3 2" xfId="3527" xr:uid="{00000000-0005-0000-0000-0000CF160000}"/>
    <cellStyle name="Normal 4 8 3 2 2" xfId="7749" xr:uid="{00000000-0005-0000-0000-0000D0160000}"/>
    <cellStyle name="Normal 4 8 3 2 2 2" xfId="17075" xr:uid="{998A2230-ABFF-4966-8D6B-9EF817B31BD6}"/>
    <cellStyle name="Normal 4 8 3 2 3" xfId="12858" xr:uid="{53654BDE-EBEA-433A-86D9-7677833A539F}"/>
    <cellStyle name="Normal 4 8 3 3" xfId="5604" xr:uid="{00000000-0005-0000-0000-0000D1160000}"/>
    <cellStyle name="Normal 4 8 3 3 2" xfId="14930" xr:uid="{72BD8611-EAED-428F-AB27-5595E422841A}"/>
    <cellStyle name="Normal 4 8 3 4" xfId="10713" xr:uid="{2A7DD9CE-97D9-47EC-A590-A43E660437BC}"/>
    <cellStyle name="Normal 4 8 4" xfId="1710" xr:uid="{00000000-0005-0000-0000-0000D2160000}"/>
    <cellStyle name="Normal 4 8 4 2" xfId="3940" xr:uid="{00000000-0005-0000-0000-0000D3160000}"/>
    <cellStyle name="Normal 4 8 4 2 2" xfId="8162" xr:uid="{00000000-0005-0000-0000-0000D4160000}"/>
    <cellStyle name="Normal 4 8 4 2 2 2" xfId="17488" xr:uid="{0C61696E-3FF2-4844-8711-E5BD22758823}"/>
    <cellStyle name="Normal 4 8 4 2 3" xfId="13271" xr:uid="{52FB5500-1486-4383-8680-A4BCBADB212D}"/>
    <cellStyle name="Normal 4 8 4 3" xfId="6017" xr:uid="{00000000-0005-0000-0000-0000D5160000}"/>
    <cellStyle name="Normal 4 8 4 3 2" xfId="15343" xr:uid="{A3837669-8BD2-45E3-ADAE-6162CCBBB05B}"/>
    <cellStyle name="Normal 4 8 4 4" xfId="11126" xr:uid="{514AFE91-0758-4636-BA7A-54073423FE3E}"/>
    <cellStyle name="Normal 4 8 5" xfId="2124" xr:uid="{00000000-0005-0000-0000-0000D6160000}"/>
    <cellStyle name="Normal 4 8 5 2" xfId="4353" xr:uid="{00000000-0005-0000-0000-0000D7160000}"/>
    <cellStyle name="Normal 4 8 5 2 2" xfId="8575" xr:uid="{00000000-0005-0000-0000-0000D8160000}"/>
    <cellStyle name="Normal 4 8 5 2 2 2" xfId="17901" xr:uid="{F1B53A27-27AE-4DB6-9F9E-9584256DCA89}"/>
    <cellStyle name="Normal 4 8 5 2 3" xfId="13684" xr:uid="{13FED638-2C73-4E29-A513-9FEFBDFAEDB8}"/>
    <cellStyle name="Normal 4 8 5 3" xfId="6430" xr:uid="{00000000-0005-0000-0000-0000D9160000}"/>
    <cellStyle name="Normal 4 8 5 3 2" xfId="15756" xr:uid="{E0ADB481-2EB9-4BD1-8DD4-58B49CCB1DA6}"/>
    <cellStyle name="Normal 4 8 5 4" xfId="11539" xr:uid="{03C25C3D-C5B5-4971-865B-90F6C81E2F45}"/>
    <cellStyle name="Normal 4 8 6" xfId="2560" xr:uid="{00000000-0005-0000-0000-0000DA160000}"/>
    <cellStyle name="Normal 4 8 6 2" xfId="6843" xr:uid="{00000000-0005-0000-0000-0000DB160000}"/>
    <cellStyle name="Normal 4 8 6 2 2" xfId="16169" xr:uid="{69BDDF3D-12A1-49F3-B243-10900AD286CF}"/>
    <cellStyle name="Normal 4 8 6 3" xfId="11952" xr:uid="{A97D1DD5-252C-4CAB-B1BF-0C612C1CBAC5}"/>
    <cellStyle name="Normal 4 8 7" xfId="4778" xr:uid="{00000000-0005-0000-0000-0000DC160000}"/>
    <cellStyle name="Normal 4 8 7 2" xfId="14104" xr:uid="{57FC9E52-3ADF-49E1-99DF-5A9E02254274}"/>
    <cellStyle name="Normal 4 8 8" xfId="8959" xr:uid="{E3216EF3-66EB-48FF-967C-A258B3C3F4FF}"/>
    <cellStyle name="Normal 4 8 9" xfId="9887" xr:uid="{4DAC5C95-AB68-4876-A946-049F4598B7FD}"/>
    <cellStyle name="Normal 4 9" xfId="4715" xr:uid="{00000000-0005-0000-0000-0000DD160000}"/>
    <cellStyle name="Normal 4 9 2" xfId="9162" xr:uid="{BC355FAB-4557-4712-A03F-EB5522B29E6A}"/>
    <cellStyle name="Normal 4 9 3" xfId="14041" xr:uid="{76660442-2AC2-4439-8858-EAEB623C2F1E}"/>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D89B9D98-57E6-4286-8F70-A9176ADAF0EC}"/>
    <cellStyle name="Normal 5 10 2 3" xfId="13272" xr:uid="{B61F224F-0619-4F72-86D5-3E533183DF5E}"/>
    <cellStyle name="Normal 5 10 3" xfId="6018" xr:uid="{00000000-0005-0000-0000-0000E2160000}"/>
    <cellStyle name="Normal 5 10 3 2" xfId="15344" xr:uid="{A0B24429-F334-4450-989C-1ECA1883B642}"/>
    <cellStyle name="Normal 5 10 4" xfId="11127" xr:uid="{34474C26-9F63-4F42-B6B4-F2E8977AFD72}"/>
    <cellStyle name="Normal 5 11" xfId="2125" xr:uid="{00000000-0005-0000-0000-0000E3160000}"/>
    <cellStyle name="Normal 5 11 2" xfId="4354" xr:uid="{00000000-0005-0000-0000-0000E4160000}"/>
    <cellStyle name="Normal 5 11 2 2" xfId="8576" xr:uid="{00000000-0005-0000-0000-0000E5160000}"/>
    <cellStyle name="Normal 5 11 2 2 2" xfId="17902" xr:uid="{51B35D2D-F270-4674-A5A2-634AF3235E75}"/>
    <cellStyle name="Normal 5 11 2 3" xfId="13685" xr:uid="{3BDAF122-0215-43FE-9999-4C18865889CA}"/>
    <cellStyle name="Normal 5 11 3" xfId="6431" xr:uid="{00000000-0005-0000-0000-0000E6160000}"/>
    <cellStyle name="Normal 5 11 3 2" xfId="15757" xr:uid="{A768DB24-FCCD-43A3-9BA8-AF96E3D2467C}"/>
    <cellStyle name="Normal 5 11 4" xfId="11540" xr:uid="{CA70DFB9-39F5-46CA-A582-F0FF88C6860B}"/>
    <cellStyle name="Normal 5 12" xfId="2561" xr:uid="{00000000-0005-0000-0000-0000E7160000}"/>
    <cellStyle name="Normal 5 12 2" xfId="6844" xr:uid="{00000000-0005-0000-0000-0000E8160000}"/>
    <cellStyle name="Normal 5 12 2 2" xfId="16170" xr:uid="{8ADB4EB8-3182-4620-81B7-62C7AD98B998}"/>
    <cellStyle name="Normal 5 12 3" xfId="11953" xr:uid="{D9C53736-C1C3-4117-9524-C300FED56B25}"/>
    <cellStyle name="Normal 5 13" xfId="4779" xr:uid="{00000000-0005-0000-0000-0000E9160000}"/>
    <cellStyle name="Normal 5 13 2" xfId="14105" xr:uid="{CD752657-EF7C-4E82-997E-DA558FF790D9}"/>
    <cellStyle name="Normal 5 14" xfId="8741" xr:uid="{6467398C-BC57-47BF-AF01-9B3356F8431F}"/>
    <cellStyle name="Normal 5 15" xfId="9888" xr:uid="{A5099E39-FA4A-499B-B3D2-B810BDC18A98}"/>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C17E28D1-9325-4F8D-A854-0D7E66BA957A}"/>
    <cellStyle name="Normal 5 2 10 2 3" xfId="13686" xr:uid="{B937336F-5EA8-4FEE-8F34-DA753169C993}"/>
    <cellStyle name="Normal 5 2 10 3" xfId="6432" xr:uid="{00000000-0005-0000-0000-0000EE160000}"/>
    <cellStyle name="Normal 5 2 10 3 2" xfId="15758" xr:uid="{EBF91D8F-B309-4F28-8008-79DC0C1703FD}"/>
    <cellStyle name="Normal 5 2 10 4" xfId="11541" xr:uid="{BEC25456-0D83-4101-8DF5-3C71CDB175A9}"/>
    <cellStyle name="Normal 5 2 11" xfId="2562" xr:uid="{00000000-0005-0000-0000-0000EF160000}"/>
    <cellStyle name="Normal 5 2 11 2" xfId="6845" xr:uid="{00000000-0005-0000-0000-0000F0160000}"/>
    <cellStyle name="Normal 5 2 11 2 2" xfId="16171" xr:uid="{F1468EC0-81F9-401C-A960-98222C18CB62}"/>
    <cellStyle name="Normal 5 2 11 3" xfId="11954" xr:uid="{4A71E75F-D94F-40F6-8A1C-C3F20F8D47B8}"/>
    <cellStyle name="Normal 5 2 12" xfId="4780" xr:uid="{00000000-0005-0000-0000-0000F1160000}"/>
    <cellStyle name="Normal 5 2 12 2" xfId="14106" xr:uid="{BF8A56AF-1794-4F2C-8FBA-78D90E8A7B71}"/>
    <cellStyle name="Normal 5 2 13" xfId="8744" xr:uid="{40D5DF2B-E9DF-4D52-AAE0-3E5A94050B59}"/>
    <cellStyle name="Normal 5 2 14" xfId="9889" xr:uid="{EC47D26F-9DDC-4CBA-B4E7-55FDF3709EFF}"/>
    <cellStyle name="Normal 5 2 2" xfId="408" xr:uid="{00000000-0005-0000-0000-0000F2160000}"/>
    <cellStyle name="Normal 5 2 2 10" xfId="2563" xr:uid="{00000000-0005-0000-0000-0000F3160000}"/>
    <cellStyle name="Normal 5 2 2 10 2" xfId="6846" xr:uid="{00000000-0005-0000-0000-0000F4160000}"/>
    <cellStyle name="Normal 5 2 2 10 2 2" xfId="16172" xr:uid="{FD6ADD97-0E91-4DFC-B6FB-203E090E6EDA}"/>
    <cellStyle name="Normal 5 2 2 10 3" xfId="11955" xr:uid="{4BBC44FE-BC68-4116-94C2-7AA38EE0C3F3}"/>
    <cellStyle name="Normal 5 2 2 11" xfId="4781" xr:uid="{00000000-0005-0000-0000-0000F5160000}"/>
    <cellStyle name="Normal 5 2 2 11 2" xfId="14107" xr:uid="{7DB44A1E-C2E4-4664-AB88-1D4F116B61C5}"/>
    <cellStyle name="Normal 5 2 2 12" xfId="8753" xr:uid="{96D04E2F-D92F-448D-9FDA-8261D8BEE094}"/>
    <cellStyle name="Normal 5 2 2 13" xfId="9890" xr:uid="{C1A1D0D2-E0E2-44B1-AF0B-5B4974796E3D}"/>
    <cellStyle name="Normal 5 2 2 2" xfId="409" xr:uid="{00000000-0005-0000-0000-0000F6160000}"/>
    <cellStyle name="Normal 5 2 2 2 10" xfId="4782" xr:uid="{00000000-0005-0000-0000-0000F7160000}"/>
    <cellStyle name="Normal 5 2 2 2 10 2" xfId="14108" xr:uid="{7F2A1F5C-C24D-4535-8E5A-5BB5DEBFB47D}"/>
    <cellStyle name="Normal 5 2 2 2 11" xfId="8771" xr:uid="{0E58ED1C-12F1-4692-801F-170CA6F7CBDB}"/>
    <cellStyle name="Normal 5 2 2 2 12" xfId="9891" xr:uid="{AC8ED347-6E40-4B69-9B67-62EE258D4CC6}"/>
    <cellStyle name="Normal 5 2 2 2 2" xfId="410" xr:uid="{00000000-0005-0000-0000-0000F8160000}"/>
    <cellStyle name="Normal 5 2 2 2 2 10" xfId="8829" xr:uid="{AC161972-21E9-4E03-8D2E-9F95632CB08D}"/>
    <cellStyle name="Normal 5 2 2 2 2 11" xfId="9892" xr:uid="{0F9DA2CC-ECB9-4DB1-A8F7-DE66EC61517A}"/>
    <cellStyle name="Normal 5 2 2 2 2 2" xfId="411" xr:uid="{00000000-0005-0000-0000-0000F9160000}"/>
    <cellStyle name="Normal 5 2 2 2 2 2 10" xfId="9893" xr:uid="{7E99D6CF-1CE7-425E-A209-F3357F5A67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3661EA6A-0B4A-48C5-A598-8E7ABF856445}"/>
    <cellStyle name="Normal 5 2 2 2 2 2 2 2 2 3" xfId="12452" xr:uid="{084AFC20-3606-4DD1-B29E-78E45BFE8027}"/>
    <cellStyle name="Normal 5 2 2 2 2 2 2 2 3" xfId="5198" xr:uid="{00000000-0005-0000-0000-0000FE160000}"/>
    <cellStyle name="Normal 5 2 2 2 2 2 2 2 3 2" xfId="14524" xr:uid="{C0096A6D-D992-4DE9-9E69-46EA9761DF73}"/>
    <cellStyle name="Normal 5 2 2 2 2 2 2 2 4" xfId="9564" xr:uid="{15884BE4-44C0-46E7-A184-FC102AAADEB4}"/>
    <cellStyle name="Normal 5 2 2 2 2 2 2 2 5" xfId="10307" xr:uid="{47B4CC05-5D3A-482D-A02D-F51D955D6FB2}"/>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E569E628-8BD5-4C77-BF1D-998342E8FF8B}"/>
    <cellStyle name="Normal 5 2 2 2 2 2 2 3 2 3" xfId="12865" xr:uid="{0F096AC3-EA26-4DDB-AEB7-7988BDB66D14}"/>
    <cellStyle name="Normal 5 2 2 2 2 2 2 3 3" xfId="5611" xr:uid="{00000000-0005-0000-0000-000002170000}"/>
    <cellStyle name="Normal 5 2 2 2 2 2 2 3 3 2" xfId="14937" xr:uid="{22F39C51-CAA0-4AB0-9697-30170425B0A5}"/>
    <cellStyle name="Normal 5 2 2 2 2 2 2 3 4" xfId="10720" xr:uid="{99CB94B3-DB60-4725-B0BA-4C48413381E3}"/>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01C3CD91-717A-4684-85F7-B2A50C0A91C7}"/>
    <cellStyle name="Normal 5 2 2 2 2 2 2 4 2 3" xfId="13278" xr:uid="{97B32191-FDD8-4E49-839A-AE3CFE9E4311}"/>
    <cellStyle name="Normal 5 2 2 2 2 2 2 4 3" xfId="6024" xr:uid="{00000000-0005-0000-0000-000006170000}"/>
    <cellStyle name="Normal 5 2 2 2 2 2 2 4 3 2" xfId="15350" xr:uid="{D895D1BB-9C23-4DDF-A62E-80FB4BEF312E}"/>
    <cellStyle name="Normal 5 2 2 2 2 2 2 4 4" xfId="11133" xr:uid="{CEBA4460-08AC-469C-9D2E-0A28648EFE0D}"/>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AD995434-0BE7-4469-BE8E-3164743FE68D}"/>
    <cellStyle name="Normal 5 2 2 2 2 2 2 5 2 3" xfId="13691" xr:uid="{7E50B388-1731-4745-B2FA-15BD7B325E6B}"/>
    <cellStyle name="Normal 5 2 2 2 2 2 2 5 3" xfId="6437" xr:uid="{00000000-0005-0000-0000-00000A170000}"/>
    <cellStyle name="Normal 5 2 2 2 2 2 2 5 3 2" xfId="15763" xr:uid="{90E796D7-57A3-43DC-91BC-7F5F1B57C196}"/>
    <cellStyle name="Normal 5 2 2 2 2 2 2 5 4" xfId="11546" xr:uid="{A208DF52-6C62-4281-B67F-D27FD7FDDB43}"/>
    <cellStyle name="Normal 5 2 2 2 2 2 2 6" xfId="2567" xr:uid="{00000000-0005-0000-0000-00000B170000}"/>
    <cellStyle name="Normal 5 2 2 2 2 2 2 6 2" xfId="6850" xr:uid="{00000000-0005-0000-0000-00000C170000}"/>
    <cellStyle name="Normal 5 2 2 2 2 2 2 6 2 2" xfId="16176" xr:uid="{A57954B5-7CA8-4D8C-9B99-5A038DCE5D43}"/>
    <cellStyle name="Normal 5 2 2 2 2 2 2 6 3" xfId="11959" xr:uid="{E7DF1E8E-D03E-4BE1-865E-F011F701B0E0}"/>
    <cellStyle name="Normal 5 2 2 2 2 2 2 7" xfId="4785" xr:uid="{00000000-0005-0000-0000-00000D170000}"/>
    <cellStyle name="Normal 5 2 2 2 2 2 2 7 2" xfId="14111" xr:uid="{6373C3A1-B40E-4773-9A00-CA8C1279E2CA}"/>
    <cellStyle name="Normal 5 2 2 2 2 2 2 8" xfId="9139" xr:uid="{CFCC7179-F81D-4929-81F2-C6E64655A093}"/>
    <cellStyle name="Normal 5 2 2 2 2 2 2 9" xfId="9894" xr:uid="{617A91A7-1350-4B99-8E88-41EE9AC49E39}"/>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48FDF87D-7F7A-418B-B3AB-A3F57B85C354}"/>
    <cellStyle name="Normal 5 2 2 2 2 2 3 2 3" xfId="12451" xr:uid="{BEC688F6-88A8-49D6-A9AD-08C24E468706}"/>
    <cellStyle name="Normal 5 2 2 2 2 2 3 3" xfId="5197" xr:uid="{00000000-0005-0000-0000-000011170000}"/>
    <cellStyle name="Normal 5 2 2 2 2 2 3 3 2" xfId="14523" xr:uid="{37F61B3B-D896-42EA-A810-2BFAF79AE793}"/>
    <cellStyle name="Normal 5 2 2 2 2 2 3 4" xfId="9357" xr:uid="{1809EB60-9E69-4954-99A5-643CD830C5FB}"/>
    <cellStyle name="Normal 5 2 2 2 2 2 3 5" xfId="10306" xr:uid="{BC84249C-EB91-409A-819F-E1F05440617F}"/>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37CD75B8-7AB7-4503-8C93-EE5EEE91426C}"/>
    <cellStyle name="Normal 5 2 2 2 2 2 4 2 3" xfId="12864" xr:uid="{5401B1D2-439A-4C2F-B7FC-CCE247539CD9}"/>
    <cellStyle name="Normal 5 2 2 2 2 2 4 3" xfId="5610" xr:uid="{00000000-0005-0000-0000-000015170000}"/>
    <cellStyle name="Normal 5 2 2 2 2 2 4 3 2" xfId="14936" xr:uid="{24F34E95-8FA7-474C-9EAD-EB375AE27E95}"/>
    <cellStyle name="Normal 5 2 2 2 2 2 4 4" xfId="10719" xr:uid="{37BD7751-7D91-42A7-9C0B-721621980184}"/>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5DC1AA11-387C-49DA-9441-DC626C0A6BD9}"/>
    <cellStyle name="Normal 5 2 2 2 2 2 5 2 3" xfId="13277" xr:uid="{D8B971F9-0944-4E14-A615-1822BECF3213}"/>
    <cellStyle name="Normal 5 2 2 2 2 2 5 3" xfId="6023" xr:uid="{00000000-0005-0000-0000-000019170000}"/>
    <cellStyle name="Normal 5 2 2 2 2 2 5 3 2" xfId="15349" xr:uid="{AB0738C7-C4F8-463E-AC2F-CF8BC01955DE}"/>
    <cellStyle name="Normal 5 2 2 2 2 2 5 4" xfId="11132" xr:uid="{2F5E4EB4-0970-4EB3-B76D-B46A2E2BCE62}"/>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81719796-2A26-4FCC-95BE-B42F322DC075}"/>
    <cellStyle name="Normal 5 2 2 2 2 2 6 2 3" xfId="13690" xr:uid="{FD267517-7E27-48A4-97BB-E6C3A68B655C}"/>
    <cellStyle name="Normal 5 2 2 2 2 2 6 3" xfId="6436" xr:uid="{00000000-0005-0000-0000-00001D170000}"/>
    <cellStyle name="Normal 5 2 2 2 2 2 6 3 2" xfId="15762" xr:uid="{F812884D-551B-4317-8C34-1DA6C653877F}"/>
    <cellStyle name="Normal 5 2 2 2 2 2 6 4" xfId="11545" xr:uid="{86F972E7-A3D4-438D-8085-741F87D4AE9C}"/>
    <cellStyle name="Normal 5 2 2 2 2 2 7" xfId="2566" xr:uid="{00000000-0005-0000-0000-00001E170000}"/>
    <cellStyle name="Normal 5 2 2 2 2 2 7 2" xfId="6849" xr:uid="{00000000-0005-0000-0000-00001F170000}"/>
    <cellStyle name="Normal 5 2 2 2 2 2 7 2 2" xfId="16175" xr:uid="{8A212F81-04E8-422D-83F1-3CE5F2118B97}"/>
    <cellStyle name="Normal 5 2 2 2 2 2 7 3" xfId="11958" xr:uid="{522089CE-93D8-4871-9E7F-E22E6AE67776}"/>
    <cellStyle name="Normal 5 2 2 2 2 2 8" xfId="4784" xr:uid="{00000000-0005-0000-0000-000020170000}"/>
    <cellStyle name="Normal 5 2 2 2 2 2 8 2" xfId="14110" xr:uid="{99BDCF6F-BE69-41C6-BFD3-BFAFEB7DCE5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B43F0990-C0CE-4441-A130-576474047E6F}"/>
    <cellStyle name="Normal 5 2 2 2 2 3 2 2 3" xfId="12453" xr:uid="{19F7C2A7-D5A9-447D-BCF7-00835C73D337}"/>
    <cellStyle name="Normal 5 2 2 2 2 3 2 3" xfId="5199" xr:uid="{00000000-0005-0000-0000-000025170000}"/>
    <cellStyle name="Normal 5 2 2 2 2 3 2 3 2" xfId="14525" xr:uid="{250EF0C0-D89C-4626-AE44-D57E8EF4F3C8}"/>
    <cellStyle name="Normal 5 2 2 2 2 3 2 4" xfId="9461" xr:uid="{815E4D9A-ED64-4B6C-A17A-F6D83CC40A47}"/>
    <cellStyle name="Normal 5 2 2 2 2 3 2 5" xfId="10308" xr:uid="{6816D54A-79A1-444A-94CC-4AD4540D292C}"/>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649A6D8C-117A-4494-AC44-0C17CF8ACE59}"/>
    <cellStyle name="Normal 5 2 2 2 2 3 3 2 3" xfId="12866" xr:uid="{2C4801C6-F49D-4DA3-AA44-C86B9205D40F}"/>
    <cellStyle name="Normal 5 2 2 2 2 3 3 3" xfId="5612" xr:uid="{00000000-0005-0000-0000-000029170000}"/>
    <cellStyle name="Normal 5 2 2 2 2 3 3 3 2" xfId="14938" xr:uid="{5E8691FD-6016-4828-943C-35ACC4E2D9DF}"/>
    <cellStyle name="Normal 5 2 2 2 2 3 3 4" xfId="10721" xr:uid="{42287D5D-0DCF-46F6-9A95-B700DA90648E}"/>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17E117D3-F4D5-46B1-8EFB-1DB41EEF4FD1}"/>
    <cellStyle name="Normal 5 2 2 2 2 3 4 2 3" xfId="13279" xr:uid="{053CA7DF-0194-4EB4-B8A4-34A6FFD34164}"/>
    <cellStyle name="Normal 5 2 2 2 2 3 4 3" xfId="6025" xr:uid="{00000000-0005-0000-0000-00002D170000}"/>
    <cellStyle name="Normal 5 2 2 2 2 3 4 3 2" xfId="15351" xr:uid="{540613A2-F7B8-4FCC-BB0F-A2835DF5B8EE}"/>
    <cellStyle name="Normal 5 2 2 2 2 3 4 4" xfId="11134" xr:uid="{D53E3314-8520-453E-B663-21F0F46165EC}"/>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272FE72E-6655-4AFD-A2E0-F16C08887B69}"/>
    <cellStyle name="Normal 5 2 2 2 2 3 5 2 3" xfId="13692" xr:uid="{114E0A0C-586B-4F0D-8632-74395CED3DCC}"/>
    <cellStyle name="Normal 5 2 2 2 2 3 5 3" xfId="6438" xr:uid="{00000000-0005-0000-0000-000031170000}"/>
    <cellStyle name="Normal 5 2 2 2 2 3 5 3 2" xfId="15764" xr:uid="{17E7BEB8-5D56-451C-ACEA-49106F6D2686}"/>
    <cellStyle name="Normal 5 2 2 2 2 3 5 4" xfId="11547" xr:uid="{FB8ABABB-3466-4FF0-BEF8-2CBEF3CEF145}"/>
    <cellStyle name="Normal 5 2 2 2 2 3 6" xfId="2568" xr:uid="{00000000-0005-0000-0000-000032170000}"/>
    <cellStyle name="Normal 5 2 2 2 2 3 6 2" xfId="6851" xr:uid="{00000000-0005-0000-0000-000033170000}"/>
    <cellStyle name="Normal 5 2 2 2 2 3 6 2 2" xfId="16177" xr:uid="{28B8CAE4-3340-497B-B47D-995368DBF819}"/>
    <cellStyle name="Normal 5 2 2 2 2 3 6 3" xfId="11960" xr:uid="{391B2F39-CBC1-4342-B8B7-7676D968A20B}"/>
    <cellStyle name="Normal 5 2 2 2 2 3 7" xfId="4786" xr:uid="{00000000-0005-0000-0000-000034170000}"/>
    <cellStyle name="Normal 5 2 2 2 2 3 7 2" xfId="14112" xr:uid="{2213CD8C-85DE-45C7-A0EE-67575EC42F21}"/>
    <cellStyle name="Normal 5 2 2 2 2 3 8" xfId="9036" xr:uid="{2B9BC3AC-900A-42EE-A23F-E5574B6E75BC}"/>
    <cellStyle name="Normal 5 2 2 2 2 3 9" xfId="9895" xr:uid="{9E5573BF-3B92-449C-A4BA-CC7B5B5112A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A39F8AB1-E198-4453-94B3-EEAB4D5A1D26}"/>
    <cellStyle name="Normal 5 2 2 2 2 4 2 3" xfId="12450" xr:uid="{C29D313E-1035-4385-95BE-655A349F7FD8}"/>
    <cellStyle name="Normal 5 2 2 2 2 4 3" xfId="5196" xr:uid="{00000000-0005-0000-0000-000038170000}"/>
    <cellStyle name="Normal 5 2 2 2 2 4 3 2" xfId="14522" xr:uid="{A93D2232-98C8-40CE-99E5-BE4CB5623D49}"/>
    <cellStyle name="Normal 5 2 2 2 2 4 4" xfId="9254" xr:uid="{B0B4DA0D-4C0F-4712-8BF0-280C2A85D575}"/>
    <cellStyle name="Normal 5 2 2 2 2 4 5" xfId="10305" xr:uid="{E7CB551D-897F-4D1E-B5ED-D7CA5B661FAD}"/>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8DC61107-6A61-4189-ADBE-E01AB9ED8813}"/>
    <cellStyle name="Normal 5 2 2 2 2 5 2 3" xfId="12863" xr:uid="{1BFBE6ED-BDE6-4BF5-9FEC-82F2EC111D3D}"/>
    <cellStyle name="Normal 5 2 2 2 2 5 3" xfId="5609" xr:uid="{00000000-0005-0000-0000-00003C170000}"/>
    <cellStyle name="Normal 5 2 2 2 2 5 3 2" xfId="14935" xr:uid="{8BB1F6AB-76F9-4053-80D2-CD2366DC44E2}"/>
    <cellStyle name="Normal 5 2 2 2 2 5 4" xfId="10718" xr:uid="{4CCAC01B-8ED7-4FC1-A4CA-422B0815FE9E}"/>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770FEA81-97F4-4118-BD78-5E9D1ED3B4A3}"/>
    <cellStyle name="Normal 5 2 2 2 2 6 2 3" xfId="13276" xr:uid="{2F80EFE1-83A6-4A0C-B67B-9C246729A4F3}"/>
    <cellStyle name="Normal 5 2 2 2 2 6 3" xfId="6022" xr:uid="{00000000-0005-0000-0000-000040170000}"/>
    <cellStyle name="Normal 5 2 2 2 2 6 3 2" xfId="15348" xr:uid="{CEF22054-8446-4D67-806C-1E00A46FDD18}"/>
    <cellStyle name="Normal 5 2 2 2 2 6 4" xfId="11131" xr:uid="{B77B832D-B983-46A5-8A01-17BE9314E427}"/>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30C872E9-C5F6-430D-B93E-A0C7CEC7A7C1}"/>
    <cellStyle name="Normal 5 2 2 2 2 7 2 3" xfId="13689" xr:uid="{16365790-E2A0-4878-88E0-43F1FAF7B8A6}"/>
    <cellStyle name="Normal 5 2 2 2 2 7 3" xfId="6435" xr:uid="{00000000-0005-0000-0000-000044170000}"/>
    <cellStyle name="Normal 5 2 2 2 2 7 3 2" xfId="15761" xr:uid="{99A4003D-0404-4CF7-ABA2-7FD6E5929BAD}"/>
    <cellStyle name="Normal 5 2 2 2 2 7 4" xfId="11544" xr:uid="{75170AAE-F582-4E36-B79B-110D39B30C27}"/>
    <cellStyle name="Normal 5 2 2 2 2 8" xfId="2565" xr:uid="{00000000-0005-0000-0000-000045170000}"/>
    <cellStyle name="Normal 5 2 2 2 2 8 2" xfId="6848" xr:uid="{00000000-0005-0000-0000-000046170000}"/>
    <cellStyle name="Normal 5 2 2 2 2 8 2 2" xfId="16174" xr:uid="{4404E831-F6B1-4319-B61B-64333C315FC5}"/>
    <cellStyle name="Normal 5 2 2 2 2 8 3" xfId="11957" xr:uid="{A2886F55-5891-4F10-A6EA-D3DA1356205E}"/>
    <cellStyle name="Normal 5 2 2 2 2 9" xfId="4783" xr:uid="{00000000-0005-0000-0000-000047170000}"/>
    <cellStyle name="Normal 5 2 2 2 2 9 2" xfId="14109" xr:uid="{A3901CF2-F7E4-4732-B618-12D3EDC02293}"/>
    <cellStyle name="Normal 5 2 2 2 3" xfId="414" xr:uid="{00000000-0005-0000-0000-000048170000}"/>
    <cellStyle name="Normal 5 2 2 2 3 10" xfId="9896" xr:uid="{E8DFBCF8-03F1-4225-B3D0-DB71F2505369}"/>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F920BEB5-948E-49CA-A3D9-A7142AB8C398}"/>
    <cellStyle name="Normal 5 2 2 2 3 2 2 2 3" xfId="12455" xr:uid="{F46AA2BB-7194-4D13-B950-0E37DF18284A}"/>
    <cellStyle name="Normal 5 2 2 2 3 2 2 3" xfId="5201" xr:uid="{00000000-0005-0000-0000-00004D170000}"/>
    <cellStyle name="Normal 5 2 2 2 3 2 2 3 2" xfId="14527" xr:uid="{940926EE-6A92-4826-8DC5-E696C3E70FCA}"/>
    <cellStyle name="Normal 5 2 2 2 3 2 2 4" xfId="9506" xr:uid="{65E8E1F9-5B62-47C9-8131-412DF42F5268}"/>
    <cellStyle name="Normal 5 2 2 2 3 2 2 5" xfId="10310" xr:uid="{06B7DACF-D8C3-4E48-94F6-E0C732433FE3}"/>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C7208B0C-CD6C-4069-85D8-C7639BF57BC8}"/>
    <cellStyle name="Normal 5 2 2 2 3 2 3 2 3" xfId="12868" xr:uid="{597A4C90-E067-4CB2-A016-74DEEE8077F9}"/>
    <cellStyle name="Normal 5 2 2 2 3 2 3 3" xfId="5614" xr:uid="{00000000-0005-0000-0000-000051170000}"/>
    <cellStyle name="Normal 5 2 2 2 3 2 3 3 2" xfId="14940" xr:uid="{E2810551-5478-42F5-B081-5D4C1D3DD8C6}"/>
    <cellStyle name="Normal 5 2 2 2 3 2 3 4" xfId="10723" xr:uid="{0D57DAB0-AEA6-48D8-BD39-849CA45D1CFA}"/>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6E40A6B3-F985-4316-BAB3-88A96A05CDC1}"/>
    <cellStyle name="Normal 5 2 2 2 3 2 4 2 3" xfId="13281" xr:uid="{7EBCE937-E7D1-4342-B9F9-AD71A256FF67}"/>
    <cellStyle name="Normal 5 2 2 2 3 2 4 3" xfId="6027" xr:uid="{00000000-0005-0000-0000-000055170000}"/>
    <cellStyle name="Normal 5 2 2 2 3 2 4 3 2" xfId="15353" xr:uid="{FF44FAF7-39FE-4BDF-B733-E34890132EF6}"/>
    <cellStyle name="Normal 5 2 2 2 3 2 4 4" xfId="11136" xr:uid="{0F1050A7-8584-40E1-ABD5-83FEE80198D7}"/>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677B361E-0CDC-455E-B65F-813727EE323A}"/>
    <cellStyle name="Normal 5 2 2 2 3 2 5 2 3" xfId="13694" xr:uid="{06C374B2-995A-4AF9-BED7-A44E8F4427AA}"/>
    <cellStyle name="Normal 5 2 2 2 3 2 5 3" xfId="6440" xr:uid="{00000000-0005-0000-0000-000059170000}"/>
    <cellStyle name="Normal 5 2 2 2 3 2 5 3 2" xfId="15766" xr:uid="{D731C88B-B7C8-4EF0-B68D-1F99A4E86422}"/>
    <cellStyle name="Normal 5 2 2 2 3 2 5 4" xfId="11549" xr:uid="{267CD899-1BA1-4A47-BCF5-4745B797A64D}"/>
    <cellStyle name="Normal 5 2 2 2 3 2 6" xfId="2570" xr:uid="{00000000-0005-0000-0000-00005A170000}"/>
    <cellStyle name="Normal 5 2 2 2 3 2 6 2" xfId="6853" xr:uid="{00000000-0005-0000-0000-00005B170000}"/>
    <cellStyle name="Normal 5 2 2 2 3 2 6 2 2" xfId="16179" xr:uid="{6AAE1BD5-D654-4053-96F8-3AAF60EDF624}"/>
    <cellStyle name="Normal 5 2 2 2 3 2 6 3" xfId="11962" xr:uid="{C0D456A1-FB1F-433E-94FD-2D2A55E87BAF}"/>
    <cellStyle name="Normal 5 2 2 2 3 2 7" xfId="4788" xr:uid="{00000000-0005-0000-0000-00005C170000}"/>
    <cellStyle name="Normal 5 2 2 2 3 2 7 2" xfId="14114" xr:uid="{CBF662FF-59C7-4925-97CC-09B50EB7F34E}"/>
    <cellStyle name="Normal 5 2 2 2 3 2 8" xfId="9081" xr:uid="{B0400C6D-4400-4F06-9092-2DCAD3324CF1}"/>
    <cellStyle name="Normal 5 2 2 2 3 2 9" xfId="9897" xr:uid="{927190AE-2B19-4CEF-955A-06CADB508B8A}"/>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B59FBAF3-CF69-4F39-B0A2-7642AB5AFB8F}"/>
    <cellStyle name="Normal 5 2 2 2 3 3 2 3" xfId="12454" xr:uid="{683DA59B-7D33-4E98-BFBB-618DB607BB83}"/>
    <cellStyle name="Normal 5 2 2 2 3 3 3" xfId="5200" xr:uid="{00000000-0005-0000-0000-000060170000}"/>
    <cellStyle name="Normal 5 2 2 2 3 3 3 2" xfId="14526" xr:uid="{5AE8D352-533E-4F2C-8D65-8FF453BD9405}"/>
    <cellStyle name="Normal 5 2 2 2 3 3 4" xfId="9299" xr:uid="{85780536-A38F-4D86-8846-D9FA6BB2D61D}"/>
    <cellStyle name="Normal 5 2 2 2 3 3 5" xfId="10309" xr:uid="{1BE91658-544E-4F2C-AFC3-B26BB79D396B}"/>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BB9F00D5-64D6-4946-9639-4785D842A593}"/>
    <cellStyle name="Normal 5 2 2 2 3 4 2 3" xfId="12867" xr:uid="{314D5DB9-A9DE-412B-A146-5573B10C410D}"/>
    <cellStyle name="Normal 5 2 2 2 3 4 3" xfId="5613" xr:uid="{00000000-0005-0000-0000-000064170000}"/>
    <cellStyle name="Normal 5 2 2 2 3 4 3 2" xfId="14939" xr:uid="{9B72705D-9327-4D70-9EE7-5135070D3ABF}"/>
    <cellStyle name="Normal 5 2 2 2 3 4 4" xfId="10722" xr:uid="{0FB3D847-04ED-40E9-B2A9-C2498D010F08}"/>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AD5C7421-F0FD-4735-952D-8FA337C528C0}"/>
    <cellStyle name="Normal 5 2 2 2 3 5 2 3" xfId="13280" xr:uid="{653FBC55-156F-45D8-A0C1-D18470E451E1}"/>
    <cellStyle name="Normal 5 2 2 2 3 5 3" xfId="6026" xr:uid="{00000000-0005-0000-0000-000068170000}"/>
    <cellStyle name="Normal 5 2 2 2 3 5 3 2" xfId="15352" xr:uid="{982217C3-1C3C-42C2-8332-CB4BB4AAB730}"/>
    <cellStyle name="Normal 5 2 2 2 3 5 4" xfId="11135" xr:uid="{95F935FF-6E32-465B-A039-1D06A4E9EAAE}"/>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14B4F559-A3AF-4FE8-B317-244F8277D18F}"/>
    <cellStyle name="Normal 5 2 2 2 3 6 2 3" xfId="13693" xr:uid="{CA38E179-0DAC-4B4A-9BA8-37D889CECE11}"/>
    <cellStyle name="Normal 5 2 2 2 3 6 3" xfId="6439" xr:uid="{00000000-0005-0000-0000-00006C170000}"/>
    <cellStyle name="Normal 5 2 2 2 3 6 3 2" xfId="15765" xr:uid="{116BFA93-EB73-41D9-9635-AA2561FDA119}"/>
    <cellStyle name="Normal 5 2 2 2 3 6 4" xfId="11548" xr:uid="{FAF885B0-4969-4B37-95D7-79DA97B61F34}"/>
    <cellStyle name="Normal 5 2 2 2 3 7" xfId="2569" xr:uid="{00000000-0005-0000-0000-00006D170000}"/>
    <cellStyle name="Normal 5 2 2 2 3 7 2" xfId="6852" xr:uid="{00000000-0005-0000-0000-00006E170000}"/>
    <cellStyle name="Normal 5 2 2 2 3 7 2 2" xfId="16178" xr:uid="{964450F1-B975-479F-A42B-DD8784E70564}"/>
    <cellStyle name="Normal 5 2 2 2 3 7 3" xfId="11961" xr:uid="{58F61FED-1BB8-4C6A-B379-C8AF79399E8A}"/>
    <cellStyle name="Normal 5 2 2 2 3 8" xfId="4787" xr:uid="{00000000-0005-0000-0000-00006F170000}"/>
    <cellStyle name="Normal 5 2 2 2 3 8 2" xfId="14113" xr:uid="{FEB8EE0D-0A69-42D7-936C-951C512055AB}"/>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1B518823-6648-4B48-AB17-5C69D65912A0}"/>
    <cellStyle name="Normal 5 2 2 2 4 2 2 3" xfId="12456" xr:uid="{8F4A116F-739D-4ECC-8431-DC7C81AC89C9}"/>
    <cellStyle name="Normal 5 2 2 2 4 2 3" xfId="5202" xr:uid="{00000000-0005-0000-0000-000074170000}"/>
    <cellStyle name="Normal 5 2 2 2 4 2 3 2" xfId="14528" xr:uid="{B8AFD4F5-1D79-47D1-9EA1-65578105696D}"/>
    <cellStyle name="Normal 5 2 2 2 4 2 4" xfId="9403" xr:uid="{DDA7C497-662A-4A76-A324-A27E6A0A2B3D}"/>
    <cellStyle name="Normal 5 2 2 2 4 2 5" xfId="10311" xr:uid="{F51BBCC4-5C7D-42D5-B52E-FB65E8EE875A}"/>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AF105CE8-9085-4D3B-90F4-0E165400FBCD}"/>
    <cellStyle name="Normal 5 2 2 2 4 3 2 3" xfId="12869" xr:uid="{3BB71B0D-F431-4AA4-A031-508623F7A64B}"/>
    <cellStyle name="Normal 5 2 2 2 4 3 3" xfId="5615" xr:uid="{00000000-0005-0000-0000-000078170000}"/>
    <cellStyle name="Normal 5 2 2 2 4 3 3 2" xfId="14941" xr:uid="{F38E6D55-D2FD-443F-9A19-81ED846D2F34}"/>
    <cellStyle name="Normal 5 2 2 2 4 3 4" xfId="10724" xr:uid="{D2762C99-4A57-4DC7-8B97-51A27B483E4D}"/>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103A776A-573C-4737-BFB0-CB9F493AF37E}"/>
    <cellStyle name="Normal 5 2 2 2 4 4 2 3" xfId="13282" xr:uid="{1EF78869-9E4E-4588-A4F4-C530FDEF0EB2}"/>
    <cellStyle name="Normal 5 2 2 2 4 4 3" xfId="6028" xr:uid="{00000000-0005-0000-0000-00007C170000}"/>
    <cellStyle name="Normal 5 2 2 2 4 4 3 2" xfId="15354" xr:uid="{9ED46BDB-C2FF-49E8-B671-2FEC37A64F30}"/>
    <cellStyle name="Normal 5 2 2 2 4 4 4" xfId="11137" xr:uid="{AA289136-AB5F-4680-9E09-B898270954DF}"/>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90BE5529-0758-46AE-93B9-812FC02E2CFF}"/>
    <cellStyle name="Normal 5 2 2 2 4 5 2 3" xfId="13695" xr:uid="{F1B88E1D-B1D4-4138-A05C-EAABBDD12E35}"/>
    <cellStyle name="Normal 5 2 2 2 4 5 3" xfId="6441" xr:uid="{00000000-0005-0000-0000-000080170000}"/>
    <cellStyle name="Normal 5 2 2 2 4 5 3 2" xfId="15767" xr:uid="{001BBFCB-E61A-403B-A7DB-26AA8EF3C324}"/>
    <cellStyle name="Normal 5 2 2 2 4 5 4" xfId="11550" xr:uid="{B8700AF6-73CA-467F-AF63-0DCA1E0E70B6}"/>
    <cellStyle name="Normal 5 2 2 2 4 6" xfId="2571" xr:uid="{00000000-0005-0000-0000-000081170000}"/>
    <cellStyle name="Normal 5 2 2 2 4 6 2" xfId="6854" xr:uid="{00000000-0005-0000-0000-000082170000}"/>
    <cellStyle name="Normal 5 2 2 2 4 6 2 2" xfId="16180" xr:uid="{F285FB9C-B58E-46D5-8382-C14A4F38A2EA}"/>
    <cellStyle name="Normal 5 2 2 2 4 6 3" xfId="11963" xr:uid="{CC1E4C32-111F-4C90-97AA-D3F7D08AAE72}"/>
    <cellStyle name="Normal 5 2 2 2 4 7" xfId="4789" xr:uid="{00000000-0005-0000-0000-000083170000}"/>
    <cellStyle name="Normal 5 2 2 2 4 7 2" xfId="14115" xr:uid="{87492F63-5BC4-4E50-B7A9-680DF4D67944}"/>
    <cellStyle name="Normal 5 2 2 2 4 8" xfId="8978" xr:uid="{5B5F86B4-BA0F-43A7-920A-E466FD014739}"/>
    <cellStyle name="Normal 5 2 2 2 4 9" xfId="9898" xr:uid="{526D5D23-F3A9-4F16-A469-D85B32DA051A}"/>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E9FFF962-3353-4947-96B0-DCD05430CA43}"/>
    <cellStyle name="Normal 5 2 2 2 5 2 3" xfId="12449" xr:uid="{1907EFEF-4638-455E-9495-F867AAA89D56}"/>
    <cellStyle name="Normal 5 2 2 2 5 3" xfId="5195" xr:uid="{00000000-0005-0000-0000-000087170000}"/>
    <cellStyle name="Normal 5 2 2 2 5 3 2" xfId="14521" xr:uid="{4A338468-FCE3-4E7F-9469-2A15B0FE42EE}"/>
    <cellStyle name="Normal 5 2 2 2 5 4" xfId="9195" xr:uid="{A7E71EA0-2CA4-4918-870E-A32EEF45C61A}"/>
    <cellStyle name="Normal 5 2 2 2 5 5" xfId="10304" xr:uid="{B0E987E9-52A8-4E9C-B0E9-A8562FDD885F}"/>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EA19180B-4507-4637-A725-65C422F298A6}"/>
    <cellStyle name="Normal 5 2 2 2 6 2 3" xfId="12862" xr:uid="{FF364440-8229-4A6F-843A-85F8FE4962BC}"/>
    <cellStyle name="Normal 5 2 2 2 6 3" xfId="5608" xr:uid="{00000000-0005-0000-0000-00008B170000}"/>
    <cellStyle name="Normal 5 2 2 2 6 3 2" xfId="14934" xr:uid="{F4F54EB1-2A13-4FA3-9C2F-21613E0ABD7D}"/>
    <cellStyle name="Normal 5 2 2 2 6 4" xfId="10717" xr:uid="{0FDFAD99-88E8-4B09-AC61-6AEDBE73AADF}"/>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B1134E99-6C1A-4EE1-8F22-6DB289367616}"/>
    <cellStyle name="Normal 5 2 2 2 7 2 3" xfId="13275" xr:uid="{12A3DDA3-FF3C-4F99-8144-036EC70D62D5}"/>
    <cellStyle name="Normal 5 2 2 2 7 3" xfId="6021" xr:uid="{00000000-0005-0000-0000-00008F170000}"/>
    <cellStyle name="Normal 5 2 2 2 7 3 2" xfId="15347" xr:uid="{2FD4A5EE-9F56-46D9-90C4-C38C72B6C247}"/>
    <cellStyle name="Normal 5 2 2 2 7 4" xfId="11130" xr:uid="{7084149B-87BF-4621-A0E5-64BCB89E5573}"/>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CB8D7936-B5AB-4E7A-BB4D-567FE42FA561}"/>
    <cellStyle name="Normal 5 2 2 2 8 2 3" xfId="13688" xr:uid="{2F7341C4-8088-47F9-8A28-B02187C1DCBA}"/>
    <cellStyle name="Normal 5 2 2 2 8 3" xfId="6434" xr:uid="{00000000-0005-0000-0000-000093170000}"/>
    <cellStyle name="Normal 5 2 2 2 8 3 2" xfId="15760" xr:uid="{5CA93EFE-17A5-4CC7-AF25-A9637BA7BA53}"/>
    <cellStyle name="Normal 5 2 2 2 8 4" xfId="11543" xr:uid="{8CB4292D-DD36-4435-B034-9E8514530149}"/>
    <cellStyle name="Normal 5 2 2 2 9" xfId="2564" xr:uid="{00000000-0005-0000-0000-000094170000}"/>
    <cellStyle name="Normal 5 2 2 2 9 2" xfId="6847" xr:uid="{00000000-0005-0000-0000-000095170000}"/>
    <cellStyle name="Normal 5 2 2 2 9 2 2" xfId="16173" xr:uid="{F1EFA619-4A56-4525-86D5-42DE6C9EFF6B}"/>
    <cellStyle name="Normal 5 2 2 2 9 3" xfId="11956" xr:uid="{59EFBCAD-8BBC-4B47-9413-101054055256}"/>
    <cellStyle name="Normal 5 2 2 3" xfId="417" xr:uid="{00000000-0005-0000-0000-000096170000}"/>
    <cellStyle name="Normal 5 2 2 3 10" xfId="8828" xr:uid="{5CED8211-F967-469B-812B-9DF6FC250177}"/>
    <cellStyle name="Normal 5 2 2 3 11" xfId="9899" xr:uid="{2BE98339-6CE3-48D1-BA35-219374825BE2}"/>
    <cellStyle name="Normal 5 2 2 3 2" xfId="418" xr:uid="{00000000-0005-0000-0000-000097170000}"/>
    <cellStyle name="Normal 5 2 2 3 2 10" xfId="9900" xr:uid="{28F38B1D-9965-4E37-B114-E09C39979115}"/>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77B7DF03-5D63-46B4-A71C-B6A5138EA916}"/>
    <cellStyle name="Normal 5 2 2 3 2 2 2 2 3" xfId="12459" xr:uid="{1C008380-6BB5-4AAA-97BC-5C87862D0525}"/>
    <cellStyle name="Normal 5 2 2 3 2 2 2 3" xfId="5205" xr:uid="{00000000-0005-0000-0000-00009C170000}"/>
    <cellStyle name="Normal 5 2 2 3 2 2 2 3 2" xfId="14531" xr:uid="{CF76C6B3-6FDE-4414-9F69-2453789211C1}"/>
    <cellStyle name="Normal 5 2 2 3 2 2 2 4" xfId="9563" xr:uid="{804E641C-B5FA-46A3-B805-C1D4AF390C28}"/>
    <cellStyle name="Normal 5 2 2 3 2 2 2 5" xfId="10314" xr:uid="{712F24CA-C8DC-4DBF-95D6-CCE97067B8BA}"/>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F6BB8EEF-2C48-4AFE-88AD-136DA44F245A}"/>
    <cellStyle name="Normal 5 2 2 3 2 2 3 2 3" xfId="12872" xr:uid="{2B363541-BDC7-4B2B-A030-F799646BD599}"/>
    <cellStyle name="Normal 5 2 2 3 2 2 3 3" xfId="5618" xr:uid="{00000000-0005-0000-0000-0000A0170000}"/>
    <cellStyle name="Normal 5 2 2 3 2 2 3 3 2" xfId="14944" xr:uid="{3AF20241-346C-424F-9B13-7953B73EE66B}"/>
    <cellStyle name="Normal 5 2 2 3 2 2 3 4" xfId="10727" xr:uid="{5D5D71FD-F16A-41AB-8C3C-41EECB3A3484}"/>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1F4FB665-F914-4406-9EB2-115E8E0F0533}"/>
    <cellStyle name="Normal 5 2 2 3 2 2 4 2 3" xfId="13285" xr:uid="{A429E724-3169-4DCE-A304-0AC8A7A19AB4}"/>
    <cellStyle name="Normal 5 2 2 3 2 2 4 3" xfId="6031" xr:uid="{00000000-0005-0000-0000-0000A4170000}"/>
    <cellStyle name="Normal 5 2 2 3 2 2 4 3 2" xfId="15357" xr:uid="{0F925744-A4CD-4540-9973-3AF364D6244E}"/>
    <cellStyle name="Normal 5 2 2 3 2 2 4 4" xfId="11140" xr:uid="{44584570-E9CF-46C3-B317-B03078106282}"/>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7EB1B569-0188-4E20-8A31-4776C4F2EEF9}"/>
    <cellStyle name="Normal 5 2 2 3 2 2 5 2 3" xfId="13698" xr:uid="{86D88BF4-D3DE-4838-97BE-D8B603EECDED}"/>
    <cellStyle name="Normal 5 2 2 3 2 2 5 3" xfId="6444" xr:uid="{00000000-0005-0000-0000-0000A8170000}"/>
    <cellStyle name="Normal 5 2 2 3 2 2 5 3 2" xfId="15770" xr:uid="{1A3BB973-48C2-40EC-837C-AA85EECA65A5}"/>
    <cellStyle name="Normal 5 2 2 3 2 2 5 4" xfId="11553" xr:uid="{FD65D736-0C21-4152-8BF4-4DD6ACE66267}"/>
    <cellStyle name="Normal 5 2 2 3 2 2 6" xfId="2574" xr:uid="{00000000-0005-0000-0000-0000A9170000}"/>
    <cellStyle name="Normal 5 2 2 3 2 2 6 2" xfId="6857" xr:uid="{00000000-0005-0000-0000-0000AA170000}"/>
    <cellStyle name="Normal 5 2 2 3 2 2 6 2 2" xfId="16183" xr:uid="{E8C12BCD-030A-4680-9269-7ECE7114EE65}"/>
    <cellStyle name="Normal 5 2 2 3 2 2 6 3" xfId="11966" xr:uid="{B2D2CF9D-6BCF-4C07-8314-B036BD96E280}"/>
    <cellStyle name="Normal 5 2 2 3 2 2 7" xfId="4792" xr:uid="{00000000-0005-0000-0000-0000AB170000}"/>
    <cellStyle name="Normal 5 2 2 3 2 2 7 2" xfId="14118" xr:uid="{AF31AC0E-B52D-404D-9C60-606A2B8F72B7}"/>
    <cellStyle name="Normal 5 2 2 3 2 2 8" xfId="9138" xr:uid="{BE73D583-3CAB-48A9-8A6F-E88EE69D1D1D}"/>
    <cellStyle name="Normal 5 2 2 3 2 2 9" xfId="9901" xr:uid="{05BCF24C-DE8B-49C1-97C7-6AA628E1E342}"/>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5AB70F57-25AC-45E0-8970-02F32FF4319F}"/>
    <cellStyle name="Normal 5 2 2 3 2 3 2 3" xfId="12458" xr:uid="{4DF30989-631E-4247-BF25-2039DD1ED6BF}"/>
    <cellStyle name="Normal 5 2 2 3 2 3 3" xfId="5204" xr:uid="{00000000-0005-0000-0000-0000AF170000}"/>
    <cellStyle name="Normal 5 2 2 3 2 3 3 2" xfId="14530" xr:uid="{9E073934-A415-42C3-8567-311B60CAFE31}"/>
    <cellStyle name="Normal 5 2 2 3 2 3 4" xfId="9356" xr:uid="{58BAA3B3-A7A2-4F6F-9929-D8BE9F0A557D}"/>
    <cellStyle name="Normal 5 2 2 3 2 3 5" xfId="10313" xr:uid="{0CC8FD07-6E9A-4496-9D45-DA8B66EDBC59}"/>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9F4948C3-A81E-423E-83AC-4CF8A2110CC4}"/>
    <cellStyle name="Normal 5 2 2 3 2 4 2 3" xfId="12871" xr:uid="{50A841A8-C743-44DC-9DD8-A984F11ADB13}"/>
    <cellStyle name="Normal 5 2 2 3 2 4 3" xfId="5617" xr:uid="{00000000-0005-0000-0000-0000B3170000}"/>
    <cellStyle name="Normal 5 2 2 3 2 4 3 2" xfId="14943" xr:uid="{5976F8FD-DC39-4F99-B1D0-0FFCA1B4DA5A}"/>
    <cellStyle name="Normal 5 2 2 3 2 4 4" xfId="10726" xr:uid="{FBA16AF6-52CA-4B0A-B4BD-D3474C77201C}"/>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2716E565-2109-43EF-8969-B02AAC745385}"/>
    <cellStyle name="Normal 5 2 2 3 2 5 2 3" xfId="13284" xr:uid="{A762788A-1F80-4A9E-8BE5-6A858270E7AE}"/>
    <cellStyle name="Normal 5 2 2 3 2 5 3" xfId="6030" xr:uid="{00000000-0005-0000-0000-0000B7170000}"/>
    <cellStyle name="Normal 5 2 2 3 2 5 3 2" xfId="15356" xr:uid="{688D2B20-8191-4DE4-8191-EA1F98437DB3}"/>
    <cellStyle name="Normal 5 2 2 3 2 5 4" xfId="11139" xr:uid="{90524C48-BA40-4CD7-85C4-B97E876A949A}"/>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E4857B75-CEF9-4D58-9040-885E27F78D4F}"/>
    <cellStyle name="Normal 5 2 2 3 2 6 2 3" xfId="13697" xr:uid="{9462D64D-271A-4171-B2D5-A8E48B3EC0F7}"/>
    <cellStyle name="Normal 5 2 2 3 2 6 3" xfId="6443" xr:uid="{00000000-0005-0000-0000-0000BB170000}"/>
    <cellStyle name="Normal 5 2 2 3 2 6 3 2" xfId="15769" xr:uid="{14416746-AA39-4967-B0DB-5BC7CE7BDEBC}"/>
    <cellStyle name="Normal 5 2 2 3 2 6 4" xfId="11552" xr:uid="{06C6FA23-80C3-4807-A99B-B3F7E375C026}"/>
    <cellStyle name="Normal 5 2 2 3 2 7" xfId="2573" xr:uid="{00000000-0005-0000-0000-0000BC170000}"/>
    <cellStyle name="Normal 5 2 2 3 2 7 2" xfId="6856" xr:uid="{00000000-0005-0000-0000-0000BD170000}"/>
    <cellStyle name="Normal 5 2 2 3 2 7 2 2" xfId="16182" xr:uid="{069C091F-DF72-4F41-A195-734097A1FC3B}"/>
    <cellStyle name="Normal 5 2 2 3 2 7 3" xfId="11965" xr:uid="{81A95149-D835-47E2-8E50-E076A26A66D6}"/>
    <cellStyle name="Normal 5 2 2 3 2 8" xfId="4791" xr:uid="{00000000-0005-0000-0000-0000BE170000}"/>
    <cellStyle name="Normal 5 2 2 3 2 8 2" xfId="14117" xr:uid="{18F53BC9-61BE-41F8-AEA8-4B4DC853BB21}"/>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91485543-9F89-41A3-B9C6-025192A81D84}"/>
    <cellStyle name="Normal 5 2 2 3 3 2 2 3" xfId="12460" xr:uid="{6250F3A9-C7F4-4EF5-9095-4D57AAF3AF72}"/>
    <cellStyle name="Normal 5 2 2 3 3 2 3" xfId="5206" xr:uid="{00000000-0005-0000-0000-0000C3170000}"/>
    <cellStyle name="Normal 5 2 2 3 3 2 3 2" xfId="14532" xr:uid="{E7E21B32-3AB8-4763-8E92-996C0BBF7C0A}"/>
    <cellStyle name="Normal 5 2 2 3 3 2 4" xfId="9460" xr:uid="{423E0BE9-24F3-4EF0-8962-2565594BF831}"/>
    <cellStyle name="Normal 5 2 2 3 3 2 5" xfId="10315" xr:uid="{5CAC484C-A974-4B7F-B56C-13FEB1AACCEC}"/>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1DBAE46A-A825-4D38-ABB0-8173A0C6CC9C}"/>
    <cellStyle name="Normal 5 2 2 3 3 3 2 3" xfId="12873" xr:uid="{30C3B9B0-6854-4F02-BEF3-FD10F521C205}"/>
    <cellStyle name="Normal 5 2 2 3 3 3 3" xfId="5619" xr:uid="{00000000-0005-0000-0000-0000C7170000}"/>
    <cellStyle name="Normal 5 2 2 3 3 3 3 2" xfId="14945" xr:uid="{72A63D09-E3F1-4022-A655-846BB0A62FDC}"/>
    <cellStyle name="Normal 5 2 2 3 3 3 4" xfId="10728" xr:uid="{0BB628CD-DB33-4766-A32E-B37D576A2B26}"/>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21215594-F114-456B-8374-BCDE8A5036FF}"/>
    <cellStyle name="Normal 5 2 2 3 3 4 2 3" xfId="13286" xr:uid="{30456B4E-E9FA-461A-83E9-0E258DAB2F92}"/>
    <cellStyle name="Normal 5 2 2 3 3 4 3" xfId="6032" xr:uid="{00000000-0005-0000-0000-0000CB170000}"/>
    <cellStyle name="Normal 5 2 2 3 3 4 3 2" xfId="15358" xr:uid="{1E41B677-D301-407F-ADEA-5CF52216A394}"/>
    <cellStyle name="Normal 5 2 2 3 3 4 4" xfId="11141" xr:uid="{75945164-6206-473D-A917-5C15C9C4A7EA}"/>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35CF3361-F0FD-4C2C-873D-FC23CC778768}"/>
    <cellStyle name="Normal 5 2 2 3 3 5 2 3" xfId="13699" xr:uid="{C5B3697B-5DF3-4FBB-BA91-A76643873C6B}"/>
    <cellStyle name="Normal 5 2 2 3 3 5 3" xfId="6445" xr:uid="{00000000-0005-0000-0000-0000CF170000}"/>
    <cellStyle name="Normal 5 2 2 3 3 5 3 2" xfId="15771" xr:uid="{77143327-F1DA-4801-A3BC-148FD7DC9EC2}"/>
    <cellStyle name="Normal 5 2 2 3 3 5 4" xfId="11554" xr:uid="{4BADD93C-A112-489C-9E9A-E1D1F0D2A25C}"/>
    <cellStyle name="Normal 5 2 2 3 3 6" xfId="2575" xr:uid="{00000000-0005-0000-0000-0000D0170000}"/>
    <cellStyle name="Normal 5 2 2 3 3 6 2" xfId="6858" xr:uid="{00000000-0005-0000-0000-0000D1170000}"/>
    <cellStyle name="Normal 5 2 2 3 3 6 2 2" xfId="16184" xr:uid="{121DAE64-23C5-46E5-969D-55BBD2101194}"/>
    <cellStyle name="Normal 5 2 2 3 3 6 3" xfId="11967" xr:uid="{635DDEF1-18CD-4B51-BA23-8BC256F0A229}"/>
    <cellStyle name="Normal 5 2 2 3 3 7" xfId="4793" xr:uid="{00000000-0005-0000-0000-0000D2170000}"/>
    <cellStyle name="Normal 5 2 2 3 3 7 2" xfId="14119" xr:uid="{C60073D2-727B-4BDB-B2AF-CE351DBB3412}"/>
    <cellStyle name="Normal 5 2 2 3 3 8" xfId="9035" xr:uid="{6AC57173-16AF-4847-A277-E4254AACDA36}"/>
    <cellStyle name="Normal 5 2 2 3 3 9" xfId="9902" xr:uid="{CBA11BF1-D7DF-480F-B011-B4419E2D3468}"/>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78BC3923-12FC-40E5-A3A0-863CD5713CE5}"/>
    <cellStyle name="Normal 5 2 2 3 4 2 3" xfId="12457" xr:uid="{AD033BAA-C6A8-48D2-A988-1A601028387D}"/>
    <cellStyle name="Normal 5 2 2 3 4 3" xfId="5203" xr:uid="{00000000-0005-0000-0000-0000D6170000}"/>
    <cellStyle name="Normal 5 2 2 3 4 3 2" xfId="14529" xr:uid="{8E186D02-CAEB-4424-B0C2-11FDC6FD6214}"/>
    <cellStyle name="Normal 5 2 2 3 4 4" xfId="9253" xr:uid="{A5C3AAF9-67DD-41B1-A0BF-05B69F588F71}"/>
    <cellStyle name="Normal 5 2 2 3 4 5" xfId="10312" xr:uid="{EB090E90-AF72-41AE-83C8-AE4F0D996666}"/>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6DDED10D-2396-45D5-9ADE-ABF62398CB50}"/>
    <cellStyle name="Normal 5 2 2 3 5 2 3" xfId="12870" xr:uid="{F494F1A3-A15F-4FCD-8EBB-994B86E160C9}"/>
    <cellStyle name="Normal 5 2 2 3 5 3" xfId="5616" xr:uid="{00000000-0005-0000-0000-0000DA170000}"/>
    <cellStyle name="Normal 5 2 2 3 5 3 2" xfId="14942" xr:uid="{54F2E53E-69BB-4EA0-BEBB-0CA74AA21241}"/>
    <cellStyle name="Normal 5 2 2 3 5 4" xfId="10725" xr:uid="{ECF94DB7-31C1-4021-9CC4-794629FE8371}"/>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287392E7-8B7A-4FC2-9ECD-52BBECF5C411}"/>
    <cellStyle name="Normal 5 2 2 3 6 2 3" xfId="13283" xr:uid="{BB3D9916-81AE-4370-AEBC-B77B7E5A60DE}"/>
    <cellStyle name="Normal 5 2 2 3 6 3" xfId="6029" xr:uid="{00000000-0005-0000-0000-0000DE170000}"/>
    <cellStyle name="Normal 5 2 2 3 6 3 2" xfId="15355" xr:uid="{EC1B030F-69BC-49E4-A45A-BA9A69A76732}"/>
    <cellStyle name="Normal 5 2 2 3 6 4" xfId="11138" xr:uid="{FFA1CEDB-6E62-4039-ADB6-0B8AE8C4F2D0}"/>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654E3E67-034F-4AD4-B833-69B35AB5BD76}"/>
    <cellStyle name="Normal 5 2 2 3 7 2 3" xfId="13696" xr:uid="{83561D22-610F-4ACF-B98D-D1BC60B25163}"/>
    <cellStyle name="Normal 5 2 2 3 7 3" xfId="6442" xr:uid="{00000000-0005-0000-0000-0000E2170000}"/>
    <cellStyle name="Normal 5 2 2 3 7 3 2" xfId="15768" xr:uid="{0A80D272-7D90-4BEA-899A-46D0D77DA438}"/>
    <cellStyle name="Normal 5 2 2 3 7 4" xfId="11551" xr:uid="{97114737-2CE7-491D-A6BC-8D0A077D1A58}"/>
    <cellStyle name="Normal 5 2 2 3 8" xfId="2572" xr:uid="{00000000-0005-0000-0000-0000E3170000}"/>
    <cellStyle name="Normal 5 2 2 3 8 2" xfId="6855" xr:uid="{00000000-0005-0000-0000-0000E4170000}"/>
    <cellStyle name="Normal 5 2 2 3 8 2 2" xfId="16181" xr:uid="{B86C2604-920D-44ED-A14B-E8ECA0D9556A}"/>
    <cellStyle name="Normal 5 2 2 3 8 3" xfId="11964" xr:uid="{248067CA-5735-4C20-9828-6F51FCD046F2}"/>
    <cellStyle name="Normal 5 2 2 3 9" xfId="4790" xr:uid="{00000000-0005-0000-0000-0000E5170000}"/>
    <cellStyle name="Normal 5 2 2 3 9 2" xfId="14116" xr:uid="{BD6C9014-E6CD-4F2E-837E-E08A3EF24F60}"/>
    <cellStyle name="Normal 5 2 2 4" xfId="421" xr:uid="{00000000-0005-0000-0000-0000E6170000}"/>
    <cellStyle name="Normal 5 2 2 4 10" xfId="9903" xr:uid="{1189E14F-17ED-4D13-9880-39CA7FB41266}"/>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D39679F4-EE61-42F3-AF88-C6C29183123F}"/>
    <cellStyle name="Normal 5 2 2 4 2 2 2 3" xfId="12462" xr:uid="{696C6EC3-B493-433D-8BBB-08495CC802AB}"/>
    <cellStyle name="Normal 5 2 2 4 2 2 3" xfId="5208" xr:uid="{00000000-0005-0000-0000-0000EB170000}"/>
    <cellStyle name="Normal 5 2 2 4 2 2 3 2" xfId="14534" xr:uid="{7CE43C10-A121-444D-80B3-13B105C2ECD3}"/>
    <cellStyle name="Normal 5 2 2 4 2 2 4" xfId="9488" xr:uid="{2997B11D-E810-48A4-BD3C-4498479B295E}"/>
    <cellStyle name="Normal 5 2 2 4 2 2 5" xfId="10317" xr:uid="{C68AD5EB-1607-4287-A845-F9BF4F292948}"/>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60F53ADA-A184-4DDC-B7C1-5E6B55106419}"/>
    <cellStyle name="Normal 5 2 2 4 2 3 2 3" xfId="12875" xr:uid="{F085C527-5110-40C0-BD58-417F5806CBC6}"/>
    <cellStyle name="Normal 5 2 2 4 2 3 3" xfId="5621" xr:uid="{00000000-0005-0000-0000-0000EF170000}"/>
    <cellStyle name="Normal 5 2 2 4 2 3 3 2" xfId="14947" xr:uid="{775F0ABE-EF2E-46BA-B25B-084D7F88B4AA}"/>
    <cellStyle name="Normal 5 2 2 4 2 3 4" xfId="10730" xr:uid="{A8A08B07-0C0F-4712-AA00-1ED0FE91357D}"/>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0BF1D191-04D4-4964-BC59-A32D617DAA02}"/>
    <cellStyle name="Normal 5 2 2 4 2 4 2 3" xfId="13288" xr:uid="{F60D9930-3422-461F-8138-F41D0464C9EE}"/>
    <cellStyle name="Normal 5 2 2 4 2 4 3" xfId="6034" xr:uid="{00000000-0005-0000-0000-0000F3170000}"/>
    <cellStyle name="Normal 5 2 2 4 2 4 3 2" xfId="15360" xr:uid="{39906685-A0D0-4344-B14D-6E963D66E257}"/>
    <cellStyle name="Normal 5 2 2 4 2 4 4" xfId="11143" xr:uid="{9D58DE90-8AFF-4446-9DA2-20FE8B6FB2A8}"/>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A331417A-29D1-4F0F-93DB-2856F3342CE9}"/>
    <cellStyle name="Normal 5 2 2 4 2 5 2 3" xfId="13701" xr:uid="{62C5994D-1D24-4113-8313-20EF158E4CF9}"/>
    <cellStyle name="Normal 5 2 2 4 2 5 3" xfId="6447" xr:uid="{00000000-0005-0000-0000-0000F7170000}"/>
    <cellStyle name="Normal 5 2 2 4 2 5 3 2" xfId="15773" xr:uid="{961947CB-DB4E-4086-BA93-0208C4CCFEDE}"/>
    <cellStyle name="Normal 5 2 2 4 2 5 4" xfId="11556" xr:uid="{2F28E7D6-CD98-4D42-909F-EB69D40A0DD7}"/>
    <cellStyle name="Normal 5 2 2 4 2 6" xfId="2577" xr:uid="{00000000-0005-0000-0000-0000F8170000}"/>
    <cellStyle name="Normal 5 2 2 4 2 6 2" xfId="6860" xr:uid="{00000000-0005-0000-0000-0000F9170000}"/>
    <cellStyle name="Normal 5 2 2 4 2 6 2 2" xfId="16186" xr:uid="{E5FAE23B-1E28-42F3-8195-E8E0380C189C}"/>
    <cellStyle name="Normal 5 2 2 4 2 6 3" xfId="11969" xr:uid="{C609AF9E-3DD4-48C5-9AB7-4E250A06EB4E}"/>
    <cellStyle name="Normal 5 2 2 4 2 7" xfId="4795" xr:uid="{00000000-0005-0000-0000-0000FA170000}"/>
    <cellStyle name="Normal 5 2 2 4 2 7 2" xfId="14121" xr:uid="{97A01A61-AFF3-44FF-A945-D85B5BA8D669}"/>
    <cellStyle name="Normal 5 2 2 4 2 8" xfId="9063" xr:uid="{3B1AA107-8D7F-4938-A60C-EED41E9B9A2A}"/>
    <cellStyle name="Normal 5 2 2 4 2 9" xfId="9904" xr:uid="{C93ADFF0-67F9-4DE9-B8E1-59041021E0E3}"/>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45BAE6C5-DD93-417C-9547-6295AD98ED40}"/>
    <cellStyle name="Normal 5 2 2 4 3 2 3" xfId="12461" xr:uid="{C31A8DC9-2E8C-4DFC-B7D8-1A0B3A4B75D2}"/>
    <cellStyle name="Normal 5 2 2 4 3 3" xfId="5207" xr:uid="{00000000-0005-0000-0000-0000FE170000}"/>
    <cellStyle name="Normal 5 2 2 4 3 3 2" xfId="14533" xr:uid="{289BFDE4-35E6-4773-B702-F44DFFBC3195}"/>
    <cellStyle name="Normal 5 2 2 4 3 4" xfId="9281" xr:uid="{9304050F-95A7-4BE3-AD21-FEBB7D0875B2}"/>
    <cellStyle name="Normal 5 2 2 4 3 5" xfId="10316" xr:uid="{7B4725CC-CFCA-4094-B0DB-93B9F3D02D91}"/>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1078CE0C-8372-46C5-9448-44DAA623B219}"/>
    <cellStyle name="Normal 5 2 2 4 4 2 3" xfId="12874" xr:uid="{51B0BE94-CED7-4F80-9278-1A52510B76DC}"/>
    <cellStyle name="Normal 5 2 2 4 4 3" xfId="5620" xr:uid="{00000000-0005-0000-0000-000002180000}"/>
    <cellStyle name="Normal 5 2 2 4 4 3 2" xfId="14946" xr:uid="{5C6A575A-F82F-4BDF-8384-A3EB5BCFEA60}"/>
    <cellStyle name="Normal 5 2 2 4 4 4" xfId="10729" xr:uid="{7A465EC0-367E-4831-B8E6-0D902E8B0367}"/>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7DD32945-5962-4C04-893B-C0FFE5D22505}"/>
    <cellStyle name="Normal 5 2 2 4 5 2 3" xfId="13287" xr:uid="{00A71EEC-675A-482E-9021-C7AC45E3A03E}"/>
    <cellStyle name="Normal 5 2 2 4 5 3" xfId="6033" xr:uid="{00000000-0005-0000-0000-000006180000}"/>
    <cellStyle name="Normal 5 2 2 4 5 3 2" xfId="15359" xr:uid="{FDAF4659-5C65-4018-A8F8-99BABFCB622B}"/>
    <cellStyle name="Normal 5 2 2 4 5 4" xfId="11142" xr:uid="{A1D8ACB8-FD69-4473-8DE4-B58DFADA3B29}"/>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736C8937-A63B-4AD1-AD53-BB94B53A7DE7}"/>
    <cellStyle name="Normal 5 2 2 4 6 2 3" xfId="13700" xr:uid="{51FE2E3F-FB1A-4256-B8ED-6644719EA20D}"/>
    <cellStyle name="Normal 5 2 2 4 6 3" xfId="6446" xr:uid="{00000000-0005-0000-0000-00000A180000}"/>
    <cellStyle name="Normal 5 2 2 4 6 3 2" xfId="15772" xr:uid="{FD1960A5-7386-4304-91CC-3EB1201200FA}"/>
    <cellStyle name="Normal 5 2 2 4 6 4" xfId="11555" xr:uid="{862CBAED-BAF1-431E-A509-73A687D00096}"/>
    <cellStyle name="Normal 5 2 2 4 7" xfId="2576" xr:uid="{00000000-0005-0000-0000-00000B180000}"/>
    <cellStyle name="Normal 5 2 2 4 7 2" xfId="6859" xr:uid="{00000000-0005-0000-0000-00000C180000}"/>
    <cellStyle name="Normal 5 2 2 4 7 2 2" xfId="16185" xr:uid="{6CBB28FC-3864-42A2-81B0-6E6A63BB0B96}"/>
    <cellStyle name="Normal 5 2 2 4 7 3" xfId="11968" xr:uid="{3ACFFE34-605E-4E38-BE55-3A86B8258052}"/>
    <cellStyle name="Normal 5 2 2 4 8" xfId="4794" xr:uid="{00000000-0005-0000-0000-00000D180000}"/>
    <cellStyle name="Normal 5 2 2 4 8 2" xfId="14120" xr:uid="{E4FAC42E-A40A-4487-9BD9-E77460CD7A45}"/>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39C1B1ED-094C-4422-89F2-19AA29DB6273}"/>
    <cellStyle name="Normal 5 2 2 5 2 2 3" xfId="12463" xr:uid="{A8F83455-142B-4964-9103-EE69D253388F}"/>
    <cellStyle name="Normal 5 2 2 5 2 3" xfId="5209" xr:uid="{00000000-0005-0000-0000-000012180000}"/>
    <cellStyle name="Normal 5 2 2 5 2 3 2" xfId="14535" xr:uid="{166B4FBD-B097-46A0-922B-8BE85DB526A0}"/>
    <cellStyle name="Normal 5 2 2 5 2 4" xfId="9397" xr:uid="{3CB0B9A4-F907-4F52-ACFC-7970F7AF9B13}"/>
    <cellStyle name="Normal 5 2 2 5 2 5" xfId="10318" xr:uid="{A1CD1122-A1BB-4B47-8E8F-2B15FA3A54AE}"/>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D995561B-8F48-4C9F-92F6-D5AC7BF57FA5}"/>
    <cellStyle name="Normal 5 2 2 5 3 2 3" xfId="12876" xr:uid="{4CCA1CA1-846C-4A84-AC17-4FCC92A58EED}"/>
    <cellStyle name="Normal 5 2 2 5 3 3" xfId="5622" xr:uid="{00000000-0005-0000-0000-000016180000}"/>
    <cellStyle name="Normal 5 2 2 5 3 3 2" xfId="14948" xr:uid="{67ECF8CE-941B-489B-B89F-E37F5F336F6A}"/>
    <cellStyle name="Normal 5 2 2 5 3 4" xfId="10731" xr:uid="{E2B110AC-9687-4E25-9915-E35F9B5BBDFA}"/>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B7D58FBD-B1F4-419E-9971-DEFD357C4C49}"/>
    <cellStyle name="Normal 5 2 2 5 4 2 3" xfId="13289" xr:uid="{E8CFE668-72FC-4B6C-B18A-80470FDF1D20}"/>
    <cellStyle name="Normal 5 2 2 5 4 3" xfId="6035" xr:uid="{00000000-0005-0000-0000-00001A180000}"/>
    <cellStyle name="Normal 5 2 2 5 4 3 2" xfId="15361" xr:uid="{134E03EB-ACC2-4D04-83D2-DB9AE0E30DBA}"/>
    <cellStyle name="Normal 5 2 2 5 4 4" xfId="11144" xr:uid="{B92306C2-5FCA-4E54-B88F-EB90C31C68A8}"/>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0E6DB0F4-8AB1-4B67-A02A-C2E3F66F6E78}"/>
    <cellStyle name="Normal 5 2 2 5 5 2 3" xfId="13702" xr:uid="{C3CF77A2-05A5-41F3-A9D0-22CC02C500BC}"/>
    <cellStyle name="Normal 5 2 2 5 5 3" xfId="6448" xr:uid="{00000000-0005-0000-0000-00001E180000}"/>
    <cellStyle name="Normal 5 2 2 5 5 3 2" xfId="15774" xr:uid="{70128B9D-AC46-4A91-A34F-DBD74546DB39}"/>
    <cellStyle name="Normal 5 2 2 5 5 4" xfId="11557" xr:uid="{F6C1145A-EFBE-4088-A900-42954586A9E6}"/>
    <cellStyle name="Normal 5 2 2 5 6" xfId="2578" xr:uid="{00000000-0005-0000-0000-00001F180000}"/>
    <cellStyle name="Normal 5 2 2 5 6 2" xfId="6861" xr:uid="{00000000-0005-0000-0000-000020180000}"/>
    <cellStyle name="Normal 5 2 2 5 6 2 2" xfId="16187" xr:uid="{AFA6036B-FDCD-4984-BFDF-E76C5AA632E9}"/>
    <cellStyle name="Normal 5 2 2 5 6 3" xfId="11970" xr:uid="{C1FDA53D-808C-44E2-9587-FDC13F6114BC}"/>
    <cellStyle name="Normal 5 2 2 5 7" xfId="4796" xr:uid="{00000000-0005-0000-0000-000021180000}"/>
    <cellStyle name="Normal 5 2 2 5 7 2" xfId="14122" xr:uid="{3602BA8F-D6BA-493F-8FE5-99C6C2D7E905}"/>
    <cellStyle name="Normal 5 2 2 5 8" xfId="8972" xr:uid="{3CCC8856-6464-4309-A4F9-43F74A48C503}"/>
    <cellStyle name="Normal 5 2 2 5 9" xfId="9905" xr:uid="{F1B37DE6-17CE-4D90-8215-BA2C9CFF1587}"/>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EEDDFF3B-4DD7-4444-8F77-C2C33C45186D}"/>
    <cellStyle name="Normal 5 2 2 6 2 3" xfId="12448" xr:uid="{AE81AF4A-2D0E-42CC-A7CF-5173FECE4DCF}"/>
    <cellStyle name="Normal 5 2 2 6 3" xfId="5194" xr:uid="{00000000-0005-0000-0000-000025180000}"/>
    <cellStyle name="Normal 5 2 2 6 3 2" xfId="14520" xr:uid="{4D96E38C-FC64-45ED-84DA-764B4BC24B41}"/>
    <cellStyle name="Normal 5 2 2 6 4" xfId="9175" xr:uid="{A0BC076A-DB75-4963-A17E-57836FA6391D}"/>
    <cellStyle name="Normal 5 2 2 6 5" xfId="10303" xr:uid="{7013DF3E-B15D-4CAF-8697-186738F08BA1}"/>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2D56DFC9-B62D-452D-A040-97925E454DA7}"/>
    <cellStyle name="Normal 5 2 2 7 2 3" xfId="12861" xr:uid="{FFDC845F-3BB8-4C15-8FF0-C7DB9FD76571}"/>
    <cellStyle name="Normal 5 2 2 7 3" xfId="5607" xr:uid="{00000000-0005-0000-0000-000029180000}"/>
    <cellStyle name="Normal 5 2 2 7 3 2" xfId="14933" xr:uid="{BBDC64D6-B538-4202-BD66-FE432A1B2DD7}"/>
    <cellStyle name="Normal 5 2 2 7 4" xfId="10716" xr:uid="{FDFFEBFC-5D81-4496-AA07-D84412036AD9}"/>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987B3AB9-6919-4D8E-8755-24DB198A7478}"/>
    <cellStyle name="Normal 5 2 2 8 2 3" xfId="13274" xr:uid="{1C4F35B0-E4A3-49D2-93DD-E14E81BC23AA}"/>
    <cellStyle name="Normal 5 2 2 8 3" xfId="6020" xr:uid="{00000000-0005-0000-0000-00002D180000}"/>
    <cellStyle name="Normal 5 2 2 8 3 2" xfId="15346" xr:uid="{A02C3CB7-E42E-4B74-A0C5-F17129588127}"/>
    <cellStyle name="Normal 5 2 2 8 4" xfId="11129" xr:uid="{79F79077-63E9-4D65-98F7-F91A1392348E}"/>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826A0B94-8D78-470A-8A5F-B763F3AEB144}"/>
    <cellStyle name="Normal 5 2 2 9 2 3" xfId="13687" xr:uid="{CA0FA820-FDC2-4AFE-A261-A09AC1C6BD0E}"/>
    <cellStyle name="Normal 5 2 2 9 3" xfId="6433" xr:uid="{00000000-0005-0000-0000-000031180000}"/>
    <cellStyle name="Normal 5 2 2 9 3 2" xfId="15759" xr:uid="{3AE47F2F-D13E-4B7A-B874-EA73BE16C15A}"/>
    <cellStyle name="Normal 5 2 2 9 4" xfId="11542" xr:uid="{A5E11644-2E27-409E-B477-B7940E8AFB37}"/>
    <cellStyle name="Normal 5 2 3" xfId="424" xr:uid="{00000000-0005-0000-0000-000032180000}"/>
    <cellStyle name="Normal 5 2 3 10" xfId="4797" xr:uid="{00000000-0005-0000-0000-000033180000}"/>
    <cellStyle name="Normal 5 2 3 10 2" xfId="14123" xr:uid="{DD6A2F6B-9768-4881-A6F2-033E3AD997EC}"/>
    <cellStyle name="Normal 5 2 3 11" xfId="8776" xr:uid="{883173D2-CE3E-48F3-8E13-32EAEF7B08C3}"/>
    <cellStyle name="Normal 5 2 3 12" xfId="9906" xr:uid="{CFE3754F-6B26-475C-AF0D-536F69DEDAE2}"/>
    <cellStyle name="Normal 5 2 3 2" xfId="425" xr:uid="{00000000-0005-0000-0000-000034180000}"/>
    <cellStyle name="Normal 5 2 3 2 10" xfId="8830" xr:uid="{287E15F2-6F23-4B3E-B8AA-9DE92D950FBA}"/>
    <cellStyle name="Normal 5 2 3 2 11" xfId="9907" xr:uid="{275838D5-D8E9-4134-8E6C-A0FB9E7E7A10}"/>
    <cellStyle name="Normal 5 2 3 2 2" xfId="426" xr:uid="{00000000-0005-0000-0000-000035180000}"/>
    <cellStyle name="Normal 5 2 3 2 2 10" xfId="9908" xr:uid="{927E23C8-293D-4548-9471-F0A329580384}"/>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33733E56-142A-4933-82DC-97806449AB2B}"/>
    <cellStyle name="Normal 5 2 3 2 2 2 2 2 3" xfId="12467" xr:uid="{CADF7383-3660-4252-99D4-59024C624ADD}"/>
    <cellStyle name="Normal 5 2 3 2 2 2 2 3" xfId="5213" xr:uid="{00000000-0005-0000-0000-00003A180000}"/>
    <cellStyle name="Normal 5 2 3 2 2 2 2 3 2" xfId="14539" xr:uid="{24E7EA0E-F136-4FF9-B652-48FBD92CCC70}"/>
    <cellStyle name="Normal 5 2 3 2 2 2 2 4" xfId="9565" xr:uid="{B33C5ECB-02D9-4BAF-B467-F38E8EEB7F6E}"/>
    <cellStyle name="Normal 5 2 3 2 2 2 2 5" xfId="10322" xr:uid="{77553972-C428-4F7A-B72C-27B8075DF63C}"/>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947D9EDF-7E81-47EE-8CA5-3966EC5D415C}"/>
    <cellStyle name="Normal 5 2 3 2 2 2 3 2 3" xfId="12880" xr:uid="{39739AA3-D20A-43C0-8CC7-E88D23921727}"/>
    <cellStyle name="Normal 5 2 3 2 2 2 3 3" xfId="5626" xr:uid="{00000000-0005-0000-0000-00003E180000}"/>
    <cellStyle name="Normal 5 2 3 2 2 2 3 3 2" xfId="14952" xr:uid="{FD7FF249-320A-4F38-BF00-D1CE68032B2C}"/>
    <cellStyle name="Normal 5 2 3 2 2 2 3 4" xfId="10735" xr:uid="{BCF3C470-689C-456A-9CA8-1AE210AF0192}"/>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3A54658D-5072-4637-9B4D-A7DE0F9897DC}"/>
    <cellStyle name="Normal 5 2 3 2 2 2 4 2 3" xfId="13293" xr:uid="{548C38B9-41A8-4315-87A2-491227B9CCFA}"/>
    <cellStyle name="Normal 5 2 3 2 2 2 4 3" xfId="6039" xr:uid="{00000000-0005-0000-0000-000042180000}"/>
    <cellStyle name="Normal 5 2 3 2 2 2 4 3 2" xfId="15365" xr:uid="{52999BAF-572A-4EAE-A23B-1DBF8C80F785}"/>
    <cellStyle name="Normal 5 2 3 2 2 2 4 4" xfId="11148" xr:uid="{361EE49B-C97F-46AA-AB92-4EB767ED3C5B}"/>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BC93ACC1-6EF1-4D9F-B27F-82D98DB548CA}"/>
    <cellStyle name="Normal 5 2 3 2 2 2 5 2 3" xfId="13706" xr:uid="{15D507EA-B62E-4464-A541-23CE93CEA99C}"/>
    <cellStyle name="Normal 5 2 3 2 2 2 5 3" xfId="6452" xr:uid="{00000000-0005-0000-0000-000046180000}"/>
    <cellStyle name="Normal 5 2 3 2 2 2 5 3 2" xfId="15778" xr:uid="{0437D362-DCD2-4313-AED2-B63EC06635DE}"/>
    <cellStyle name="Normal 5 2 3 2 2 2 5 4" xfId="11561" xr:uid="{A6301816-5E7D-4009-BF2C-8F35BC7C5C49}"/>
    <cellStyle name="Normal 5 2 3 2 2 2 6" xfId="2582" xr:uid="{00000000-0005-0000-0000-000047180000}"/>
    <cellStyle name="Normal 5 2 3 2 2 2 6 2" xfId="6865" xr:uid="{00000000-0005-0000-0000-000048180000}"/>
    <cellStyle name="Normal 5 2 3 2 2 2 6 2 2" xfId="16191" xr:uid="{58095EE7-AE96-4918-AA95-9DB8DAA54497}"/>
    <cellStyle name="Normal 5 2 3 2 2 2 6 3" xfId="11974" xr:uid="{81C17F2F-F5E3-4096-B5BE-61AA897B31DE}"/>
    <cellStyle name="Normal 5 2 3 2 2 2 7" xfId="4800" xr:uid="{00000000-0005-0000-0000-000049180000}"/>
    <cellStyle name="Normal 5 2 3 2 2 2 7 2" xfId="14126" xr:uid="{1A3C1564-4761-47A0-BCF8-E87180EA989C}"/>
    <cellStyle name="Normal 5 2 3 2 2 2 8" xfId="9140" xr:uid="{175A16DB-BA54-4083-AB68-1FA46DB27A86}"/>
    <cellStyle name="Normal 5 2 3 2 2 2 9" xfId="9909" xr:uid="{0261B27B-949A-4ED3-8CFE-A21FC257AF4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D063DD79-6C9F-438C-B544-D0047EC5409D}"/>
    <cellStyle name="Normal 5 2 3 2 2 3 2 3" xfId="12466" xr:uid="{B6862B55-D0B6-4E59-B753-F926FFB509E9}"/>
    <cellStyle name="Normal 5 2 3 2 2 3 3" xfId="5212" xr:uid="{00000000-0005-0000-0000-00004D180000}"/>
    <cellStyle name="Normal 5 2 3 2 2 3 3 2" xfId="14538" xr:uid="{B1759A40-613B-4027-A2C2-0B5541AAA785}"/>
    <cellStyle name="Normal 5 2 3 2 2 3 4" xfId="9358" xr:uid="{5B196E7D-8DD9-4C59-A83C-7626B0E60040}"/>
    <cellStyle name="Normal 5 2 3 2 2 3 5" xfId="10321" xr:uid="{057FFECF-6F35-4A37-91A3-1831C3B3E8A2}"/>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DF63C17A-02E0-40AC-B1E6-2B530E1E0A08}"/>
    <cellStyle name="Normal 5 2 3 2 2 4 2 3" xfId="12879" xr:uid="{6290BF75-73B4-4B90-A402-F32CF3B59871}"/>
    <cellStyle name="Normal 5 2 3 2 2 4 3" xfId="5625" xr:uid="{00000000-0005-0000-0000-000051180000}"/>
    <cellStyle name="Normal 5 2 3 2 2 4 3 2" xfId="14951" xr:uid="{91768888-A52F-40FD-B3FA-EDD0229FD24C}"/>
    <cellStyle name="Normal 5 2 3 2 2 4 4" xfId="10734" xr:uid="{9C4E553F-D3ED-41C5-AC36-D68B07E056AB}"/>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9C935DE5-9940-4EB1-95F3-B9E6FFEB2968}"/>
    <cellStyle name="Normal 5 2 3 2 2 5 2 3" xfId="13292" xr:uid="{01868AB2-3D79-4BAA-ADAF-3A3D9E17FD0E}"/>
    <cellStyle name="Normal 5 2 3 2 2 5 3" xfId="6038" xr:uid="{00000000-0005-0000-0000-000055180000}"/>
    <cellStyle name="Normal 5 2 3 2 2 5 3 2" xfId="15364" xr:uid="{E86EC8D8-4710-46DC-8772-747208301E5C}"/>
    <cellStyle name="Normal 5 2 3 2 2 5 4" xfId="11147" xr:uid="{70FFBD07-9321-4F21-B0F6-CDAC14F58742}"/>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68687C2A-572C-4283-B0D0-3A8C9271D305}"/>
    <cellStyle name="Normal 5 2 3 2 2 6 2 3" xfId="13705" xr:uid="{C0236DA8-63BA-44B3-BC55-E60FBFDD5337}"/>
    <cellStyle name="Normal 5 2 3 2 2 6 3" xfId="6451" xr:uid="{00000000-0005-0000-0000-000059180000}"/>
    <cellStyle name="Normal 5 2 3 2 2 6 3 2" xfId="15777" xr:uid="{D6949CF3-279B-44D7-BEC0-C7ECC6F21C09}"/>
    <cellStyle name="Normal 5 2 3 2 2 6 4" xfId="11560" xr:uid="{5A931FC9-43D8-477D-8A16-3D4DA445B550}"/>
    <cellStyle name="Normal 5 2 3 2 2 7" xfId="2581" xr:uid="{00000000-0005-0000-0000-00005A180000}"/>
    <cellStyle name="Normal 5 2 3 2 2 7 2" xfId="6864" xr:uid="{00000000-0005-0000-0000-00005B180000}"/>
    <cellStyle name="Normal 5 2 3 2 2 7 2 2" xfId="16190" xr:uid="{298EE6D6-D010-4D96-ACB1-C08A999C45BB}"/>
    <cellStyle name="Normal 5 2 3 2 2 7 3" xfId="11973" xr:uid="{6F9F396F-BC3A-45FE-817D-DB99473CCD45}"/>
    <cellStyle name="Normal 5 2 3 2 2 8" xfId="4799" xr:uid="{00000000-0005-0000-0000-00005C180000}"/>
    <cellStyle name="Normal 5 2 3 2 2 8 2" xfId="14125" xr:uid="{34B2123E-E8EB-48A3-854F-BFD8B06F4D93}"/>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5378BF7D-3A71-4AC1-8CB8-9178A9818B3B}"/>
    <cellStyle name="Normal 5 2 3 2 3 2 2 3" xfId="12468" xr:uid="{AEB6F135-77C2-4E86-8768-72199A02E239}"/>
    <cellStyle name="Normal 5 2 3 2 3 2 3" xfId="5214" xr:uid="{00000000-0005-0000-0000-000061180000}"/>
    <cellStyle name="Normal 5 2 3 2 3 2 3 2" xfId="14540" xr:uid="{E9BCBCA8-5E6C-47AB-BAA5-ECE4E5CE259B}"/>
    <cellStyle name="Normal 5 2 3 2 3 2 4" xfId="9462" xr:uid="{B4C14F1A-A88A-428F-A7F8-BAFD7E5CD045}"/>
    <cellStyle name="Normal 5 2 3 2 3 2 5" xfId="10323" xr:uid="{E250BE5A-AA29-4337-8B56-8AA10434449D}"/>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367163F8-DC1C-4F85-AA6B-AD673371FE4B}"/>
    <cellStyle name="Normal 5 2 3 2 3 3 2 3" xfId="12881" xr:uid="{1AAEE9EA-8D16-4E90-9CFB-2288DB5FFD68}"/>
    <cellStyle name="Normal 5 2 3 2 3 3 3" xfId="5627" xr:uid="{00000000-0005-0000-0000-000065180000}"/>
    <cellStyle name="Normal 5 2 3 2 3 3 3 2" xfId="14953" xr:uid="{789651E6-5B12-47B2-A829-03504A3E4115}"/>
    <cellStyle name="Normal 5 2 3 2 3 3 4" xfId="10736" xr:uid="{055449F6-CB4C-4A0F-8CD7-780605378167}"/>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8D815F23-9E69-427D-BEEE-C644C948F1E7}"/>
    <cellStyle name="Normal 5 2 3 2 3 4 2 3" xfId="13294" xr:uid="{7BFBF95A-51B9-4DA0-AF8D-D78A947EAD62}"/>
    <cellStyle name="Normal 5 2 3 2 3 4 3" xfId="6040" xr:uid="{00000000-0005-0000-0000-000069180000}"/>
    <cellStyle name="Normal 5 2 3 2 3 4 3 2" xfId="15366" xr:uid="{AECF31CA-36E0-493B-86AB-15A4DB870943}"/>
    <cellStyle name="Normal 5 2 3 2 3 4 4" xfId="11149" xr:uid="{9B9FE90E-8B8A-4A1E-8C03-07A3611BE9AD}"/>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DC66D53B-53D6-42FF-BDD9-97FC0C103CDB}"/>
    <cellStyle name="Normal 5 2 3 2 3 5 2 3" xfId="13707" xr:uid="{C15695C7-EAD8-472A-BBC1-8B7615D7B268}"/>
    <cellStyle name="Normal 5 2 3 2 3 5 3" xfId="6453" xr:uid="{00000000-0005-0000-0000-00006D180000}"/>
    <cellStyle name="Normal 5 2 3 2 3 5 3 2" xfId="15779" xr:uid="{D59FCBAD-6182-45D2-8848-A86A7ADC605D}"/>
    <cellStyle name="Normal 5 2 3 2 3 5 4" xfId="11562" xr:uid="{3CDB619E-BC58-4E36-8F2F-45487B6DF252}"/>
    <cellStyle name="Normal 5 2 3 2 3 6" xfId="2583" xr:uid="{00000000-0005-0000-0000-00006E180000}"/>
    <cellStyle name="Normal 5 2 3 2 3 6 2" xfId="6866" xr:uid="{00000000-0005-0000-0000-00006F180000}"/>
    <cellStyle name="Normal 5 2 3 2 3 6 2 2" xfId="16192" xr:uid="{3D338853-96C2-495E-A76F-4867F055A388}"/>
    <cellStyle name="Normal 5 2 3 2 3 6 3" xfId="11975" xr:uid="{63B070A4-DAD0-41CB-BE39-5FD5E43C4742}"/>
    <cellStyle name="Normal 5 2 3 2 3 7" xfId="4801" xr:uid="{00000000-0005-0000-0000-000070180000}"/>
    <cellStyle name="Normal 5 2 3 2 3 7 2" xfId="14127" xr:uid="{662A633D-FF72-4DD9-B1AE-561787ED6962}"/>
    <cellStyle name="Normal 5 2 3 2 3 8" xfId="9037" xr:uid="{EED46D7F-EFCD-4AC1-931D-AB06B694E7BE}"/>
    <cellStyle name="Normal 5 2 3 2 3 9" xfId="9910" xr:uid="{8EDBB728-8BAD-476A-9DC4-C19CAA3B80FE}"/>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D0EE102F-FBA1-40C6-9A62-2420B8E97E8D}"/>
    <cellStyle name="Normal 5 2 3 2 4 2 3" xfId="12465" xr:uid="{DDCEE97F-A9A0-42A2-A35F-4652902B1EF9}"/>
    <cellStyle name="Normal 5 2 3 2 4 3" xfId="5211" xr:uid="{00000000-0005-0000-0000-000074180000}"/>
    <cellStyle name="Normal 5 2 3 2 4 3 2" xfId="14537" xr:uid="{15A62F04-8E4D-43A4-988E-F0F4097136DB}"/>
    <cellStyle name="Normal 5 2 3 2 4 4" xfId="9255" xr:uid="{C5A161BB-6C4F-4A9D-BBA7-7500B0B26A70}"/>
    <cellStyle name="Normal 5 2 3 2 4 5" xfId="10320" xr:uid="{16598E65-9304-4FFB-A853-001A1E31A6D9}"/>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EF454FBC-FC8F-453C-B276-74A9275F3F6D}"/>
    <cellStyle name="Normal 5 2 3 2 5 2 3" xfId="12878" xr:uid="{99D96790-D955-4108-96C1-487B5C637417}"/>
    <cellStyle name="Normal 5 2 3 2 5 3" xfId="5624" xr:uid="{00000000-0005-0000-0000-000078180000}"/>
    <cellStyle name="Normal 5 2 3 2 5 3 2" xfId="14950" xr:uid="{A197ACE6-12C6-4C56-BCE1-E0E3BC30AA27}"/>
    <cellStyle name="Normal 5 2 3 2 5 4" xfId="10733" xr:uid="{B7751E76-39E9-4614-8927-B1EAD91C4A04}"/>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79C21820-FC44-4D9A-A672-AAD34DCC6472}"/>
    <cellStyle name="Normal 5 2 3 2 6 2 3" xfId="13291" xr:uid="{29DC5572-5EF5-4A7F-990A-0BA241EBDD4E}"/>
    <cellStyle name="Normal 5 2 3 2 6 3" xfId="6037" xr:uid="{00000000-0005-0000-0000-00007C180000}"/>
    <cellStyle name="Normal 5 2 3 2 6 3 2" xfId="15363" xr:uid="{3B7B9B9C-E9ED-4AF9-AC08-5A614133A6BF}"/>
    <cellStyle name="Normal 5 2 3 2 6 4" xfId="11146" xr:uid="{9CB740DB-BE7F-40F8-8364-E210564E7387}"/>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1A7168EF-DA43-4F91-B7A0-EE82E92C91E3}"/>
    <cellStyle name="Normal 5 2 3 2 7 2 3" xfId="13704" xr:uid="{5D2EBAC8-E145-4132-9284-9695B89E663F}"/>
    <cellStyle name="Normal 5 2 3 2 7 3" xfId="6450" xr:uid="{00000000-0005-0000-0000-000080180000}"/>
    <cellStyle name="Normal 5 2 3 2 7 3 2" xfId="15776" xr:uid="{1DC31857-EDE9-4EC6-83C7-D9C4E4565FD7}"/>
    <cellStyle name="Normal 5 2 3 2 7 4" xfId="11559" xr:uid="{203854AC-3F6A-4AC1-95A1-4808888665B0}"/>
    <cellStyle name="Normal 5 2 3 2 8" xfId="2580" xr:uid="{00000000-0005-0000-0000-000081180000}"/>
    <cellStyle name="Normal 5 2 3 2 8 2" xfId="6863" xr:uid="{00000000-0005-0000-0000-000082180000}"/>
    <cellStyle name="Normal 5 2 3 2 8 2 2" xfId="16189" xr:uid="{AF517335-2F5D-465D-917F-F377C6F51450}"/>
    <cellStyle name="Normal 5 2 3 2 8 3" xfId="11972" xr:uid="{09008066-4F43-4361-BFF3-1A2EC1BF4924}"/>
    <cellStyle name="Normal 5 2 3 2 9" xfId="4798" xr:uid="{00000000-0005-0000-0000-000083180000}"/>
    <cellStyle name="Normal 5 2 3 2 9 2" xfId="14124" xr:uid="{83684D5E-4F03-43C7-96C6-6D5C5DC2622E}"/>
    <cellStyle name="Normal 5 2 3 3" xfId="429" xr:uid="{00000000-0005-0000-0000-000084180000}"/>
    <cellStyle name="Normal 5 2 3 3 10" xfId="9911" xr:uid="{28E80D4B-A802-4B7A-BC62-4FF6FEF614F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7967D0CA-A1F6-4740-9105-44BAD26BCAD9}"/>
    <cellStyle name="Normal 5 2 3 3 2 2 2 3" xfId="12470" xr:uid="{E8BF0895-CA14-461E-BFDE-582B3131F69C}"/>
    <cellStyle name="Normal 5 2 3 3 2 2 3" xfId="5216" xr:uid="{00000000-0005-0000-0000-000089180000}"/>
    <cellStyle name="Normal 5 2 3 3 2 2 3 2" xfId="14542" xr:uid="{1EE4115B-0CDF-43EE-80BB-D0250353FF90}"/>
    <cellStyle name="Normal 5 2 3 3 2 2 4" xfId="9511" xr:uid="{75EF02F8-0397-4B30-A858-343ADCA7C08D}"/>
    <cellStyle name="Normal 5 2 3 3 2 2 5" xfId="10325" xr:uid="{2F15CA48-79D1-43ED-9650-CBF7EEE781D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F8105813-E164-46A1-95A9-BC83624EDCC0}"/>
    <cellStyle name="Normal 5 2 3 3 2 3 2 3" xfId="12883" xr:uid="{89DF7028-2F2A-48D6-9D0A-046587AFCDFC}"/>
    <cellStyle name="Normal 5 2 3 3 2 3 3" xfId="5629" xr:uid="{00000000-0005-0000-0000-00008D180000}"/>
    <cellStyle name="Normal 5 2 3 3 2 3 3 2" xfId="14955" xr:uid="{B70466DC-D487-415A-8740-44D2EC64C838}"/>
    <cellStyle name="Normal 5 2 3 3 2 3 4" xfId="10738" xr:uid="{C7BAE051-A4CF-4145-897B-97D961E2C498}"/>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0112DD75-FB92-4511-8054-DD2E1C33F415}"/>
    <cellStyle name="Normal 5 2 3 3 2 4 2 3" xfId="13296" xr:uid="{3ADAC6F3-AE09-4505-A755-2DB4B96B6546}"/>
    <cellStyle name="Normal 5 2 3 3 2 4 3" xfId="6042" xr:uid="{00000000-0005-0000-0000-000091180000}"/>
    <cellStyle name="Normal 5 2 3 3 2 4 3 2" xfId="15368" xr:uid="{C9C6A666-96EF-4218-B5B5-7C83E41CA316}"/>
    <cellStyle name="Normal 5 2 3 3 2 4 4" xfId="11151" xr:uid="{43B75B83-13D6-4E04-9F99-8F085D9EA7D4}"/>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EFBE17BB-FC62-430C-9AEB-6A08E7D7322B}"/>
    <cellStyle name="Normal 5 2 3 3 2 5 2 3" xfId="13709" xr:uid="{B10D1622-3C93-4B9E-9AE7-91649995E809}"/>
    <cellStyle name="Normal 5 2 3 3 2 5 3" xfId="6455" xr:uid="{00000000-0005-0000-0000-000095180000}"/>
    <cellStyle name="Normal 5 2 3 3 2 5 3 2" xfId="15781" xr:uid="{09B93669-1529-40C4-8781-AF982C0222BA}"/>
    <cellStyle name="Normal 5 2 3 3 2 5 4" xfId="11564" xr:uid="{8EC9A925-864A-45B0-95B1-24A071AD5101}"/>
    <cellStyle name="Normal 5 2 3 3 2 6" xfId="2585" xr:uid="{00000000-0005-0000-0000-000096180000}"/>
    <cellStyle name="Normal 5 2 3 3 2 6 2" xfId="6868" xr:uid="{00000000-0005-0000-0000-000097180000}"/>
    <cellStyle name="Normal 5 2 3 3 2 6 2 2" xfId="16194" xr:uid="{8F69047A-0A5A-4103-9D3E-4192B6EBB0C3}"/>
    <cellStyle name="Normal 5 2 3 3 2 6 3" xfId="11977" xr:uid="{31D9F1D6-8FE5-4F8A-AE07-560B513298F3}"/>
    <cellStyle name="Normal 5 2 3 3 2 7" xfId="4803" xr:uid="{00000000-0005-0000-0000-000098180000}"/>
    <cellStyle name="Normal 5 2 3 3 2 7 2" xfId="14129" xr:uid="{0CD424D9-6115-4FA7-8B2B-B2BECA216A11}"/>
    <cellStyle name="Normal 5 2 3 3 2 8" xfId="9086" xr:uid="{442E5F61-F00C-4774-822F-4985AB3E1CB7}"/>
    <cellStyle name="Normal 5 2 3 3 2 9" xfId="9912" xr:uid="{CB301CA6-1AAC-423A-B057-06124CC26721}"/>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2989FA02-1B47-452B-9F1B-0B3C1DB05C89}"/>
    <cellStyle name="Normal 5 2 3 3 3 2 3" xfId="12469" xr:uid="{A19FD6CB-A9F9-4911-9226-5F34D3B8A86C}"/>
    <cellStyle name="Normal 5 2 3 3 3 3" xfId="5215" xr:uid="{00000000-0005-0000-0000-00009C180000}"/>
    <cellStyle name="Normal 5 2 3 3 3 3 2" xfId="14541" xr:uid="{A138E5BC-F645-45F2-AC3E-6DDADB8719D4}"/>
    <cellStyle name="Normal 5 2 3 3 3 4" xfId="9304" xr:uid="{2C783A77-F32A-4E64-807E-062B95DB0310}"/>
    <cellStyle name="Normal 5 2 3 3 3 5" xfId="10324" xr:uid="{C7A685BA-844A-4136-82AE-EAED740BC62E}"/>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22C2EAF5-5C08-405C-8D02-54AD49E25D3B}"/>
    <cellStyle name="Normal 5 2 3 3 4 2 3" xfId="12882" xr:uid="{BE1091F7-6425-47F7-B9CE-817696771F1E}"/>
    <cellStyle name="Normal 5 2 3 3 4 3" xfId="5628" xr:uid="{00000000-0005-0000-0000-0000A0180000}"/>
    <cellStyle name="Normal 5 2 3 3 4 3 2" xfId="14954" xr:uid="{29766706-3973-48E3-B212-C00EA1FD8AC4}"/>
    <cellStyle name="Normal 5 2 3 3 4 4" xfId="10737" xr:uid="{D4B3FFB6-5979-46E5-9CAA-D2F6BAA69968}"/>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BDDC1A3B-8E87-405E-A7E9-1D9EA64C3CFD}"/>
    <cellStyle name="Normal 5 2 3 3 5 2 3" xfId="13295" xr:uid="{A78A5D32-9CAD-4A9C-8F7F-0330106637B7}"/>
    <cellStyle name="Normal 5 2 3 3 5 3" xfId="6041" xr:uid="{00000000-0005-0000-0000-0000A4180000}"/>
    <cellStyle name="Normal 5 2 3 3 5 3 2" xfId="15367" xr:uid="{F537BFEC-50D2-4410-AE50-267A38227AE2}"/>
    <cellStyle name="Normal 5 2 3 3 5 4" xfId="11150" xr:uid="{3103EC73-0967-44CA-8518-6DB691956051}"/>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50564E49-FBAB-4E21-B33B-FBAD9C2736A9}"/>
    <cellStyle name="Normal 5 2 3 3 6 2 3" xfId="13708" xr:uid="{E5AC2576-4391-41F0-9741-F0481158BD03}"/>
    <cellStyle name="Normal 5 2 3 3 6 3" xfId="6454" xr:uid="{00000000-0005-0000-0000-0000A8180000}"/>
    <cellStyle name="Normal 5 2 3 3 6 3 2" xfId="15780" xr:uid="{8D8C408D-2B91-4B30-B786-4551F4CB50E2}"/>
    <cellStyle name="Normal 5 2 3 3 6 4" xfId="11563" xr:uid="{5F45E810-0653-4D54-A761-40F1B62C3921}"/>
    <cellStyle name="Normal 5 2 3 3 7" xfId="2584" xr:uid="{00000000-0005-0000-0000-0000A9180000}"/>
    <cellStyle name="Normal 5 2 3 3 7 2" xfId="6867" xr:uid="{00000000-0005-0000-0000-0000AA180000}"/>
    <cellStyle name="Normal 5 2 3 3 7 2 2" xfId="16193" xr:uid="{B10CDFD9-FD3B-41D6-9E35-AF96EFBBCE6D}"/>
    <cellStyle name="Normal 5 2 3 3 7 3" xfId="11976" xr:uid="{95C416BE-2EBC-4143-AC6E-33412C3D53BF}"/>
    <cellStyle name="Normal 5 2 3 3 8" xfId="4802" xr:uid="{00000000-0005-0000-0000-0000AB180000}"/>
    <cellStyle name="Normal 5 2 3 3 8 2" xfId="14128" xr:uid="{757C1307-6367-4836-8B23-7D33035D0BB9}"/>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AEC48A1B-6D2D-402F-B651-2DE45F2471A5}"/>
    <cellStyle name="Normal 5 2 3 4 2 2 3" xfId="12471" xr:uid="{393BF7FE-FDBB-4168-861E-95CD409B930B}"/>
    <cellStyle name="Normal 5 2 3 4 2 3" xfId="5217" xr:uid="{00000000-0005-0000-0000-0000B0180000}"/>
    <cellStyle name="Normal 5 2 3 4 2 3 2" xfId="14543" xr:uid="{62D2788A-8F3F-4B8D-B3BE-8B9931DA2BF0}"/>
    <cellStyle name="Normal 5 2 3 4 2 4" xfId="9408" xr:uid="{3B6F9C6F-3D7C-45F8-99FE-451C0F8CED36}"/>
    <cellStyle name="Normal 5 2 3 4 2 5" xfId="10326" xr:uid="{DB97645F-A9C1-4BE7-B424-23E3DABB868C}"/>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F16DD3F9-CC5A-4336-AD86-3A0A3C0CD50D}"/>
    <cellStyle name="Normal 5 2 3 4 3 2 3" xfId="12884" xr:uid="{B4DB05F4-EAB5-42D1-8F06-9EE3518F7AFE}"/>
    <cellStyle name="Normal 5 2 3 4 3 3" xfId="5630" xr:uid="{00000000-0005-0000-0000-0000B4180000}"/>
    <cellStyle name="Normal 5 2 3 4 3 3 2" xfId="14956" xr:uid="{B2002FCC-E7D4-42B5-A29F-D163F442D559}"/>
    <cellStyle name="Normal 5 2 3 4 3 4" xfId="10739" xr:uid="{790A25C1-08D1-459E-84E2-A64CA6342427}"/>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2DFF375A-5686-4C8A-94B3-5CA5A0BEF3A9}"/>
    <cellStyle name="Normal 5 2 3 4 4 2 3" xfId="13297" xr:uid="{CD5AAB95-D118-4931-A751-78B49688157F}"/>
    <cellStyle name="Normal 5 2 3 4 4 3" xfId="6043" xr:uid="{00000000-0005-0000-0000-0000B8180000}"/>
    <cellStyle name="Normal 5 2 3 4 4 3 2" xfId="15369" xr:uid="{B863B12B-CD07-43A4-B271-B5B9199699AE}"/>
    <cellStyle name="Normal 5 2 3 4 4 4" xfId="11152" xr:uid="{5125B3F8-F050-47F4-B5CB-1D1D26CB6594}"/>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DF158A84-E6A5-4CFD-B66C-8BF1A0707694}"/>
    <cellStyle name="Normal 5 2 3 4 5 2 3" xfId="13710" xr:uid="{A1CA3249-0730-4D07-827E-386BF01AB338}"/>
    <cellStyle name="Normal 5 2 3 4 5 3" xfId="6456" xr:uid="{00000000-0005-0000-0000-0000BC180000}"/>
    <cellStyle name="Normal 5 2 3 4 5 3 2" xfId="15782" xr:uid="{69BBB56D-27AF-4D99-AC6F-71111381BD5D}"/>
    <cellStyle name="Normal 5 2 3 4 5 4" xfId="11565" xr:uid="{C88DA515-AE6F-4513-A6A1-14A627A7067E}"/>
    <cellStyle name="Normal 5 2 3 4 6" xfId="2586" xr:uid="{00000000-0005-0000-0000-0000BD180000}"/>
    <cellStyle name="Normal 5 2 3 4 6 2" xfId="6869" xr:uid="{00000000-0005-0000-0000-0000BE180000}"/>
    <cellStyle name="Normal 5 2 3 4 6 2 2" xfId="16195" xr:uid="{08713E6E-F49E-473B-9FB3-C61D44C48533}"/>
    <cellStyle name="Normal 5 2 3 4 6 3" xfId="11978" xr:uid="{208FDCCB-D58F-4EC7-8F1C-9562BCCD7842}"/>
    <cellStyle name="Normal 5 2 3 4 7" xfId="4804" xr:uid="{00000000-0005-0000-0000-0000BF180000}"/>
    <cellStyle name="Normal 5 2 3 4 7 2" xfId="14130" xr:uid="{61210E0E-B02D-44D2-A350-FEC35A224980}"/>
    <cellStyle name="Normal 5 2 3 4 8" xfId="8983" xr:uid="{07388FCC-03DE-4CE8-89CB-9C92F8174E24}"/>
    <cellStyle name="Normal 5 2 3 4 9" xfId="9913" xr:uid="{A0D96C5D-F68D-4EC0-8E45-3C5FCEF391FC}"/>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A3FDAA64-F0E9-4D75-9D7C-E3A00E7F4851}"/>
    <cellStyle name="Normal 5 2 3 5 2 3" xfId="12464" xr:uid="{42A88FE0-77EB-440B-B2BC-785B4A6FD6EF}"/>
    <cellStyle name="Normal 5 2 3 5 3" xfId="5210" xr:uid="{00000000-0005-0000-0000-0000C3180000}"/>
    <cellStyle name="Normal 5 2 3 5 3 2" xfId="14536" xr:uid="{F0798C33-F9E8-43FF-98ED-82FDEC3FCAF2}"/>
    <cellStyle name="Normal 5 2 3 5 4" xfId="9200" xr:uid="{13DE827A-4007-427A-9869-ADBBE6B70993}"/>
    <cellStyle name="Normal 5 2 3 5 5" xfId="10319" xr:uid="{B78ACDE7-4526-438C-85A0-13D3D740FB8D}"/>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FA2D404E-ADAD-4F77-9272-34F08692C93D}"/>
    <cellStyle name="Normal 5 2 3 6 2 3" xfId="12877" xr:uid="{DB1F1CBB-7133-496E-B880-E314BDB29B79}"/>
    <cellStyle name="Normal 5 2 3 6 3" xfId="5623" xr:uid="{00000000-0005-0000-0000-0000C7180000}"/>
    <cellStyle name="Normal 5 2 3 6 3 2" xfId="14949" xr:uid="{041B90C8-93F8-4BCF-B1E7-8E66D4D471B1}"/>
    <cellStyle name="Normal 5 2 3 6 4" xfId="10732" xr:uid="{3EE3BEC1-91E7-4DA8-BF82-CC5D52AC7C5A}"/>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1F1B1717-2E4B-4DCC-A8AA-0EB32BDBF3A8}"/>
    <cellStyle name="Normal 5 2 3 7 2 3" xfId="13290" xr:uid="{E3ABA88E-77A4-4071-9752-9805D1B68A37}"/>
    <cellStyle name="Normal 5 2 3 7 3" xfId="6036" xr:uid="{00000000-0005-0000-0000-0000CB180000}"/>
    <cellStyle name="Normal 5 2 3 7 3 2" xfId="15362" xr:uid="{3A07BA80-91DA-4A77-B4C0-B1895BEAAD23}"/>
    <cellStyle name="Normal 5 2 3 7 4" xfId="11145" xr:uid="{E06633BD-701A-4238-9B65-EEC95884825B}"/>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ACE52C8F-3C17-41B4-852B-C4211EF90530}"/>
    <cellStyle name="Normal 5 2 3 8 2 3" xfId="13703" xr:uid="{B8A3D42E-565B-4141-825E-30B7E6F7DD59}"/>
    <cellStyle name="Normal 5 2 3 8 3" xfId="6449" xr:uid="{00000000-0005-0000-0000-0000CF180000}"/>
    <cellStyle name="Normal 5 2 3 8 3 2" xfId="15775" xr:uid="{5ADF58D0-D9F0-476A-BA7F-B263840F4A59}"/>
    <cellStyle name="Normal 5 2 3 8 4" xfId="11558" xr:uid="{E81A9579-EC6E-4963-A381-E8ECE443CA33}"/>
    <cellStyle name="Normal 5 2 3 9" xfId="2579" xr:uid="{00000000-0005-0000-0000-0000D0180000}"/>
    <cellStyle name="Normal 5 2 3 9 2" xfId="6862" xr:uid="{00000000-0005-0000-0000-0000D1180000}"/>
    <cellStyle name="Normal 5 2 3 9 2 2" xfId="16188" xr:uid="{F911FFCA-FF6E-4BAB-B7E3-9FC8042BC03B}"/>
    <cellStyle name="Normal 5 2 3 9 3" xfId="11971" xr:uid="{1F9A3DAF-3746-4DF4-832B-45FEF1AD76EE}"/>
    <cellStyle name="Normal 5 2 4" xfId="432" xr:uid="{00000000-0005-0000-0000-0000D2180000}"/>
    <cellStyle name="Normal 5 2 4 10" xfId="8827" xr:uid="{1EC4F605-F0BA-487E-A3C0-2CBAE7C22D8A}"/>
    <cellStyle name="Normal 5 2 4 11" xfId="9914" xr:uid="{4933EDEF-529F-48F7-8FC9-C488E993C4FC}"/>
    <cellStyle name="Normal 5 2 4 2" xfId="433" xr:uid="{00000000-0005-0000-0000-0000D3180000}"/>
    <cellStyle name="Normal 5 2 4 2 10" xfId="9915" xr:uid="{0C4D7AD0-01EB-42BA-869F-069E04419A35}"/>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F6E38285-5898-4F0E-A9AB-76B93064803C}"/>
    <cellStyle name="Normal 5 2 4 2 2 2 2 3" xfId="12474" xr:uid="{62E24A69-4F92-46AC-A7B7-96B662EBE661}"/>
    <cellStyle name="Normal 5 2 4 2 2 2 3" xfId="5220" xr:uid="{00000000-0005-0000-0000-0000D8180000}"/>
    <cellStyle name="Normal 5 2 4 2 2 2 3 2" xfId="14546" xr:uid="{57E6716A-5E57-4B32-BA0F-20364AF253C0}"/>
    <cellStyle name="Normal 5 2 4 2 2 2 4" xfId="9562" xr:uid="{5E243FB4-F3B1-4B34-B377-1444454AD19E}"/>
    <cellStyle name="Normal 5 2 4 2 2 2 5" xfId="10329" xr:uid="{459CF623-10FD-4D01-978A-1579990F2D86}"/>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172CBD4B-4AE8-4B69-84B5-D4E9C95C6B7F}"/>
    <cellStyle name="Normal 5 2 4 2 2 3 2 3" xfId="12887" xr:uid="{545C0922-F1E7-4112-9C92-57175C9D2C19}"/>
    <cellStyle name="Normal 5 2 4 2 2 3 3" xfId="5633" xr:uid="{00000000-0005-0000-0000-0000DC180000}"/>
    <cellStyle name="Normal 5 2 4 2 2 3 3 2" xfId="14959" xr:uid="{82EA0190-662A-419F-B92E-C0BAC4DA7F35}"/>
    <cellStyle name="Normal 5 2 4 2 2 3 4" xfId="10742" xr:uid="{E355CAA3-FFD8-4746-BBC9-00E351711E24}"/>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BC5F7AEE-4A38-4219-9861-09E78E6B2502}"/>
    <cellStyle name="Normal 5 2 4 2 2 4 2 3" xfId="13300" xr:uid="{5DCE9E5D-913D-4D0F-B651-5C8DEA015796}"/>
    <cellStyle name="Normal 5 2 4 2 2 4 3" xfId="6046" xr:uid="{00000000-0005-0000-0000-0000E0180000}"/>
    <cellStyle name="Normal 5 2 4 2 2 4 3 2" xfId="15372" xr:uid="{41770A8E-7E92-429F-8E06-48CF2DE3888E}"/>
    <cellStyle name="Normal 5 2 4 2 2 4 4" xfId="11155" xr:uid="{A89A8DDB-279D-4F80-A81F-499E89E92B07}"/>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2A86826B-484C-4C25-8C8B-8DE6DD87F1B1}"/>
    <cellStyle name="Normal 5 2 4 2 2 5 2 3" xfId="13713" xr:uid="{FF5FC33B-7048-4038-B0DC-EF5E44AE657F}"/>
    <cellStyle name="Normal 5 2 4 2 2 5 3" xfId="6459" xr:uid="{00000000-0005-0000-0000-0000E4180000}"/>
    <cellStyle name="Normal 5 2 4 2 2 5 3 2" xfId="15785" xr:uid="{8E212A21-8353-47CB-979A-D4EB910769A7}"/>
    <cellStyle name="Normal 5 2 4 2 2 5 4" xfId="11568" xr:uid="{0FD2FFF8-9665-440C-8128-4AE9C67E565D}"/>
    <cellStyle name="Normal 5 2 4 2 2 6" xfId="2589" xr:uid="{00000000-0005-0000-0000-0000E5180000}"/>
    <cellStyle name="Normal 5 2 4 2 2 6 2" xfId="6872" xr:uid="{00000000-0005-0000-0000-0000E6180000}"/>
    <cellStyle name="Normal 5 2 4 2 2 6 2 2" xfId="16198" xr:uid="{F7176B77-B56F-4570-8C80-724263F4860C}"/>
    <cellStyle name="Normal 5 2 4 2 2 6 3" xfId="11981" xr:uid="{3A0F06D4-4049-450B-861D-82FD799E6BA4}"/>
    <cellStyle name="Normal 5 2 4 2 2 7" xfId="4807" xr:uid="{00000000-0005-0000-0000-0000E7180000}"/>
    <cellStyle name="Normal 5 2 4 2 2 7 2" xfId="14133" xr:uid="{712634D3-C27E-403F-BA55-E80D433E11F0}"/>
    <cellStyle name="Normal 5 2 4 2 2 8" xfId="9137" xr:uid="{C80E4B27-40CA-4953-ABB8-99E2C575F775}"/>
    <cellStyle name="Normal 5 2 4 2 2 9" xfId="9916" xr:uid="{2BE51790-23BD-4A83-8081-9C0C75ADECFD}"/>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41FA3E10-18EF-4B4C-BCC3-F0DC322FBBBE}"/>
    <cellStyle name="Normal 5 2 4 2 3 2 3" xfId="12473" xr:uid="{42692FD7-3BD1-401F-BCE8-B87DB9A11153}"/>
    <cellStyle name="Normal 5 2 4 2 3 3" xfId="5219" xr:uid="{00000000-0005-0000-0000-0000EB180000}"/>
    <cellStyle name="Normal 5 2 4 2 3 3 2" xfId="14545" xr:uid="{4CA81DC4-5D8E-4B85-8582-E9C3603B3CC2}"/>
    <cellStyle name="Normal 5 2 4 2 3 4" xfId="9355" xr:uid="{9D38A6AA-2F63-4275-9FB8-F86A15F6A4D3}"/>
    <cellStyle name="Normal 5 2 4 2 3 5" xfId="10328" xr:uid="{C7ABDEF8-C6FA-4939-B307-F3A2CD869574}"/>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F2985570-765B-47E0-B421-8C5E2F9C9529}"/>
    <cellStyle name="Normal 5 2 4 2 4 2 3" xfId="12886" xr:uid="{788A4A06-0A1A-4C72-AD8C-50C3B49DE04D}"/>
    <cellStyle name="Normal 5 2 4 2 4 3" xfId="5632" xr:uid="{00000000-0005-0000-0000-0000EF180000}"/>
    <cellStyle name="Normal 5 2 4 2 4 3 2" xfId="14958" xr:uid="{5006771C-E4BA-4E54-8196-946A63DAF3A6}"/>
    <cellStyle name="Normal 5 2 4 2 4 4" xfId="10741" xr:uid="{49ECDB2E-4BD0-4D5A-B01A-E77BD0EEE084}"/>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035E3DE7-EF54-48DC-805B-548B4AEFAE29}"/>
    <cellStyle name="Normal 5 2 4 2 5 2 3" xfId="13299" xr:uid="{D37A31A2-B971-4EFB-B866-D4F3551FEBFF}"/>
    <cellStyle name="Normal 5 2 4 2 5 3" xfId="6045" xr:uid="{00000000-0005-0000-0000-0000F3180000}"/>
    <cellStyle name="Normal 5 2 4 2 5 3 2" xfId="15371" xr:uid="{8A89EE91-C404-452F-8BD4-5ED67E242B88}"/>
    <cellStyle name="Normal 5 2 4 2 5 4" xfId="11154" xr:uid="{9B455A76-D3FF-4502-81F1-D50B4AFAC231}"/>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8F8E5DF8-D077-493F-87A1-89B8D9705889}"/>
    <cellStyle name="Normal 5 2 4 2 6 2 3" xfId="13712" xr:uid="{12F79E13-A6B2-4456-9DD5-CCB0F7D1558A}"/>
    <cellStyle name="Normal 5 2 4 2 6 3" xfId="6458" xr:uid="{00000000-0005-0000-0000-0000F7180000}"/>
    <cellStyle name="Normal 5 2 4 2 6 3 2" xfId="15784" xr:uid="{E7E567E0-4127-43FB-82F4-03A776D3E5A3}"/>
    <cellStyle name="Normal 5 2 4 2 6 4" xfId="11567" xr:uid="{8E6D55D4-28A9-4024-9460-371E89334E90}"/>
    <cellStyle name="Normal 5 2 4 2 7" xfId="2588" xr:uid="{00000000-0005-0000-0000-0000F8180000}"/>
    <cellStyle name="Normal 5 2 4 2 7 2" xfId="6871" xr:uid="{00000000-0005-0000-0000-0000F9180000}"/>
    <cellStyle name="Normal 5 2 4 2 7 2 2" xfId="16197" xr:uid="{C03AA3EA-9A82-4269-827D-0A16C2C09454}"/>
    <cellStyle name="Normal 5 2 4 2 7 3" xfId="11980" xr:uid="{3F3892B8-941F-463F-AB69-5330E6113F26}"/>
    <cellStyle name="Normal 5 2 4 2 8" xfId="4806" xr:uid="{00000000-0005-0000-0000-0000FA180000}"/>
    <cellStyle name="Normal 5 2 4 2 8 2" xfId="14132" xr:uid="{5A42F623-54B5-4CAC-A233-1947064394B4}"/>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B3A36826-5B3B-47B6-B723-7EA81C465E5E}"/>
    <cellStyle name="Normal 5 2 4 3 2 2 3" xfId="12475" xr:uid="{06EAE893-3202-44A5-BA1D-7AB3C38372A4}"/>
    <cellStyle name="Normal 5 2 4 3 2 3" xfId="5221" xr:uid="{00000000-0005-0000-0000-0000FF180000}"/>
    <cellStyle name="Normal 5 2 4 3 2 3 2" xfId="14547" xr:uid="{5B2D4EB5-69AF-41A9-AAC9-C40DAA9A0310}"/>
    <cellStyle name="Normal 5 2 4 3 2 4" xfId="9459" xr:uid="{ED2A936E-5624-4B26-A175-3FCE68E1BF5A}"/>
    <cellStyle name="Normal 5 2 4 3 2 5" xfId="10330" xr:uid="{67664F39-D06D-4380-9DE5-CBE0EC311861}"/>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E4147381-B086-4146-8CFF-59E0031CF6E3}"/>
    <cellStyle name="Normal 5 2 4 3 3 2 3" xfId="12888" xr:uid="{2F8D0CC0-B8B8-4793-98C2-070976A65855}"/>
    <cellStyle name="Normal 5 2 4 3 3 3" xfId="5634" xr:uid="{00000000-0005-0000-0000-000003190000}"/>
    <cellStyle name="Normal 5 2 4 3 3 3 2" xfId="14960" xr:uid="{7B12AE55-DE8D-4D6C-9534-7A806078A569}"/>
    <cellStyle name="Normal 5 2 4 3 3 4" xfId="10743" xr:uid="{BDEE3DA2-925C-447A-AE88-60684B5E71E8}"/>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07EECB3D-3E89-4554-BE48-881964B80847}"/>
    <cellStyle name="Normal 5 2 4 3 4 2 3" xfId="13301" xr:uid="{ADF7E1DB-29B8-4463-A387-6BEEB5627C0E}"/>
    <cellStyle name="Normal 5 2 4 3 4 3" xfId="6047" xr:uid="{00000000-0005-0000-0000-000007190000}"/>
    <cellStyle name="Normal 5 2 4 3 4 3 2" xfId="15373" xr:uid="{6E962C89-EE15-4C7E-B387-3550EAA1C1B8}"/>
    <cellStyle name="Normal 5 2 4 3 4 4" xfId="11156" xr:uid="{831D317A-9AAF-46D9-B3A5-619E11744305}"/>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09693267-049B-438A-9C7E-D0733F008944}"/>
    <cellStyle name="Normal 5 2 4 3 5 2 3" xfId="13714" xr:uid="{D265797D-C9CB-4213-B39C-50C74E2F2315}"/>
    <cellStyle name="Normal 5 2 4 3 5 3" xfId="6460" xr:uid="{00000000-0005-0000-0000-00000B190000}"/>
    <cellStyle name="Normal 5 2 4 3 5 3 2" xfId="15786" xr:uid="{53CA8EF3-AC45-41FE-8768-C75B9C855657}"/>
    <cellStyle name="Normal 5 2 4 3 5 4" xfId="11569" xr:uid="{BB96C534-D2BD-4609-950F-115C79DFEEE5}"/>
    <cellStyle name="Normal 5 2 4 3 6" xfId="2590" xr:uid="{00000000-0005-0000-0000-00000C190000}"/>
    <cellStyle name="Normal 5 2 4 3 6 2" xfId="6873" xr:uid="{00000000-0005-0000-0000-00000D190000}"/>
    <cellStyle name="Normal 5 2 4 3 6 2 2" xfId="16199" xr:uid="{30AF3E49-1074-4363-9EBA-03CEBAC79B0D}"/>
    <cellStyle name="Normal 5 2 4 3 6 3" xfId="11982" xr:uid="{BF2DF6F7-8389-438D-89FD-B8B3A50C135F}"/>
    <cellStyle name="Normal 5 2 4 3 7" xfId="4808" xr:uid="{00000000-0005-0000-0000-00000E190000}"/>
    <cellStyle name="Normal 5 2 4 3 7 2" xfId="14134" xr:uid="{D99129D3-088C-4DE3-A8A4-D9F18D42AD08}"/>
    <cellStyle name="Normal 5 2 4 3 8" xfId="9034" xr:uid="{82D3DE5B-E868-4CF9-BA07-6E197DA4FAA5}"/>
    <cellStyle name="Normal 5 2 4 3 9" xfId="9917" xr:uid="{B1049CBF-0203-4C80-835F-07FE0814B013}"/>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092C8599-101F-457F-B056-581CE4E229DF}"/>
    <cellStyle name="Normal 5 2 4 4 2 3" xfId="12472" xr:uid="{27656B26-A005-469B-8F07-204614A5CDA1}"/>
    <cellStyle name="Normal 5 2 4 4 3" xfId="5218" xr:uid="{00000000-0005-0000-0000-000012190000}"/>
    <cellStyle name="Normal 5 2 4 4 3 2" xfId="14544" xr:uid="{FBDBA04B-9A9B-4D2F-96E8-B1EDC06EFF29}"/>
    <cellStyle name="Normal 5 2 4 4 4" xfId="9252" xr:uid="{1D1A8EC4-7286-46A1-B40C-E987F273E760}"/>
    <cellStyle name="Normal 5 2 4 4 5" xfId="10327" xr:uid="{4D2A99D4-69D2-4751-A1AF-3A0FB95F69C2}"/>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8F145452-8108-4B26-9152-CC61D95212AE}"/>
    <cellStyle name="Normal 5 2 4 5 2 3" xfId="12885" xr:uid="{A53F5213-3C1B-4AA2-9223-2A31CF8F0F38}"/>
    <cellStyle name="Normal 5 2 4 5 3" xfId="5631" xr:uid="{00000000-0005-0000-0000-000016190000}"/>
    <cellStyle name="Normal 5 2 4 5 3 2" xfId="14957" xr:uid="{CC2E21BD-30B6-4025-A4A4-0CC7B37CD583}"/>
    <cellStyle name="Normal 5 2 4 5 4" xfId="10740" xr:uid="{93E3F930-0C3D-45B5-9263-BE9135708959}"/>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482C063A-4909-489E-90B3-C416F10E2EEA}"/>
    <cellStyle name="Normal 5 2 4 6 2 3" xfId="13298" xr:uid="{348B1753-FB57-4DA1-9A8A-B2DF34C5DC4B}"/>
    <cellStyle name="Normal 5 2 4 6 3" xfId="6044" xr:uid="{00000000-0005-0000-0000-00001A190000}"/>
    <cellStyle name="Normal 5 2 4 6 3 2" xfId="15370" xr:uid="{66EA74DF-A596-48A6-9453-4E749538F06D}"/>
    <cellStyle name="Normal 5 2 4 6 4" xfId="11153" xr:uid="{9B70A07A-2603-4BF7-B8DF-E0D317E61AFE}"/>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956E6BF3-A06C-4B9F-BE13-041C31F6CE2E}"/>
    <cellStyle name="Normal 5 2 4 7 2 3" xfId="13711" xr:uid="{83B06681-B45D-49AB-9C97-A0E1703D74DD}"/>
    <cellStyle name="Normal 5 2 4 7 3" xfId="6457" xr:uid="{00000000-0005-0000-0000-00001E190000}"/>
    <cellStyle name="Normal 5 2 4 7 3 2" xfId="15783" xr:uid="{65517FB8-BB13-45DA-B71B-A7714536F47B}"/>
    <cellStyle name="Normal 5 2 4 7 4" xfId="11566" xr:uid="{A2FA7314-2131-49B0-9AD2-E3D8D770EB5A}"/>
    <cellStyle name="Normal 5 2 4 8" xfId="2587" xr:uid="{00000000-0005-0000-0000-00001F190000}"/>
    <cellStyle name="Normal 5 2 4 8 2" xfId="6870" xr:uid="{00000000-0005-0000-0000-000020190000}"/>
    <cellStyle name="Normal 5 2 4 8 2 2" xfId="16196" xr:uid="{014E3913-96CE-40EB-9857-FA80D1AC01A6}"/>
    <cellStyle name="Normal 5 2 4 8 3" xfId="11979" xr:uid="{958FAD7A-9353-4D5B-8F6C-3843B99EED25}"/>
    <cellStyle name="Normal 5 2 4 9" xfId="4805" xr:uid="{00000000-0005-0000-0000-000021190000}"/>
    <cellStyle name="Normal 5 2 4 9 2" xfId="14131" xr:uid="{B8F2A628-5E13-4A7C-A341-9961179FC805}"/>
    <cellStyle name="Normal 5 2 5" xfId="436" xr:uid="{00000000-0005-0000-0000-000022190000}"/>
    <cellStyle name="Normal 5 2 5 10" xfId="9918" xr:uid="{D49E0507-66FB-4997-B146-A317A65927C1}"/>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57BBFF1E-E129-497C-B788-14B832B83346}"/>
    <cellStyle name="Normal 5 2 5 2 2 2 3" xfId="12477" xr:uid="{B32A510D-76EA-42DE-8A69-6D012B08DBB3}"/>
    <cellStyle name="Normal 5 2 5 2 2 3" xfId="5223" xr:uid="{00000000-0005-0000-0000-000027190000}"/>
    <cellStyle name="Normal 5 2 5 2 2 3 2" xfId="14549" xr:uid="{54139289-7B74-426E-ADCC-F0E0D3551419}"/>
    <cellStyle name="Normal 5 2 5 2 2 4" xfId="9479" xr:uid="{0DDFFFD4-5D62-4038-B6D4-9E9BD7CBA380}"/>
    <cellStyle name="Normal 5 2 5 2 2 5" xfId="10332" xr:uid="{27522C63-4F8D-4276-9B54-343E3F5AA913}"/>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8594567E-3FC3-4875-87DE-A27747C9D4E6}"/>
    <cellStyle name="Normal 5 2 5 2 3 2 3" xfId="12890" xr:uid="{0690100D-7EC4-415B-B8F3-5957EA766800}"/>
    <cellStyle name="Normal 5 2 5 2 3 3" xfId="5636" xr:uid="{00000000-0005-0000-0000-00002B190000}"/>
    <cellStyle name="Normal 5 2 5 2 3 3 2" xfId="14962" xr:uid="{166274F6-F5DC-4CC0-9118-74842A70389C}"/>
    <cellStyle name="Normal 5 2 5 2 3 4" xfId="10745" xr:uid="{8E0A1811-18F1-43A2-976E-713AF276A4B4}"/>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F7680650-C39C-4A14-9970-92E24690DEC5}"/>
    <cellStyle name="Normal 5 2 5 2 4 2 3" xfId="13303" xr:uid="{EAEF234F-EF0D-4970-9AFA-EFA2FDC6F7BF}"/>
    <cellStyle name="Normal 5 2 5 2 4 3" xfId="6049" xr:uid="{00000000-0005-0000-0000-00002F190000}"/>
    <cellStyle name="Normal 5 2 5 2 4 3 2" xfId="15375" xr:uid="{2836082E-F7CF-4661-89B2-FFF9449E25DA}"/>
    <cellStyle name="Normal 5 2 5 2 4 4" xfId="11158" xr:uid="{0DA2E03B-6A9A-4CDC-90FD-7B475A4FA81A}"/>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DA467DC6-358D-4D96-8EDB-79840B187498}"/>
    <cellStyle name="Normal 5 2 5 2 5 2 3" xfId="13716" xr:uid="{9CA1FEC3-FD8F-4D3C-A2FC-A653A6616838}"/>
    <cellStyle name="Normal 5 2 5 2 5 3" xfId="6462" xr:uid="{00000000-0005-0000-0000-000033190000}"/>
    <cellStyle name="Normal 5 2 5 2 5 3 2" xfId="15788" xr:uid="{2B13EA17-2376-46C7-A05B-243572F41B7D}"/>
    <cellStyle name="Normal 5 2 5 2 5 4" xfId="11571" xr:uid="{3C0BC04B-5704-49D8-AFD3-748B723E87FD}"/>
    <cellStyle name="Normal 5 2 5 2 6" xfId="2592" xr:uid="{00000000-0005-0000-0000-000034190000}"/>
    <cellStyle name="Normal 5 2 5 2 6 2" xfId="6875" xr:uid="{00000000-0005-0000-0000-000035190000}"/>
    <cellStyle name="Normal 5 2 5 2 6 2 2" xfId="16201" xr:uid="{18B04641-2628-4D3E-A2FE-E7FB06A5BD2D}"/>
    <cellStyle name="Normal 5 2 5 2 6 3" xfId="11984" xr:uid="{AE439586-DBB7-428C-A540-080863A09CEE}"/>
    <cellStyle name="Normal 5 2 5 2 7" xfId="4810" xr:uid="{00000000-0005-0000-0000-000036190000}"/>
    <cellStyle name="Normal 5 2 5 2 7 2" xfId="14136" xr:uid="{C1D035DF-3F36-40D8-94A1-CEEB25C9BE97}"/>
    <cellStyle name="Normal 5 2 5 2 8" xfId="9054" xr:uid="{844F6476-DDB9-4C38-A2B2-83AB0DCF1773}"/>
    <cellStyle name="Normal 5 2 5 2 9" xfId="9919" xr:uid="{CE58BA5D-B1A6-4713-8A81-2F87C2738A0A}"/>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9EEBFEAD-3661-4BA5-9E21-62C83973924E}"/>
    <cellStyle name="Normal 5 2 5 3 2 3" xfId="12476" xr:uid="{EFBCEE36-C0F7-4D5F-9BD8-6BD85C772C8D}"/>
    <cellStyle name="Normal 5 2 5 3 3" xfId="5222" xr:uid="{00000000-0005-0000-0000-00003A190000}"/>
    <cellStyle name="Normal 5 2 5 3 3 2" xfId="14548" xr:uid="{1566E5A8-2CD1-43A6-8955-D03A477F86C3}"/>
    <cellStyle name="Normal 5 2 5 3 4" xfId="9272" xr:uid="{8865498C-CC61-4C5F-A1F4-57A1D301E1CE}"/>
    <cellStyle name="Normal 5 2 5 3 5" xfId="10331" xr:uid="{7D074800-3E9C-4ED3-B95B-2C148A4B1107}"/>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B55B7FB5-2D0C-450A-8C6B-05F60C39AA11}"/>
    <cellStyle name="Normal 5 2 5 4 2 3" xfId="12889" xr:uid="{E952910A-A2F3-4F4F-B7B4-5499786414CD}"/>
    <cellStyle name="Normal 5 2 5 4 3" xfId="5635" xr:uid="{00000000-0005-0000-0000-00003E190000}"/>
    <cellStyle name="Normal 5 2 5 4 3 2" xfId="14961" xr:uid="{2525BC8B-0BDE-4A13-8CC6-46AD800BE14D}"/>
    <cellStyle name="Normal 5 2 5 4 4" xfId="10744" xr:uid="{7FEF8EB9-5FA3-4A40-9E2E-9E9AC8866588}"/>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A52289F4-5A0A-4E6D-85E9-831656E5C388}"/>
    <cellStyle name="Normal 5 2 5 5 2 3" xfId="13302" xr:uid="{8058780A-FD36-473D-A003-BCF70ECE5BB7}"/>
    <cellStyle name="Normal 5 2 5 5 3" xfId="6048" xr:uid="{00000000-0005-0000-0000-000042190000}"/>
    <cellStyle name="Normal 5 2 5 5 3 2" xfId="15374" xr:uid="{9D6C4C40-8441-4048-9918-DBD9B1E4B56F}"/>
    <cellStyle name="Normal 5 2 5 5 4" xfId="11157" xr:uid="{32718114-C784-47F4-92A8-AB1AB8F5E1DB}"/>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4BB47EB5-071F-481F-BBB7-2D85460BB2AE}"/>
    <cellStyle name="Normal 5 2 5 6 2 3" xfId="13715" xr:uid="{CF77A338-CED3-4E78-BAED-D36F0C33933A}"/>
    <cellStyle name="Normal 5 2 5 6 3" xfId="6461" xr:uid="{00000000-0005-0000-0000-000046190000}"/>
    <cellStyle name="Normal 5 2 5 6 3 2" xfId="15787" xr:uid="{829968B3-B07D-49DC-83FC-1CE39736D407}"/>
    <cellStyle name="Normal 5 2 5 6 4" xfId="11570" xr:uid="{10EA90C2-E2B2-4668-8799-B53727244578}"/>
    <cellStyle name="Normal 5 2 5 7" xfId="2591" xr:uid="{00000000-0005-0000-0000-000047190000}"/>
    <cellStyle name="Normal 5 2 5 7 2" xfId="6874" xr:uid="{00000000-0005-0000-0000-000048190000}"/>
    <cellStyle name="Normal 5 2 5 7 2 2" xfId="16200" xr:uid="{C3946987-40B9-4FC5-8D21-5CB6FD684C82}"/>
    <cellStyle name="Normal 5 2 5 7 3" xfId="11983" xr:uid="{9A183A03-8EB2-416E-9040-704658F69B3A}"/>
    <cellStyle name="Normal 5 2 5 8" xfId="4809" xr:uid="{00000000-0005-0000-0000-000049190000}"/>
    <cellStyle name="Normal 5 2 5 8 2" xfId="14135" xr:uid="{2B06C08C-6F22-4174-8582-CBDE28F5F62D}"/>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E7D3C05C-FD92-44F2-AE0D-16B14B0CF97B}"/>
    <cellStyle name="Normal 5 2 6 2 2 3" xfId="12478" xr:uid="{B3CA134A-426E-458E-AED9-681C4FCB88AD}"/>
    <cellStyle name="Normal 5 2 6 2 3" xfId="5224" xr:uid="{00000000-0005-0000-0000-00004E190000}"/>
    <cellStyle name="Normal 5 2 6 2 3 2" xfId="14550" xr:uid="{2D03B321-52F2-459E-BBD9-0F4370BB05EB}"/>
    <cellStyle name="Normal 5 2 6 2 4" xfId="9388" xr:uid="{38BE55A5-085B-499D-8766-DF826B77D03C}"/>
    <cellStyle name="Normal 5 2 6 2 5" xfId="10333" xr:uid="{0AA7B38F-C91B-4CB1-97BD-02CEB020F2F4}"/>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0EDE03AB-DE03-468C-B29F-8D8F6097FE00}"/>
    <cellStyle name="Normal 5 2 6 3 2 3" xfId="12891" xr:uid="{9053EC9E-CCA5-475F-AF53-EF2B358EBE8A}"/>
    <cellStyle name="Normal 5 2 6 3 3" xfId="5637" xr:uid="{00000000-0005-0000-0000-000052190000}"/>
    <cellStyle name="Normal 5 2 6 3 3 2" xfId="14963" xr:uid="{9372EFBD-9566-4478-9703-C7A2EFF888D4}"/>
    <cellStyle name="Normal 5 2 6 3 4" xfId="10746" xr:uid="{7FBE5C01-532F-4270-ACDA-88B36F4E8604}"/>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89B35B45-7E0C-4BFE-BCE3-3FF404440102}"/>
    <cellStyle name="Normal 5 2 6 4 2 3" xfId="13304" xr:uid="{CEAEF1B0-698A-4F2D-99E5-3E6435F7D00D}"/>
    <cellStyle name="Normal 5 2 6 4 3" xfId="6050" xr:uid="{00000000-0005-0000-0000-000056190000}"/>
    <cellStyle name="Normal 5 2 6 4 3 2" xfId="15376" xr:uid="{22982E7B-CB9F-44D1-ACAE-7C36E3E2B760}"/>
    <cellStyle name="Normal 5 2 6 4 4" xfId="11159" xr:uid="{691ED326-C779-41C0-A68F-B7FA47BD116A}"/>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CA85AF27-67AC-4E07-86E6-7342F819DD5C}"/>
    <cellStyle name="Normal 5 2 6 5 2 3" xfId="13717" xr:uid="{3FAB1A47-ED69-473F-A313-664663499BFD}"/>
    <cellStyle name="Normal 5 2 6 5 3" xfId="6463" xr:uid="{00000000-0005-0000-0000-00005A190000}"/>
    <cellStyle name="Normal 5 2 6 5 3 2" xfId="15789" xr:uid="{F1B68EFD-BC14-4E79-9E71-BEB6D1FE7E35}"/>
    <cellStyle name="Normal 5 2 6 5 4" xfId="11572" xr:uid="{03AB308E-C2A1-40AE-8076-B48E26D49466}"/>
    <cellStyle name="Normal 5 2 6 6" xfId="2593" xr:uid="{00000000-0005-0000-0000-00005B190000}"/>
    <cellStyle name="Normal 5 2 6 6 2" xfId="6876" xr:uid="{00000000-0005-0000-0000-00005C190000}"/>
    <cellStyle name="Normal 5 2 6 6 2 2" xfId="16202" xr:uid="{99A0CC71-E1AF-4E34-9BFC-DA86EAB956B2}"/>
    <cellStyle name="Normal 5 2 6 6 3" xfId="11985" xr:uid="{633074B8-8EA5-482C-98CE-BAED97904328}"/>
    <cellStyle name="Normal 5 2 6 7" xfId="4811" xr:uid="{00000000-0005-0000-0000-00005D190000}"/>
    <cellStyle name="Normal 5 2 6 7 2" xfId="14137" xr:uid="{D1783CE9-8D01-4EA6-A4B9-4DFEBEABDF29}"/>
    <cellStyle name="Normal 5 2 6 8" xfId="8963" xr:uid="{01BDB756-0B70-4C0D-AC32-9959EE0C8F11}"/>
    <cellStyle name="Normal 5 2 6 9" xfId="9920" xr:uid="{3E7CD55E-457F-4ED6-830E-FC7198A8999C}"/>
    <cellStyle name="Normal 5 2 7" xfId="881" xr:uid="{00000000-0005-0000-0000-00005E190000}"/>
    <cellStyle name="Normal 5 2 7 2" xfId="3116" xr:uid="{00000000-0005-0000-0000-00005F190000}"/>
    <cellStyle name="Normal 5 2 7 2 2" xfId="7338" xr:uid="{00000000-0005-0000-0000-000060190000}"/>
    <cellStyle name="Normal 5 2 7 2 2 2" xfId="16664" xr:uid="{852FF8F5-60AC-402A-85D2-867FAFE84B99}"/>
    <cellStyle name="Normal 5 2 7 2 3" xfId="12447" xr:uid="{D8AC0B58-5375-4568-A4B2-CB9C460C12E2}"/>
    <cellStyle name="Normal 5 2 7 3" xfId="5193" xr:uid="{00000000-0005-0000-0000-000061190000}"/>
    <cellStyle name="Normal 5 2 7 3 2" xfId="14519" xr:uid="{5948CDC8-2FAC-43F0-9CD7-954F4B3899F8}"/>
    <cellStyle name="Normal 5 2 7 4" xfId="9166" xr:uid="{903BB692-5043-4803-B109-F7C532EB2A09}"/>
    <cellStyle name="Normal 5 2 7 5" xfId="10302" xr:uid="{524BD94E-6734-4F76-ACC3-C4A0C0C898A8}"/>
    <cellStyle name="Normal 5 2 8" xfId="1299" xr:uid="{00000000-0005-0000-0000-000062190000}"/>
    <cellStyle name="Normal 5 2 8 2" xfId="3529" xr:uid="{00000000-0005-0000-0000-000063190000}"/>
    <cellStyle name="Normal 5 2 8 2 2" xfId="7751" xr:uid="{00000000-0005-0000-0000-000064190000}"/>
    <cellStyle name="Normal 5 2 8 2 2 2" xfId="17077" xr:uid="{43E0127A-85F2-43FA-9585-95A3E1C8E203}"/>
    <cellStyle name="Normal 5 2 8 2 3" xfId="12860" xr:uid="{CED6AF73-853F-42F1-B24F-049FE7E13281}"/>
    <cellStyle name="Normal 5 2 8 3" xfId="5606" xr:uid="{00000000-0005-0000-0000-000065190000}"/>
    <cellStyle name="Normal 5 2 8 3 2" xfId="14932" xr:uid="{46EF76AE-E41C-4FAB-A826-C1450F5EB9D7}"/>
    <cellStyle name="Normal 5 2 8 4" xfId="10715" xr:uid="{35350B44-B580-46F9-884E-046280498FFB}"/>
    <cellStyle name="Normal 5 2 9" xfId="1712" xr:uid="{00000000-0005-0000-0000-000066190000}"/>
    <cellStyle name="Normal 5 2 9 2" xfId="3942" xr:uid="{00000000-0005-0000-0000-000067190000}"/>
    <cellStyle name="Normal 5 2 9 2 2" xfId="8164" xr:uid="{00000000-0005-0000-0000-000068190000}"/>
    <cellStyle name="Normal 5 2 9 2 2 2" xfId="17490" xr:uid="{39BD3ECF-71DB-4BE8-B30E-7D4FFBAD4BCE}"/>
    <cellStyle name="Normal 5 2 9 2 3" xfId="13273" xr:uid="{B528BD38-05A1-4F48-B616-BC4959306ED0}"/>
    <cellStyle name="Normal 5 2 9 3" xfId="6019" xr:uid="{00000000-0005-0000-0000-000069190000}"/>
    <cellStyle name="Normal 5 2 9 3 2" xfId="15345" xr:uid="{CCB8827B-1A04-4416-B2C0-E47514F83C52}"/>
    <cellStyle name="Normal 5 2 9 4" xfId="11128" xr:uid="{DA869FB1-5A6E-49CC-A52C-7C0D13F5FBA7}"/>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ED843D81-CF85-431D-84F2-48BBD6B3BDDC}"/>
    <cellStyle name="Normal 5 3 10 2 3" xfId="13718" xr:uid="{9617545F-EC1B-4C2A-B6E8-EE836E54FE14}"/>
    <cellStyle name="Normal 5 3 10 3" xfId="6464" xr:uid="{00000000-0005-0000-0000-00006E190000}"/>
    <cellStyle name="Normal 5 3 10 3 2" xfId="15790" xr:uid="{A62C1EDB-931C-4B4C-BE17-8C1FED68C9B0}"/>
    <cellStyle name="Normal 5 3 10 4" xfId="11573" xr:uid="{7BB4573F-9EAA-4DB3-9B23-B25492750735}"/>
    <cellStyle name="Normal 5 3 11" xfId="2594" xr:uid="{00000000-0005-0000-0000-00006F190000}"/>
    <cellStyle name="Normal 5 3 11 2" xfId="6877" xr:uid="{00000000-0005-0000-0000-000070190000}"/>
    <cellStyle name="Normal 5 3 11 2 2" xfId="16203" xr:uid="{6F4085F7-1C66-412A-9BE1-853BA3EB021E}"/>
    <cellStyle name="Normal 5 3 11 3" xfId="11986" xr:uid="{05834847-71BB-4274-86C2-3406073E5A0A}"/>
    <cellStyle name="Normal 5 3 12" xfId="4812" xr:uid="{00000000-0005-0000-0000-000071190000}"/>
    <cellStyle name="Normal 5 3 12 2" xfId="14138" xr:uid="{93D964AA-8CBD-41E1-BB84-78DF56EBD5DD}"/>
    <cellStyle name="Normal 5 3 13" xfId="8750" xr:uid="{36957AEF-D081-4A23-AEE3-073A5901863C}"/>
    <cellStyle name="Normal 5 3 14" xfId="9921" xr:uid="{C0232D8D-4B2D-4B4F-AD6B-1EF3531ACCF6}"/>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3826DE94-31CA-41E6-B33F-B80F17B8136C}"/>
    <cellStyle name="Normal 5 3 3 11" xfId="8782" xr:uid="{4219AD28-469A-4693-BD0B-B0536AC433E5}"/>
    <cellStyle name="Normal 5 3 3 12" xfId="9922" xr:uid="{2315D005-56FF-4B84-89A6-27D2BC7E7FA6}"/>
    <cellStyle name="Normal 5 3 3 2" xfId="442" xr:uid="{00000000-0005-0000-0000-000076190000}"/>
    <cellStyle name="Normal 5 3 3 2 10" xfId="8832" xr:uid="{03323DDB-E4E1-4078-8BBE-EA3DD4471E1B}"/>
    <cellStyle name="Normal 5 3 3 2 11" xfId="9923" xr:uid="{6EAB6B64-7EC3-4BE1-9808-D9C4B32DE984}"/>
    <cellStyle name="Normal 5 3 3 2 2" xfId="443" xr:uid="{00000000-0005-0000-0000-000077190000}"/>
    <cellStyle name="Normal 5 3 3 2 2 10" xfId="9924" xr:uid="{62C93F45-DCB3-4537-B34B-F7123ED6218D}"/>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3205F246-DD0E-45C2-B8FA-232E8A269A51}"/>
    <cellStyle name="Normal 5 3 3 2 2 2 2 2 3" xfId="12483" xr:uid="{BD0BD2C2-D98C-4F01-BCBE-BAC4205F6215}"/>
    <cellStyle name="Normal 5 3 3 2 2 2 2 3" xfId="5229" xr:uid="{00000000-0005-0000-0000-00007C190000}"/>
    <cellStyle name="Normal 5 3 3 2 2 2 2 3 2" xfId="14555" xr:uid="{524E4ECE-90FE-4679-945C-0B5C2874D4F0}"/>
    <cellStyle name="Normal 5 3 3 2 2 2 2 4" xfId="9567" xr:uid="{C2519486-6BC5-47D1-879F-EC6040BC9E9D}"/>
    <cellStyle name="Normal 5 3 3 2 2 2 2 5" xfId="10338" xr:uid="{CDE3BBFB-B9EF-4D84-8C85-B59332DF27AB}"/>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3586D6D4-03D6-4F05-9204-4022E922804A}"/>
    <cellStyle name="Normal 5 3 3 2 2 2 3 2 3" xfId="12896" xr:uid="{53EDC947-D412-486B-9B36-7022BF32BE23}"/>
    <cellStyle name="Normal 5 3 3 2 2 2 3 3" xfId="5642" xr:uid="{00000000-0005-0000-0000-000080190000}"/>
    <cellStyle name="Normal 5 3 3 2 2 2 3 3 2" xfId="14968" xr:uid="{AF11FB57-30BC-40FD-9A75-FA9FBCB2D9AE}"/>
    <cellStyle name="Normal 5 3 3 2 2 2 3 4" xfId="10751" xr:uid="{E89A1FA5-5548-447C-AA87-1EA316577E09}"/>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9F4F9895-855C-488F-A94F-80D700A382D0}"/>
    <cellStyle name="Normal 5 3 3 2 2 2 4 2 3" xfId="13309" xr:uid="{DDED4EBE-324E-4A3B-BC5C-2F9EB3F65CC1}"/>
    <cellStyle name="Normal 5 3 3 2 2 2 4 3" xfId="6055" xr:uid="{00000000-0005-0000-0000-000084190000}"/>
    <cellStyle name="Normal 5 3 3 2 2 2 4 3 2" xfId="15381" xr:uid="{11EE3F65-0F4D-4968-9E57-F4B1D102D704}"/>
    <cellStyle name="Normal 5 3 3 2 2 2 4 4" xfId="11164" xr:uid="{D14152A6-9B0E-419B-869B-D4FE96AEA7C4}"/>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E0D1EB4C-F69C-40F5-90D7-C2727CFAF163}"/>
    <cellStyle name="Normal 5 3 3 2 2 2 5 2 3" xfId="13722" xr:uid="{8D880053-DE1E-4ADE-B0E4-8A8D5CB0F5F0}"/>
    <cellStyle name="Normal 5 3 3 2 2 2 5 3" xfId="6468" xr:uid="{00000000-0005-0000-0000-000088190000}"/>
    <cellStyle name="Normal 5 3 3 2 2 2 5 3 2" xfId="15794" xr:uid="{E8EDF8A8-62FF-4B21-93F3-74BA0C5DF182}"/>
    <cellStyle name="Normal 5 3 3 2 2 2 5 4" xfId="11577" xr:uid="{EA34277B-0B27-4D66-9A60-B704461B61C1}"/>
    <cellStyle name="Normal 5 3 3 2 2 2 6" xfId="2598" xr:uid="{00000000-0005-0000-0000-000089190000}"/>
    <cellStyle name="Normal 5 3 3 2 2 2 6 2" xfId="6881" xr:uid="{00000000-0005-0000-0000-00008A190000}"/>
    <cellStyle name="Normal 5 3 3 2 2 2 6 2 2" xfId="16207" xr:uid="{AA326310-B01C-472D-971B-39EDE62CBD74}"/>
    <cellStyle name="Normal 5 3 3 2 2 2 6 3" xfId="11990" xr:uid="{6A1764BB-C961-4ECA-AA85-9C1E2144EB24}"/>
    <cellStyle name="Normal 5 3 3 2 2 2 7" xfId="4816" xr:uid="{00000000-0005-0000-0000-00008B190000}"/>
    <cellStyle name="Normal 5 3 3 2 2 2 7 2" xfId="14142" xr:uid="{6AD89D0B-B7D5-4C8C-B46F-D93BEA30F38D}"/>
    <cellStyle name="Normal 5 3 3 2 2 2 8" xfId="9142" xr:uid="{81CF9711-3A0B-4712-8E8F-033C974AA9E3}"/>
    <cellStyle name="Normal 5 3 3 2 2 2 9" xfId="9925" xr:uid="{9AAEC1DF-289B-4EA9-869F-6D5035E77C5D}"/>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1338795B-AB7E-41C1-9C10-23F4A158BB94}"/>
    <cellStyle name="Normal 5 3 3 2 2 3 2 3" xfId="12482" xr:uid="{2160E788-F697-4CB7-9141-E24762679B4A}"/>
    <cellStyle name="Normal 5 3 3 2 2 3 3" xfId="5228" xr:uid="{00000000-0005-0000-0000-00008F190000}"/>
    <cellStyle name="Normal 5 3 3 2 2 3 3 2" xfId="14554" xr:uid="{4134745D-7890-44C5-99EA-7515FF5AEFBD}"/>
    <cellStyle name="Normal 5 3 3 2 2 3 4" xfId="9360" xr:uid="{07447062-3C9B-4A41-BE9D-50DE495FF588}"/>
    <cellStyle name="Normal 5 3 3 2 2 3 5" xfId="10337" xr:uid="{8962F1FB-FD83-4E17-B5E4-1E0FBD39CC6C}"/>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2F5B08C4-CE44-4E6C-831D-A7D982F9B44C}"/>
    <cellStyle name="Normal 5 3 3 2 2 4 2 3" xfId="12895" xr:uid="{5716943E-B36D-4839-9110-8E4FB0566335}"/>
    <cellStyle name="Normal 5 3 3 2 2 4 3" xfId="5641" xr:uid="{00000000-0005-0000-0000-000093190000}"/>
    <cellStyle name="Normal 5 3 3 2 2 4 3 2" xfId="14967" xr:uid="{F20A8282-8B06-4E0D-81B0-852571C13319}"/>
    <cellStyle name="Normal 5 3 3 2 2 4 4" xfId="10750" xr:uid="{2D3971C4-1BFD-4242-BFFC-2EB15D0D8497}"/>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D5A3300B-DD13-44F6-9E60-C28DB37BBC62}"/>
    <cellStyle name="Normal 5 3 3 2 2 5 2 3" xfId="13308" xr:uid="{843D1005-AE60-41F8-B4C1-28DBB72B687D}"/>
    <cellStyle name="Normal 5 3 3 2 2 5 3" xfId="6054" xr:uid="{00000000-0005-0000-0000-000097190000}"/>
    <cellStyle name="Normal 5 3 3 2 2 5 3 2" xfId="15380" xr:uid="{54440535-A8E6-4D0B-800D-4369A531846A}"/>
    <cellStyle name="Normal 5 3 3 2 2 5 4" xfId="11163" xr:uid="{E129360B-0AFE-4F89-9342-934C41440CCD}"/>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0DFA2CF6-E872-4082-BAF4-1F45D62C177D}"/>
    <cellStyle name="Normal 5 3 3 2 2 6 2 3" xfId="13721" xr:uid="{95FFDE93-AC07-4F4C-A2F0-137AB1B42313}"/>
    <cellStyle name="Normal 5 3 3 2 2 6 3" xfId="6467" xr:uid="{00000000-0005-0000-0000-00009B190000}"/>
    <cellStyle name="Normal 5 3 3 2 2 6 3 2" xfId="15793" xr:uid="{851D89B3-CDDD-4EEA-80D5-5947BF1146C2}"/>
    <cellStyle name="Normal 5 3 3 2 2 6 4" xfId="11576" xr:uid="{11E9B42C-9129-4284-BD00-D10379CC9493}"/>
    <cellStyle name="Normal 5 3 3 2 2 7" xfId="2597" xr:uid="{00000000-0005-0000-0000-00009C190000}"/>
    <cellStyle name="Normal 5 3 3 2 2 7 2" xfId="6880" xr:uid="{00000000-0005-0000-0000-00009D190000}"/>
    <cellStyle name="Normal 5 3 3 2 2 7 2 2" xfId="16206" xr:uid="{2AE17D12-4CFE-4CC1-A5FD-3462707779A8}"/>
    <cellStyle name="Normal 5 3 3 2 2 7 3" xfId="11989" xr:uid="{F87A146E-9E3A-40A8-A53C-6239F06A21EC}"/>
    <cellStyle name="Normal 5 3 3 2 2 8" xfId="4815" xr:uid="{00000000-0005-0000-0000-00009E190000}"/>
    <cellStyle name="Normal 5 3 3 2 2 8 2" xfId="14141" xr:uid="{1404188C-E29F-4403-9BED-A51C670918EE}"/>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1081C55A-8D30-4983-8F84-D876C9A51A88}"/>
    <cellStyle name="Normal 5 3 3 2 3 2 2 3" xfId="12484" xr:uid="{BFFFE50A-3C14-4E9F-A095-6E1DA32DEB12}"/>
    <cellStyle name="Normal 5 3 3 2 3 2 3" xfId="5230" xr:uid="{00000000-0005-0000-0000-0000A3190000}"/>
    <cellStyle name="Normal 5 3 3 2 3 2 3 2" xfId="14556" xr:uid="{981851BB-770A-4DB2-B98B-84663732D087}"/>
    <cellStyle name="Normal 5 3 3 2 3 2 4" xfId="9464" xr:uid="{6A182EEF-0879-47AD-839A-17D560B4AF3D}"/>
    <cellStyle name="Normal 5 3 3 2 3 2 5" xfId="10339" xr:uid="{49D0F6DF-3815-4530-9717-A09AE7D71F9A}"/>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D7D592F4-B2E0-499C-A983-85B853361978}"/>
    <cellStyle name="Normal 5 3 3 2 3 3 2 3" xfId="12897" xr:uid="{D527B68E-C1AA-478E-970F-5750ACC8E481}"/>
    <cellStyle name="Normal 5 3 3 2 3 3 3" xfId="5643" xr:uid="{00000000-0005-0000-0000-0000A7190000}"/>
    <cellStyle name="Normal 5 3 3 2 3 3 3 2" xfId="14969" xr:uid="{6EBEC767-398B-4D59-B685-70AF7CA61135}"/>
    <cellStyle name="Normal 5 3 3 2 3 3 4" xfId="10752" xr:uid="{7247E75F-9195-4C93-B5D9-FA7E4FBCB739}"/>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41757402-6E1F-4A42-AB51-2A82DC203DE4}"/>
    <cellStyle name="Normal 5 3 3 2 3 4 2 3" xfId="13310" xr:uid="{A257F4DE-73F0-430A-A6C6-9B3778D8962C}"/>
    <cellStyle name="Normal 5 3 3 2 3 4 3" xfId="6056" xr:uid="{00000000-0005-0000-0000-0000AB190000}"/>
    <cellStyle name="Normal 5 3 3 2 3 4 3 2" xfId="15382" xr:uid="{E7FF0BC3-A7B4-4026-BF0A-9436A0B7507F}"/>
    <cellStyle name="Normal 5 3 3 2 3 4 4" xfId="11165" xr:uid="{5C0EB956-AE03-4F8A-B1B3-C11CFBA88A7B}"/>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F65611AA-DD90-40E8-9967-161BF33AF79E}"/>
    <cellStyle name="Normal 5 3 3 2 3 5 2 3" xfId="13723" xr:uid="{4D5B489A-1248-4AAD-AC38-38030DE4D109}"/>
    <cellStyle name="Normal 5 3 3 2 3 5 3" xfId="6469" xr:uid="{00000000-0005-0000-0000-0000AF190000}"/>
    <cellStyle name="Normal 5 3 3 2 3 5 3 2" xfId="15795" xr:uid="{AC86DAE9-002F-41FC-9DA6-C4320083BDB4}"/>
    <cellStyle name="Normal 5 3 3 2 3 5 4" xfId="11578" xr:uid="{9785B666-832D-43A3-8F55-DDF1A0982164}"/>
    <cellStyle name="Normal 5 3 3 2 3 6" xfId="2599" xr:uid="{00000000-0005-0000-0000-0000B0190000}"/>
    <cellStyle name="Normal 5 3 3 2 3 6 2" xfId="6882" xr:uid="{00000000-0005-0000-0000-0000B1190000}"/>
    <cellStyle name="Normal 5 3 3 2 3 6 2 2" xfId="16208" xr:uid="{7617C17B-96BA-4F2E-93F0-C88366CBC2C4}"/>
    <cellStyle name="Normal 5 3 3 2 3 6 3" xfId="11991" xr:uid="{924744E7-61F6-4C1F-BF68-BB58AC2B0FF7}"/>
    <cellStyle name="Normal 5 3 3 2 3 7" xfId="4817" xr:uid="{00000000-0005-0000-0000-0000B2190000}"/>
    <cellStyle name="Normal 5 3 3 2 3 7 2" xfId="14143" xr:uid="{C1A5C24E-7BFB-43B2-AF18-E567D99B6239}"/>
    <cellStyle name="Normal 5 3 3 2 3 8" xfId="9039" xr:uid="{84D80CE6-A0CA-4841-8673-26EA7EC6806D}"/>
    <cellStyle name="Normal 5 3 3 2 3 9" xfId="9926" xr:uid="{E0FD56C3-B350-41F5-A1B5-5E8DB323AD75}"/>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8ED6A5EB-76BA-4D66-B08A-6323CD7C3EF3}"/>
    <cellStyle name="Normal 5 3 3 2 4 2 3" xfId="12481" xr:uid="{71ABFBBF-C3FD-401D-9331-AEABD6DCEF49}"/>
    <cellStyle name="Normal 5 3 3 2 4 3" xfId="5227" xr:uid="{00000000-0005-0000-0000-0000B6190000}"/>
    <cellStyle name="Normal 5 3 3 2 4 3 2" xfId="14553" xr:uid="{61057FCC-AEBD-4F9A-889B-DB9A3266D85C}"/>
    <cellStyle name="Normal 5 3 3 2 4 4" xfId="9257" xr:uid="{E6656214-6E5B-491F-B1E3-227CB6568726}"/>
    <cellStyle name="Normal 5 3 3 2 4 5" xfId="10336" xr:uid="{AA32E05B-280F-4A2F-ACCB-3ABFB7F48F0B}"/>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311E878F-F5CB-424D-8330-FB7EF8F3BC0A}"/>
    <cellStyle name="Normal 5 3 3 2 5 2 3" xfId="12894" xr:uid="{B038B2EC-D411-4E37-998C-D8D81852A538}"/>
    <cellStyle name="Normal 5 3 3 2 5 3" xfId="5640" xr:uid="{00000000-0005-0000-0000-0000BA190000}"/>
    <cellStyle name="Normal 5 3 3 2 5 3 2" xfId="14966" xr:uid="{2C27637E-18EF-4346-97A8-406360E9D90E}"/>
    <cellStyle name="Normal 5 3 3 2 5 4" xfId="10749" xr:uid="{1729739D-0B15-40A3-A48F-D3124629CBA2}"/>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B452A5D0-E9D5-4B07-A2E6-218A1771973E}"/>
    <cellStyle name="Normal 5 3 3 2 6 2 3" xfId="13307" xr:uid="{D45BC5C1-1E20-47A2-8050-9F8E0B8D6BCE}"/>
    <cellStyle name="Normal 5 3 3 2 6 3" xfId="6053" xr:uid="{00000000-0005-0000-0000-0000BE190000}"/>
    <cellStyle name="Normal 5 3 3 2 6 3 2" xfId="15379" xr:uid="{9E7C490A-D104-4CAD-A5B9-327012C6FA07}"/>
    <cellStyle name="Normal 5 3 3 2 6 4" xfId="11162" xr:uid="{41F9C071-EA49-42B3-9F48-D8D5E4330EB9}"/>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12F5289F-3C31-462A-A32D-12F5039B4FFA}"/>
    <cellStyle name="Normal 5 3 3 2 7 2 3" xfId="13720" xr:uid="{E8AA1BB7-86E2-47B4-872D-23D31EF44B6A}"/>
    <cellStyle name="Normal 5 3 3 2 7 3" xfId="6466" xr:uid="{00000000-0005-0000-0000-0000C2190000}"/>
    <cellStyle name="Normal 5 3 3 2 7 3 2" xfId="15792" xr:uid="{1E41CC31-748C-4154-B39E-D2C0AEF5B929}"/>
    <cellStyle name="Normal 5 3 3 2 7 4" xfId="11575" xr:uid="{FD716A7A-417B-4506-9AF4-B931D42AA872}"/>
    <cellStyle name="Normal 5 3 3 2 8" xfId="2596" xr:uid="{00000000-0005-0000-0000-0000C3190000}"/>
    <cellStyle name="Normal 5 3 3 2 8 2" xfId="6879" xr:uid="{00000000-0005-0000-0000-0000C4190000}"/>
    <cellStyle name="Normal 5 3 3 2 8 2 2" xfId="16205" xr:uid="{A24BFF3A-CC06-4744-8778-0071BCD68F19}"/>
    <cellStyle name="Normal 5 3 3 2 8 3" xfId="11988" xr:uid="{A08B08A5-2F0C-42B9-BC0D-79094137DB2F}"/>
    <cellStyle name="Normal 5 3 3 2 9" xfId="4814" xr:uid="{00000000-0005-0000-0000-0000C5190000}"/>
    <cellStyle name="Normal 5 3 3 2 9 2" xfId="14140" xr:uid="{D21ADA06-695B-4711-91F7-F810FE59B0D5}"/>
    <cellStyle name="Normal 5 3 3 3" xfId="446" xr:uid="{00000000-0005-0000-0000-0000C6190000}"/>
    <cellStyle name="Normal 5 3 3 3 10" xfId="9927" xr:uid="{829835BF-F277-44A5-A7BB-73734DA3EE7C}"/>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C38605CE-6357-44B6-A6A8-CA6244BEBA4F}"/>
    <cellStyle name="Normal 5 3 3 3 2 2 2 3" xfId="12486" xr:uid="{AF7A07C8-0E9C-40F0-BA3B-482B9629F9C9}"/>
    <cellStyle name="Normal 5 3 3 3 2 2 3" xfId="5232" xr:uid="{00000000-0005-0000-0000-0000CB190000}"/>
    <cellStyle name="Normal 5 3 3 3 2 2 3 2" xfId="14558" xr:uid="{0F02244B-695F-453D-9CDD-CEF294BB5492}"/>
    <cellStyle name="Normal 5 3 3 3 2 2 4" xfId="9517" xr:uid="{EA62A3B1-8ED5-4A6F-ACE0-B924BC16AA9E}"/>
    <cellStyle name="Normal 5 3 3 3 2 2 5" xfId="10341" xr:uid="{821969F5-0294-41B8-8C4F-FCA5F6FB0661}"/>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287294BC-09C2-49A8-9AA4-AFF0475DFC0A}"/>
    <cellStyle name="Normal 5 3 3 3 2 3 2 3" xfId="12899" xr:uid="{BAAA50BF-0131-4C77-A8AD-D088F02C68D0}"/>
    <cellStyle name="Normal 5 3 3 3 2 3 3" xfId="5645" xr:uid="{00000000-0005-0000-0000-0000CF190000}"/>
    <cellStyle name="Normal 5 3 3 3 2 3 3 2" xfId="14971" xr:uid="{1ACD4EB4-0605-4ACB-8955-EA514F372CF8}"/>
    <cellStyle name="Normal 5 3 3 3 2 3 4" xfId="10754" xr:uid="{890FCCFA-2772-41D3-81DE-7BDA11D294ED}"/>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5A268E3B-CD68-49FD-A79C-C22B46684517}"/>
    <cellStyle name="Normal 5 3 3 3 2 4 2 3" xfId="13312" xr:uid="{F4D7BEAA-0539-497D-B12C-9B28124C841F}"/>
    <cellStyle name="Normal 5 3 3 3 2 4 3" xfId="6058" xr:uid="{00000000-0005-0000-0000-0000D3190000}"/>
    <cellStyle name="Normal 5 3 3 3 2 4 3 2" xfId="15384" xr:uid="{7156325C-F6B1-4A7F-8717-DC5DE6FADBD0}"/>
    <cellStyle name="Normal 5 3 3 3 2 4 4" xfId="11167" xr:uid="{E4BB2E31-CBC0-4681-B142-93027C075427}"/>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6A7F6C1E-A494-432C-B598-414BE79CDB84}"/>
    <cellStyle name="Normal 5 3 3 3 2 5 2 3" xfId="13725" xr:uid="{33998644-F2FF-487B-85AE-3BD2DFBA8194}"/>
    <cellStyle name="Normal 5 3 3 3 2 5 3" xfId="6471" xr:uid="{00000000-0005-0000-0000-0000D7190000}"/>
    <cellStyle name="Normal 5 3 3 3 2 5 3 2" xfId="15797" xr:uid="{0F5EBBFA-1DB6-4622-931A-26BFDCBF5379}"/>
    <cellStyle name="Normal 5 3 3 3 2 5 4" xfId="11580" xr:uid="{54043FB2-2D06-4605-87C4-D159BDE41958}"/>
    <cellStyle name="Normal 5 3 3 3 2 6" xfId="2601" xr:uid="{00000000-0005-0000-0000-0000D8190000}"/>
    <cellStyle name="Normal 5 3 3 3 2 6 2" xfId="6884" xr:uid="{00000000-0005-0000-0000-0000D9190000}"/>
    <cellStyle name="Normal 5 3 3 3 2 6 2 2" xfId="16210" xr:uid="{70C958DD-F16B-4227-BF55-F8CF066EC931}"/>
    <cellStyle name="Normal 5 3 3 3 2 6 3" xfId="11993" xr:uid="{0AAD15E2-FFFB-4AE1-90BD-872B329A6CB8}"/>
    <cellStyle name="Normal 5 3 3 3 2 7" xfId="4819" xr:uid="{00000000-0005-0000-0000-0000DA190000}"/>
    <cellStyle name="Normal 5 3 3 3 2 7 2" xfId="14145" xr:uid="{1E6BA65A-370E-41D0-8AC2-D854C989C1F0}"/>
    <cellStyle name="Normal 5 3 3 3 2 8" xfId="9092" xr:uid="{A018BC5E-3880-4BA4-8CFB-322C89A13B5F}"/>
    <cellStyle name="Normal 5 3 3 3 2 9" xfId="9928" xr:uid="{9C7BE2A1-5A0B-42A0-B1A7-12EA212AD681}"/>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BE57B4E3-412E-4B34-97E3-E396B6F37187}"/>
    <cellStyle name="Normal 5 3 3 3 3 2 3" xfId="12485" xr:uid="{9DEACCAF-3899-43B5-86B6-1667DCB3EE15}"/>
    <cellStyle name="Normal 5 3 3 3 3 3" xfId="5231" xr:uid="{00000000-0005-0000-0000-0000DE190000}"/>
    <cellStyle name="Normal 5 3 3 3 3 3 2" xfId="14557" xr:uid="{7272AA7F-F264-4BCB-A1FC-EB8EBC1438A4}"/>
    <cellStyle name="Normal 5 3 3 3 3 4" xfId="9310" xr:uid="{D169C31A-17C5-4934-97DF-D90479FD2654}"/>
    <cellStyle name="Normal 5 3 3 3 3 5" xfId="10340" xr:uid="{806CA082-67FB-443C-9217-2F750806165F}"/>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97F7FEF2-6798-4378-BA8C-D0FCC8A07618}"/>
    <cellStyle name="Normal 5 3 3 3 4 2 3" xfId="12898" xr:uid="{789EE89A-9464-423A-AA1E-7FDF966EB1E0}"/>
    <cellStyle name="Normal 5 3 3 3 4 3" xfId="5644" xr:uid="{00000000-0005-0000-0000-0000E2190000}"/>
    <cellStyle name="Normal 5 3 3 3 4 3 2" xfId="14970" xr:uid="{5BB7A3F9-C87D-4F88-AFD6-84CCB23EDB42}"/>
    <cellStyle name="Normal 5 3 3 3 4 4" xfId="10753" xr:uid="{BD001029-88CB-4AEC-BA93-EB148A97B1B8}"/>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88741BEE-F434-413C-942D-FB1F63E453A0}"/>
    <cellStyle name="Normal 5 3 3 3 5 2 3" xfId="13311" xr:uid="{4F96A474-A947-424C-834A-AC1EB88A2324}"/>
    <cellStyle name="Normal 5 3 3 3 5 3" xfId="6057" xr:uid="{00000000-0005-0000-0000-0000E6190000}"/>
    <cellStyle name="Normal 5 3 3 3 5 3 2" xfId="15383" xr:uid="{96F34EBD-6BBD-49DB-834B-B2673BFE887E}"/>
    <cellStyle name="Normal 5 3 3 3 5 4" xfId="11166" xr:uid="{40DC2043-085C-497A-9527-68D581932568}"/>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E8FB3BFD-6091-46FB-B83D-D88049666217}"/>
    <cellStyle name="Normal 5 3 3 3 6 2 3" xfId="13724" xr:uid="{FAFCD580-5BEC-43FC-A071-4A2E558B6F99}"/>
    <cellStyle name="Normal 5 3 3 3 6 3" xfId="6470" xr:uid="{00000000-0005-0000-0000-0000EA190000}"/>
    <cellStyle name="Normal 5 3 3 3 6 3 2" xfId="15796" xr:uid="{DE37D2F6-9CF4-4A43-AE4B-C4665E68BFC5}"/>
    <cellStyle name="Normal 5 3 3 3 6 4" xfId="11579" xr:uid="{EC7CF611-BEA0-4BBF-B6C0-5D69164BE3DA}"/>
    <cellStyle name="Normal 5 3 3 3 7" xfId="2600" xr:uid="{00000000-0005-0000-0000-0000EB190000}"/>
    <cellStyle name="Normal 5 3 3 3 7 2" xfId="6883" xr:uid="{00000000-0005-0000-0000-0000EC190000}"/>
    <cellStyle name="Normal 5 3 3 3 7 2 2" xfId="16209" xr:uid="{31C9B6AD-C275-427B-90BC-4B131ADEDCCB}"/>
    <cellStyle name="Normal 5 3 3 3 7 3" xfId="11992" xr:uid="{E96E2669-80E1-4754-B65C-CE961F75F61C}"/>
    <cellStyle name="Normal 5 3 3 3 8" xfId="4818" xr:uid="{00000000-0005-0000-0000-0000ED190000}"/>
    <cellStyle name="Normal 5 3 3 3 8 2" xfId="14144" xr:uid="{99EB75D5-5A5B-4471-8198-588B44847B3C}"/>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30C18EB6-6CD0-495A-9B48-EC0140BB56FB}"/>
    <cellStyle name="Normal 5 3 3 4 2 2 3" xfId="12487" xr:uid="{721CA63F-CDD0-450A-8606-A8888C0647E5}"/>
    <cellStyle name="Normal 5 3 3 4 2 3" xfId="5233" xr:uid="{00000000-0005-0000-0000-0000F2190000}"/>
    <cellStyle name="Normal 5 3 3 4 2 3 2" xfId="14559" xr:uid="{940FA8E3-808F-4447-9CCB-75D3254BD08A}"/>
    <cellStyle name="Normal 5 3 3 4 2 4" xfId="9414" xr:uid="{BD781A4C-FDA7-4D11-87F3-3D38EC19B37A}"/>
    <cellStyle name="Normal 5 3 3 4 2 5" xfId="10342" xr:uid="{8B092DD1-F1D3-4CDD-985D-014C4F24E733}"/>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248CDE10-D695-423B-B918-07CB630F22AC}"/>
    <cellStyle name="Normal 5 3 3 4 3 2 3" xfId="12900" xr:uid="{34DAF13C-CFF5-41B4-9969-7B82802D4BCD}"/>
    <cellStyle name="Normal 5 3 3 4 3 3" xfId="5646" xr:uid="{00000000-0005-0000-0000-0000F6190000}"/>
    <cellStyle name="Normal 5 3 3 4 3 3 2" xfId="14972" xr:uid="{D225D7A4-4A12-469A-B11E-BA8C7E9EF354}"/>
    <cellStyle name="Normal 5 3 3 4 3 4" xfId="10755" xr:uid="{43C00415-B19E-4BD6-80C8-052C2E4A71F9}"/>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B06FCA65-7770-4A34-BC73-F6CC11D95C5B}"/>
    <cellStyle name="Normal 5 3 3 4 4 2 3" xfId="13313" xr:uid="{229440C5-7E04-42CF-9C94-CC2886AF88B6}"/>
    <cellStyle name="Normal 5 3 3 4 4 3" xfId="6059" xr:uid="{00000000-0005-0000-0000-0000FA190000}"/>
    <cellStyle name="Normal 5 3 3 4 4 3 2" xfId="15385" xr:uid="{97A9FEC3-9820-478B-9BA2-C2731867E1D1}"/>
    <cellStyle name="Normal 5 3 3 4 4 4" xfId="11168" xr:uid="{772DCA24-5A17-42C5-92AC-CEDDCB1D7A75}"/>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9E832141-6F23-4C11-B2BA-631D871DD2A1}"/>
    <cellStyle name="Normal 5 3 3 4 5 2 3" xfId="13726" xr:uid="{CA087EE6-5CB5-4374-BD69-4AFD8A0653E1}"/>
    <cellStyle name="Normal 5 3 3 4 5 3" xfId="6472" xr:uid="{00000000-0005-0000-0000-0000FE190000}"/>
    <cellStyle name="Normal 5 3 3 4 5 3 2" xfId="15798" xr:uid="{4BC5A0C9-D888-464C-82F9-D8E7629246B5}"/>
    <cellStyle name="Normal 5 3 3 4 5 4" xfId="11581" xr:uid="{6B220048-5D1E-42F5-9C72-675BBF085BB7}"/>
    <cellStyle name="Normal 5 3 3 4 6" xfId="2602" xr:uid="{00000000-0005-0000-0000-0000FF190000}"/>
    <cellStyle name="Normal 5 3 3 4 6 2" xfId="6885" xr:uid="{00000000-0005-0000-0000-0000001A0000}"/>
    <cellStyle name="Normal 5 3 3 4 6 2 2" xfId="16211" xr:uid="{0715930C-FD85-4F8F-A15F-4CB00DAE6787}"/>
    <cellStyle name="Normal 5 3 3 4 6 3" xfId="11994" xr:uid="{1F0EFCDA-D8AF-4B9F-8F03-8D29F911FCA1}"/>
    <cellStyle name="Normal 5 3 3 4 7" xfId="4820" xr:uid="{00000000-0005-0000-0000-0000011A0000}"/>
    <cellStyle name="Normal 5 3 3 4 7 2" xfId="14146" xr:uid="{CF617668-5DC0-4E04-A5B8-733E7FCB5FF6}"/>
    <cellStyle name="Normal 5 3 3 4 8" xfId="8989" xr:uid="{20FA1483-98E6-46C4-B00B-4EAF7957981D}"/>
    <cellStyle name="Normal 5 3 3 4 9" xfId="9929" xr:uid="{09125D1F-9B90-42CB-9E87-2B225B7C6115}"/>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DFB77744-A881-4BD7-950F-FC7B5D453722}"/>
    <cellStyle name="Normal 5 3 3 5 2 3" xfId="12480" xr:uid="{72B6DBB1-F2DE-4892-A5F1-A1EE5227AC58}"/>
    <cellStyle name="Normal 5 3 3 5 3" xfId="5226" xr:uid="{00000000-0005-0000-0000-0000051A0000}"/>
    <cellStyle name="Normal 5 3 3 5 3 2" xfId="14552" xr:uid="{CE9C24DA-6B90-40ED-B632-6C8A5B802AA8}"/>
    <cellStyle name="Normal 5 3 3 5 4" xfId="9206" xr:uid="{CA749CBB-EAB5-483B-862D-D7B95A23D45C}"/>
    <cellStyle name="Normal 5 3 3 5 5" xfId="10335" xr:uid="{1E059A15-FC49-432D-9D84-F2E17F9B1463}"/>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F5C0AA4D-C1BA-4098-BFC5-4E580DD1565E}"/>
    <cellStyle name="Normal 5 3 3 6 2 3" xfId="12893" xr:uid="{365DE9FA-8C38-4742-82F2-BE84C0256367}"/>
    <cellStyle name="Normal 5 3 3 6 3" xfId="5639" xr:uid="{00000000-0005-0000-0000-0000091A0000}"/>
    <cellStyle name="Normal 5 3 3 6 3 2" xfId="14965" xr:uid="{CCAD718E-ED25-4774-B3F0-6C6824E3B20B}"/>
    <cellStyle name="Normal 5 3 3 6 4" xfId="10748" xr:uid="{28C3A6A5-FF1D-4A79-AA28-723A066C243D}"/>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732216B3-070E-4814-BC84-E9268AAE7FDF}"/>
    <cellStyle name="Normal 5 3 3 7 2 3" xfId="13306" xr:uid="{44D2D612-71E9-4CE6-B59A-9B623D236D53}"/>
    <cellStyle name="Normal 5 3 3 7 3" xfId="6052" xr:uid="{00000000-0005-0000-0000-00000D1A0000}"/>
    <cellStyle name="Normal 5 3 3 7 3 2" xfId="15378" xr:uid="{0E0B7B8A-BF14-43F5-990A-8F1EFA1B8671}"/>
    <cellStyle name="Normal 5 3 3 7 4" xfId="11161" xr:uid="{8C5D2F1B-A5D2-4A3F-ABC1-6FF2C2443287}"/>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B23DF257-9E2D-4EDE-8155-678E5DAEC4EA}"/>
    <cellStyle name="Normal 5 3 3 8 2 3" xfId="13719" xr:uid="{0E5C28F9-B9E5-4E15-91CE-D3ECBF69873D}"/>
    <cellStyle name="Normal 5 3 3 8 3" xfId="6465" xr:uid="{00000000-0005-0000-0000-0000111A0000}"/>
    <cellStyle name="Normal 5 3 3 8 3 2" xfId="15791" xr:uid="{BCE7BCF9-66B3-4FB8-B10A-F9451A0A182F}"/>
    <cellStyle name="Normal 5 3 3 8 4" xfId="11574" xr:uid="{7AFC356C-BC50-4AAB-BEB0-25C3A7307A7B}"/>
    <cellStyle name="Normal 5 3 3 9" xfId="2595" xr:uid="{00000000-0005-0000-0000-0000121A0000}"/>
    <cellStyle name="Normal 5 3 3 9 2" xfId="6878" xr:uid="{00000000-0005-0000-0000-0000131A0000}"/>
    <cellStyle name="Normal 5 3 3 9 2 2" xfId="16204" xr:uid="{AFF06B1F-73AD-49A8-9A73-5178739369A3}"/>
    <cellStyle name="Normal 5 3 3 9 3" xfId="11987" xr:uid="{726E0ED3-7B9A-4CB9-B317-EB33E840808C}"/>
    <cellStyle name="Normal 5 3 4" xfId="449" xr:uid="{00000000-0005-0000-0000-0000141A0000}"/>
    <cellStyle name="Normal 5 3 4 10" xfId="8831" xr:uid="{39AD872D-FBC2-4C4A-B537-79F8014E4247}"/>
    <cellStyle name="Normal 5 3 4 11" xfId="9930" xr:uid="{50A25D1E-1053-4FE0-88CE-F108C142D59C}"/>
    <cellStyle name="Normal 5 3 4 2" xfId="450" xr:uid="{00000000-0005-0000-0000-0000151A0000}"/>
    <cellStyle name="Normal 5 3 4 2 10" xfId="9931" xr:uid="{58DCA34B-D78C-4EE7-8706-3F6EF884BC13}"/>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5DBA1379-5EDF-4C8B-A0B3-20ACC5ECC6A6}"/>
    <cellStyle name="Normal 5 3 4 2 2 2 2 3" xfId="12490" xr:uid="{15BFB511-1997-41CF-9D7D-217A1B4AB8CB}"/>
    <cellStyle name="Normal 5 3 4 2 2 2 3" xfId="5236" xr:uid="{00000000-0005-0000-0000-00001A1A0000}"/>
    <cellStyle name="Normal 5 3 4 2 2 2 3 2" xfId="14562" xr:uid="{963463E0-C768-450E-A8BD-17CFF1DB9B2B}"/>
    <cellStyle name="Normal 5 3 4 2 2 2 4" xfId="9566" xr:uid="{D483C248-9680-462F-989C-42C712CD6EB7}"/>
    <cellStyle name="Normal 5 3 4 2 2 2 5" xfId="10345" xr:uid="{AFCDAB78-664A-470A-82AC-B30A7C3FC436}"/>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09CA1CD7-B26E-4D60-BCDF-E95AE2501CE7}"/>
    <cellStyle name="Normal 5 3 4 2 2 3 2 3" xfId="12903" xr:uid="{07BDEE15-D198-4F4C-8C80-468B7071CBEE}"/>
    <cellStyle name="Normal 5 3 4 2 2 3 3" xfId="5649" xr:uid="{00000000-0005-0000-0000-00001E1A0000}"/>
    <cellStyle name="Normal 5 3 4 2 2 3 3 2" xfId="14975" xr:uid="{652C1E3B-6234-4881-95FF-6EAAA2732713}"/>
    <cellStyle name="Normal 5 3 4 2 2 3 4" xfId="10758" xr:uid="{6CC3D831-3CBE-4B86-A1C6-0BC16F86F9C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A2BE174A-FB8E-4610-AD56-FC37943299FF}"/>
    <cellStyle name="Normal 5 3 4 2 2 4 2 3" xfId="13316" xr:uid="{BD15CA2E-01D6-47EF-950E-8CE5ADA6A31D}"/>
    <cellStyle name="Normal 5 3 4 2 2 4 3" xfId="6062" xr:uid="{00000000-0005-0000-0000-0000221A0000}"/>
    <cellStyle name="Normal 5 3 4 2 2 4 3 2" xfId="15388" xr:uid="{11119AF5-175A-49CC-8B92-8C557CFAED75}"/>
    <cellStyle name="Normal 5 3 4 2 2 4 4" xfId="11171" xr:uid="{7AB7ADDD-BEE3-46E7-914E-ED3CCF62C553}"/>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787904DF-A86C-443F-9B09-A9B0CDEE5B4F}"/>
    <cellStyle name="Normal 5 3 4 2 2 5 2 3" xfId="13729" xr:uid="{E3B68863-9DB9-483C-BC22-8D96D811848E}"/>
    <cellStyle name="Normal 5 3 4 2 2 5 3" xfId="6475" xr:uid="{00000000-0005-0000-0000-0000261A0000}"/>
    <cellStyle name="Normal 5 3 4 2 2 5 3 2" xfId="15801" xr:uid="{DB11974A-6B0E-487D-8996-84DD938355F3}"/>
    <cellStyle name="Normal 5 3 4 2 2 5 4" xfId="11584" xr:uid="{D048DE42-1270-4B14-889B-BA135716FC92}"/>
    <cellStyle name="Normal 5 3 4 2 2 6" xfId="2605" xr:uid="{00000000-0005-0000-0000-0000271A0000}"/>
    <cellStyle name="Normal 5 3 4 2 2 6 2" xfId="6888" xr:uid="{00000000-0005-0000-0000-0000281A0000}"/>
    <cellStyle name="Normal 5 3 4 2 2 6 2 2" xfId="16214" xr:uid="{6A7935D1-9FC4-4194-9ED9-862DFCE7B35E}"/>
    <cellStyle name="Normal 5 3 4 2 2 6 3" xfId="11997" xr:uid="{1B4815B3-C4FB-4405-8D90-F769D0E4362C}"/>
    <cellStyle name="Normal 5 3 4 2 2 7" xfId="4823" xr:uid="{00000000-0005-0000-0000-0000291A0000}"/>
    <cellStyle name="Normal 5 3 4 2 2 7 2" xfId="14149" xr:uid="{A43697D3-21A6-4E08-8179-E0A73B788CEA}"/>
    <cellStyle name="Normal 5 3 4 2 2 8" xfId="9141" xr:uid="{6B63A6D0-0E60-498B-8E53-451D5144533A}"/>
    <cellStyle name="Normal 5 3 4 2 2 9" xfId="9932" xr:uid="{1294AD01-8BF8-49BB-90AF-3A1F87F24D0F}"/>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1821AA08-EF34-41AB-9DA5-63EE8294CB0F}"/>
    <cellStyle name="Normal 5 3 4 2 3 2 3" xfId="12489" xr:uid="{6C4FEC48-80B4-43A5-ABE6-A9FFA609AF7F}"/>
    <cellStyle name="Normal 5 3 4 2 3 3" xfId="5235" xr:uid="{00000000-0005-0000-0000-00002D1A0000}"/>
    <cellStyle name="Normal 5 3 4 2 3 3 2" xfId="14561" xr:uid="{625EFD31-7C2E-425D-A1FA-3B4C13FE0300}"/>
    <cellStyle name="Normal 5 3 4 2 3 4" xfId="9359" xr:uid="{FAC41203-2BC4-411F-9296-10781BA4F1AB}"/>
    <cellStyle name="Normal 5 3 4 2 3 5" xfId="10344" xr:uid="{F13548AD-6B01-45FC-B06C-6945C82E2175}"/>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A7C40AA2-155E-4BAD-9DC6-0AB149ED8B08}"/>
    <cellStyle name="Normal 5 3 4 2 4 2 3" xfId="12902" xr:uid="{B09007C4-079F-4AD3-8CBA-BE3B07101E71}"/>
    <cellStyle name="Normal 5 3 4 2 4 3" xfId="5648" xr:uid="{00000000-0005-0000-0000-0000311A0000}"/>
    <cellStyle name="Normal 5 3 4 2 4 3 2" xfId="14974" xr:uid="{8F96CA87-C9B4-4163-B364-7A7FEC2B1376}"/>
    <cellStyle name="Normal 5 3 4 2 4 4" xfId="10757" xr:uid="{2D830641-090D-4330-8070-9522F12A8EF8}"/>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BD9D7C76-06A7-4688-AD98-96FBDDCE8E7C}"/>
    <cellStyle name="Normal 5 3 4 2 5 2 3" xfId="13315" xr:uid="{2F669D08-1F34-4B3E-8447-66842591969C}"/>
    <cellStyle name="Normal 5 3 4 2 5 3" xfId="6061" xr:uid="{00000000-0005-0000-0000-0000351A0000}"/>
    <cellStyle name="Normal 5 3 4 2 5 3 2" xfId="15387" xr:uid="{A06E4AF8-7F74-4BCB-9EB9-C8E22C7ABAE5}"/>
    <cellStyle name="Normal 5 3 4 2 5 4" xfId="11170" xr:uid="{99AA9EAC-920E-4799-B504-48FFF3CF2FFB}"/>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D3530A0A-6450-4236-8532-95947B6DE8A3}"/>
    <cellStyle name="Normal 5 3 4 2 6 2 3" xfId="13728" xr:uid="{AB4452FC-8BEE-463F-ACBC-3AB0A8E52650}"/>
    <cellStyle name="Normal 5 3 4 2 6 3" xfId="6474" xr:uid="{00000000-0005-0000-0000-0000391A0000}"/>
    <cellStyle name="Normal 5 3 4 2 6 3 2" xfId="15800" xr:uid="{C16B54A3-6A20-43D9-9BBF-49B3596EC369}"/>
    <cellStyle name="Normal 5 3 4 2 6 4" xfId="11583" xr:uid="{0308B5DA-E8CA-443B-9305-6AFAD46835E1}"/>
    <cellStyle name="Normal 5 3 4 2 7" xfId="2604" xr:uid="{00000000-0005-0000-0000-00003A1A0000}"/>
    <cellStyle name="Normal 5 3 4 2 7 2" xfId="6887" xr:uid="{00000000-0005-0000-0000-00003B1A0000}"/>
    <cellStyle name="Normal 5 3 4 2 7 2 2" xfId="16213" xr:uid="{8A3F1BEB-14D2-4A86-A391-146E5CD631CE}"/>
    <cellStyle name="Normal 5 3 4 2 7 3" xfId="11996" xr:uid="{E2DE2F7B-543E-4853-BBCA-4B44D49749D4}"/>
    <cellStyle name="Normal 5 3 4 2 8" xfId="4822" xr:uid="{00000000-0005-0000-0000-00003C1A0000}"/>
    <cellStyle name="Normal 5 3 4 2 8 2" xfId="14148" xr:uid="{55DABD90-0995-4F07-83F3-859770FA6931}"/>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BBE9C45E-D9FE-4ADD-AFDF-B2061D6E719B}"/>
    <cellStyle name="Normal 5 3 4 3 2 2 3" xfId="12491" xr:uid="{0BCBD821-6092-412C-B330-43FCE156659C}"/>
    <cellStyle name="Normal 5 3 4 3 2 3" xfId="5237" xr:uid="{00000000-0005-0000-0000-0000411A0000}"/>
    <cellStyle name="Normal 5 3 4 3 2 3 2" xfId="14563" xr:uid="{48AD1A19-21FF-43CE-B311-A1EB1FE281D5}"/>
    <cellStyle name="Normal 5 3 4 3 2 4" xfId="9463" xr:uid="{1CC38E89-013B-404F-9F3E-11BABC37F656}"/>
    <cellStyle name="Normal 5 3 4 3 2 5" xfId="10346" xr:uid="{B41E3BE4-54A1-4573-B3E9-B3F5CE8F83B4}"/>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11425DC8-C6CF-4632-8C6A-1F27182053F8}"/>
    <cellStyle name="Normal 5 3 4 3 3 2 3" xfId="12904" xr:uid="{8B0309D2-4BCE-48A6-87A0-7AD308998F7F}"/>
    <cellStyle name="Normal 5 3 4 3 3 3" xfId="5650" xr:uid="{00000000-0005-0000-0000-0000451A0000}"/>
    <cellStyle name="Normal 5 3 4 3 3 3 2" xfId="14976" xr:uid="{20DDE095-D746-4110-B04B-DBE63A81E824}"/>
    <cellStyle name="Normal 5 3 4 3 3 4" xfId="10759" xr:uid="{FA54440D-1B03-4DF3-84DA-C4737F19376E}"/>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E595E02E-C5A2-4556-A778-44854838CABB}"/>
    <cellStyle name="Normal 5 3 4 3 4 2 3" xfId="13317" xr:uid="{FABBF4E0-11DC-44A4-AACB-B1708DC83C55}"/>
    <cellStyle name="Normal 5 3 4 3 4 3" xfId="6063" xr:uid="{00000000-0005-0000-0000-0000491A0000}"/>
    <cellStyle name="Normal 5 3 4 3 4 3 2" xfId="15389" xr:uid="{FD20116B-98D3-48CC-AD32-17FEE88B9C30}"/>
    <cellStyle name="Normal 5 3 4 3 4 4" xfId="11172" xr:uid="{1614530B-A088-46E1-9005-A45FD6B7A74F}"/>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2F180FDA-E917-4723-8866-743299224DC1}"/>
    <cellStyle name="Normal 5 3 4 3 5 2 3" xfId="13730" xr:uid="{67601123-4581-4D5D-AFF3-D22771D9A20E}"/>
    <cellStyle name="Normal 5 3 4 3 5 3" xfId="6476" xr:uid="{00000000-0005-0000-0000-00004D1A0000}"/>
    <cellStyle name="Normal 5 3 4 3 5 3 2" xfId="15802" xr:uid="{CE12525C-86EC-4D13-A494-89F6769BDA42}"/>
    <cellStyle name="Normal 5 3 4 3 5 4" xfId="11585" xr:uid="{F9D2E21D-1BB8-4496-AF32-2F15622A1977}"/>
    <cellStyle name="Normal 5 3 4 3 6" xfId="2606" xr:uid="{00000000-0005-0000-0000-00004E1A0000}"/>
    <cellStyle name="Normal 5 3 4 3 6 2" xfId="6889" xr:uid="{00000000-0005-0000-0000-00004F1A0000}"/>
    <cellStyle name="Normal 5 3 4 3 6 2 2" xfId="16215" xr:uid="{9BEE5C5D-E5B6-4CB8-BE24-55577867F597}"/>
    <cellStyle name="Normal 5 3 4 3 6 3" xfId="11998" xr:uid="{B3AD5EC5-554E-4A40-8752-C3ADB1374153}"/>
    <cellStyle name="Normal 5 3 4 3 7" xfId="4824" xr:uid="{00000000-0005-0000-0000-0000501A0000}"/>
    <cellStyle name="Normal 5 3 4 3 7 2" xfId="14150" xr:uid="{C28CA56B-FEC5-4182-99AD-B071CD8BDE1C}"/>
    <cellStyle name="Normal 5 3 4 3 8" xfId="9038" xr:uid="{15024032-E3C2-4FDD-B674-481D39A836C5}"/>
    <cellStyle name="Normal 5 3 4 3 9" xfId="9933" xr:uid="{DE32E267-87EA-46E1-847D-FCBB120612B3}"/>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9D08C999-7DA8-46EC-8154-A5827BE120DD}"/>
    <cellStyle name="Normal 5 3 4 4 2 3" xfId="12488" xr:uid="{4FBAD8A7-BAAB-4AA6-8457-C466FF41DDC6}"/>
    <cellStyle name="Normal 5 3 4 4 3" xfId="5234" xr:uid="{00000000-0005-0000-0000-0000541A0000}"/>
    <cellStyle name="Normal 5 3 4 4 3 2" xfId="14560" xr:uid="{18FCF939-9039-45B5-912D-9CAE579B1581}"/>
    <cellStyle name="Normal 5 3 4 4 4" xfId="9256" xr:uid="{69A14F57-2B46-4294-8CA5-E21858516C25}"/>
    <cellStyle name="Normal 5 3 4 4 5" xfId="10343" xr:uid="{1EEBE74E-DF6B-45CE-9084-3DE43F1A6948}"/>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480B879C-6675-430F-97CF-91AC29AE93B6}"/>
    <cellStyle name="Normal 5 3 4 5 2 3" xfId="12901" xr:uid="{BA69A3D7-7156-4EC1-894E-85B7A1AACA6A}"/>
    <cellStyle name="Normal 5 3 4 5 3" xfId="5647" xr:uid="{00000000-0005-0000-0000-0000581A0000}"/>
    <cellStyle name="Normal 5 3 4 5 3 2" xfId="14973" xr:uid="{1EC44FDF-B4F6-4DB6-BE28-B0C12FB6F9CA}"/>
    <cellStyle name="Normal 5 3 4 5 4" xfId="10756" xr:uid="{8E70BDB5-48D2-4852-BCF5-B6A74FBDE9FF}"/>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D84F3B1E-7735-4423-8E11-5CF654F67230}"/>
    <cellStyle name="Normal 5 3 4 6 2 3" xfId="13314" xr:uid="{47424D75-E720-4A29-A951-26B54444D9FF}"/>
    <cellStyle name="Normal 5 3 4 6 3" xfId="6060" xr:uid="{00000000-0005-0000-0000-00005C1A0000}"/>
    <cellStyle name="Normal 5 3 4 6 3 2" xfId="15386" xr:uid="{B16C772C-EC67-4B4F-8302-44BBFA1F7385}"/>
    <cellStyle name="Normal 5 3 4 6 4" xfId="11169" xr:uid="{093AC027-3F6F-4324-B623-477A523395D5}"/>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37F5885D-3ED7-4EFD-B710-F2AFACB6950C}"/>
    <cellStyle name="Normal 5 3 4 7 2 3" xfId="13727" xr:uid="{A3012F46-97C7-4BDE-87FC-3899B9DA3DD6}"/>
    <cellStyle name="Normal 5 3 4 7 3" xfId="6473" xr:uid="{00000000-0005-0000-0000-0000601A0000}"/>
    <cellStyle name="Normal 5 3 4 7 3 2" xfId="15799" xr:uid="{C0DEEF66-501B-4D12-831E-75CA4E75F6F3}"/>
    <cellStyle name="Normal 5 3 4 7 4" xfId="11582" xr:uid="{A23F1F55-F0F7-4980-B305-B8F473074D66}"/>
    <cellStyle name="Normal 5 3 4 8" xfId="2603" xr:uid="{00000000-0005-0000-0000-0000611A0000}"/>
    <cellStyle name="Normal 5 3 4 8 2" xfId="6886" xr:uid="{00000000-0005-0000-0000-0000621A0000}"/>
    <cellStyle name="Normal 5 3 4 8 2 2" xfId="16212" xr:uid="{E53D6E9D-65AD-4670-A2B6-9E33286F0548}"/>
    <cellStyle name="Normal 5 3 4 8 3" xfId="11995" xr:uid="{06A264F8-61EF-47B3-AAFA-6FE0F1371863}"/>
    <cellStyle name="Normal 5 3 4 9" xfId="4821" xr:uid="{00000000-0005-0000-0000-0000631A0000}"/>
    <cellStyle name="Normal 5 3 4 9 2" xfId="14147" xr:uid="{F1264E39-E9C9-40DE-A034-89567F64C5E7}"/>
    <cellStyle name="Normal 5 3 5" xfId="453" xr:uid="{00000000-0005-0000-0000-0000641A0000}"/>
    <cellStyle name="Normal 5 3 5 10" xfId="9934" xr:uid="{E1184701-FC70-4FDB-A280-A21892FC5BE4}"/>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664CDB7B-6768-4A88-A689-305241352227}"/>
    <cellStyle name="Normal 5 3 5 2 2 2 3" xfId="12493" xr:uid="{551FE084-8F91-462C-A0F1-77D110B2D6FB}"/>
    <cellStyle name="Normal 5 3 5 2 2 3" xfId="5239" xr:uid="{00000000-0005-0000-0000-0000691A0000}"/>
    <cellStyle name="Normal 5 3 5 2 2 3 2" xfId="14565" xr:uid="{39F70114-BEEA-4320-A694-8C0CD71E088C}"/>
    <cellStyle name="Normal 5 3 5 2 2 4" xfId="9485" xr:uid="{E88A0512-4544-44F7-B02F-696DEB177F8E}"/>
    <cellStyle name="Normal 5 3 5 2 2 5" xfId="10348" xr:uid="{0BF98629-CCE9-46CD-B279-38FD33781DB7}"/>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8A960C21-C22B-4D3A-89E9-70820DF0E6EE}"/>
    <cellStyle name="Normal 5 3 5 2 3 2 3" xfId="12906" xr:uid="{BC67E694-FA2C-446F-AF9B-26DB261AE661}"/>
    <cellStyle name="Normal 5 3 5 2 3 3" xfId="5652" xr:uid="{00000000-0005-0000-0000-00006D1A0000}"/>
    <cellStyle name="Normal 5 3 5 2 3 3 2" xfId="14978" xr:uid="{32F0EE6D-4CCB-47C7-8D07-4C08C9E397B8}"/>
    <cellStyle name="Normal 5 3 5 2 3 4" xfId="10761" xr:uid="{3A920256-3966-4B7E-9B23-2977EB03D2BB}"/>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552F80DD-2996-4C23-BD9B-94F168E34175}"/>
    <cellStyle name="Normal 5 3 5 2 4 2 3" xfId="13319" xr:uid="{7650CEDC-5E63-4AA2-A43B-3FF61D4E3785}"/>
    <cellStyle name="Normal 5 3 5 2 4 3" xfId="6065" xr:uid="{00000000-0005-0000-0000-0000711A0000}"/>
    <cellStyle name="Normal 5 3 5 2 4 3 2" xfId="15391" xr:uid="{B7F0C8C7-9DFF-4583-82B9-C5D18B336BE0}"/>
    <cellStyle name="Normal 5 3 5 2 4 4" xfId="11174" xr:uid="{4AE08F05-82EF-4FC3-9E51-E3FD142FB7E5}"/>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C25DF5EF-0803-4AF5-A937-38B709E4855C}"/>
    <cellStyle name="Normal 5 3 5 2 5 2 3" xfId="13732" xr:uid="{3C096B86-E06F-4886-8D56-41DFDBFA0329}"/>
    <cellStyle name="Normal 5 3 5 2 5 3" xfId="6478" xr:uid="{00000000-0005-0000-0000-0000751A0000}"/>
    <cellStyle name="Normal 5 3 5 2 5 3 2" xfId="15804" xr:uid="{F8068A27-0A7D-42E8-819F-7666DABAEC40}"/>
    <cellStyle name="Normal 5 3 5 2 5 4" xfId="11587" xr:uid="{7305ABEF-4F52-4E03-AB7B-C09B80317012}"/>
    <cellStyle name="Normal 5 3 5 2 6" xfId="2608" xr:uid="{00000000-0005-0000-0000-0000761A0000}"/>
    <cellStyle name="Normal 5 3 5 2 6 2" xfId="6891" xr:uid="{00000000-0005-0000-0000-0000771A0000}"/>
    <cellStyle name="Normal 5 3 5 2 6 2 2" xfId="16217" xr:uid="{E1E00B37-7893-4FB1-BF75-0CB76D5E6076}"/>
    <cellStyle name="Normal 5 3 5 2 6 3" xfId="12000" xr:uid="{7C27AD05-3A7C-44D8-BFEB-6CCD8D3A11BD}"/>
    <cellStyle name="Normal 5 3 5 2 7" xfId="4826" xr:uid="{00000000-0005-0000-0000-0000781A0000}"/>
    <cellStyle name="Normal 5 3 5 2 7 2" xfId="14152" xr:uid="{A60FC4D1-67E3-4CD5-AE95-301DDA4AD372}"/>
    <cellStyle name="Normal 5 3 5 2 8" xfId="9060" xr:uid="{D76124DC-5753-46E4-97E7-1D76E6E20EEE}"/>
    <cellStyle name="Normal 5 3 5 2 9" xfId="9935" xr:uid="{9C2865A9-1BE6-46A4-A76B-32148693403F}"/>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4B194C58-1BC9-47C7-A4E1-137F82FE2143}"/>
    <cellStyle name="Normal 5 3 5 3 2 3" xfId="12492" xr:uid="{D42CBBC8-E3F9-48A4-BFA1-C047889782F2}"/>
    <cellStyle name="Normal 5 3 5 3 3" xfId="5238" xr:uid="{00000000-0005-0000-0000-00007C1A0000}"/>
    <cellStyle name="Normal 5 3 5 3 3 2" xfId="14564" xr:uid="{D1C93202-DD93-49DC-B18B-B5EE798B3044}"/>
    <cellStyle name="Normal 5 3 5 3 4" xfId="9278" xr:uid="{6197750A-97CA-41EF-A67C-63E25EE58E9E}"/>
    <cellStyle name="Normal 5 3 5 3 5" xfId="10347" xr:uid="{19DE0D24-BC80-44CB-897B-80A206E745D2}"/>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F3727673-D156-4271-8F9D-06A8061E70AA}"/>
    <cellStyle name="Normal 5 3 5 4 2 3" xfId="12905" xr:uid="{022D0BF6-8290-4545-A832-D2C113FCB98E}"/>
    <cellStyle name="Normal 5 3 5 4 3" xfId="5651" xr:uid="{00000000-0005-0000-0000-0000801A0000}"/>
    <cellStyle name="Normal 5 3 5 4 3 2" xfId="14977" xr:uid="{BDDCCBB9-042D-4EE9-BF44-B2334FB1B5E4}"/>
    <cellStyle name="Normal 5 3 5 4 4" xfId="10760" xr:uid="{C5520020-CF04-45EB-B77C-0FC19E78982F}"/>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ADBA7E4D-0A68-4C59-90CB-1BCABB6DB992}"/>
    <cellStyle name="Normal 5 3 5 5 2 3" xfId="13318" xr:uid="{06B15EE3-A41E-4B40-A500-C19986EB35BB}"/>
    <cellStyle name="Normal 5 3 5 5 3" xfId="6064" xr:uid="{00000000-0005-0000-0000-0000841A0000}"/>
    <cellStyle name="Normal 5 3 5 5 3 2" xfId="15390" xr:uid="{331D5CBC-F3E5-4406-B183-C5527E82FFC2}"/>
    <cellStyle name="Normal 5 3 5 5 4" xfId="11173" xr:uid="{1C7C0D1B-D68D-4A06-8371-711B6FBDF458}"/>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D00A6143-B14A-4BF1-82DF-B8BCD0442E76}"/>
    <cellStyle name="Normal 5 3 5 6 2 3" xfId="13731" xr:uid="{AFF297E3-7F69-4F4F-9AA5-5FEF02AF4CBB}"/>
    <cellStyle name="Normal 5 3 5 6 3" xfId="6477" xr:uid="{00000000-0005-0000-0000-0000881A0000}"/>
    <cellStyle name="Normal 5 3 5 6 3 2" xfId="15803" xr:uid="{4FD80AE4-EAAD-437E-B66B-5F5BB70B0007}"/>
    <cellStyle name="Normal 5 3 5 6 4" xfId="11586" xr:uid="{97AEABC6-F0D8-4770-AB8D-9DDD410CEBAF}"/>
    <cellStyle name="Normal 5 3 5 7" xfId="2607" xr:uid="{00000000-0005-0000-0000-0000891A0000}"/>
    <cellStyle name="Normal 5 3 5 7 2" xfId="6890" xr:uid="{00000000-0005-0000-0000-00008A1A0000}"/>
    <cellStyle name="Normal 5 3 5 7 2 2" xfId="16216" xr:uid="{E050B010-EA95-40D9-B106-062B50FC3C20}"/>
    <cellStyle name="Normal 5 3 5 7 3" xfId="11999" xr:uid="{324923D7-78F4-4087-8237-D5B292A138DE}"/>
    <cellStyle name="Normal 5 3 5 8" xfId="4825" xr:uid="{00000000-0005-0000-0000-00008B1A0000}"/>
    <cellStyle name="Normal 5 3 5 8 2" xfId="14151" xr:uid="{8FB148AE-0D27-45E0-A560-214CD7E0604D}"/>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6CDCC6BE-ED0A-4E23-AD34-F339D2C409B6}"/>
    <cellStyle name="Normal 5 3 6 2 2 3" xfId="12494" xr:uid="{1A359D98-87D7-4986-8C06-4A1930C8D3E9}"/>
    <cellStyle name="Normal 5 3 6 2 3" xfId="5240" xr:uid="{00000000-0005-0000-0000-0000901A0000}"/>
    <cellStyle name="Normal 5 3 6 2 3 2" xfId="14566" xr:uid="{7B5D917B-70E8-4A17-BFB9-1CA75F7D8848}"/>
    <cellStyle name="Normal 5 3 6 2 4" xfId="9394" xr:uid="{040FDD8C-10C9-4583-9A6E-8F76047ECA0C}"/>
    <cellStyle name="Normal 5 3 6 2 5" xfId="10349" xr:uid="{9CB5607B-F983-49D6-878D-DE745494370A}"/>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8209DDA6-5AC8-470E-9D75-314CBA3B54BF}"/>
    <cellStyle name="Normal 5 3 6 3 2 3" xfId="12907" xr:uid="{6F1959E3-1CD6-46C8-B00F-654D298BE4B8}"/>
    <cellStyle name="Normal 5 3 6 3 3" xfId="5653" xr:uid="{00000000-0005-0000-0000-0000941A0000}"/>
    <cellStyle name="Normal 5 3 6 3 3 2" xfId="14979" xr:uid="{D00BFC29-A0E2-4294-8DF2-7B1C5E4487AE}"/>
    <cellStyle name="Normal 5 3 6 3 4" xfId="10762" xr:uid="{392D6D60-42B8-4008-BB08-9A96D5AAEA2E}"/>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6DE46852-468B-4BC8-9432-E501DE4B38DF}"/>
    <cellStyle name="Normal 5 3 6 4 2 3" xfId="13320" xr:uid="{330D06C4-2FB0-43C5-9F0E-97BCD845B741}"/>
    <cellStyle name="Normal 5 3 6 4 3" xfId="6066" xr:uid="{00000000-0005-0000-0000-0000981A0000}"/>
    <cellStyle name="Normal 5 3 6 4 3 2" xfId="15392" xr:uid="{EA581B56-4772-46FA-A984-FA2BCE809C7A}"/>
    <cellStyle name="Normal 5 3 6 4 4" xfId="11175" xr:uid="{9CAB44A2-E33B-4C66-A7D4-EF7B605C48E7}"/>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B8AB5D82-B6E9-4384-9989-01D46161346C}"/>
    <cellStyle name="Normal 5 3 6 5 2 3" xfId="13733" xr:uid="{E583957D-0C6D-43F5-B926-70CC65D6AE76}"/>
    <cellStyle name="Normal 5 3 6 5 3" xfId="6479" xr:uid="{00000000-0005-0000-0000-00009C1A0000}"/>
    <cellStyle name="Normal 5 3 6 5 3 2" xfId="15805" xr:uid="{5F3F4D5C-4E0E-4A19-85E3-164C0B5634E0}"/>
    <cellStyle name="Normal 5 3 6 5 4" xfId="11588" xr:uid="{8EEC5C1D-1E19-4C37-AF10-550D25D9AF4F}"/>
    <cellStyle name="Normal 5 3 6 6" xfId="2609" xr:uid="{00000000-0005-0000-0000-00009D1A0000}"/>
    <cellStyle name="Normal 5 3 6 6 2" xfId="6892" xr:uid="{00000000-0005-0000-0000-00009E1A0000}"/>
    <cellStyle name="Normal 5 3 6 6 2 2" xfId="16218" xr:uid="{2DC5A561-6A51-4AFD-A9FD-21399D0593B4}"/>
    <cellStyle name="Normal 5 3 6 6 3" xfId="12001" xr:uid="{BCCE5881-BEC6-4EE4-BA3F-DFD5D24F9EDE}"/>
    <cellStyle name="Normal 5 3 6 7" xfId="4827" xr:uid="{00000000-0005-0000-0000-00009F1A0000}"/>
    <cellStyle name="Normal 5 3 6 7 2" xfId="14153" xr:uid="{48AD825E-FB5B-41E3-942E-A8B4DF1448DC}"/>
    <cellStyle name="Normal 5 3 6 8" xfId="8969" xr:uid="{FA7ABEAF-BFEA-4D3E-A53B-E23F3117BFD8}"/>
    <cellStyle name="Normal 5 3 6 9" xfId="9936" xr:uid="{025C86D2-F8F3-45E7-A167-E8DC2CB18429}"/>
    <cellStyle name="Normal 5 3 7" xfId="913" xr:uid="{00000000-0005-0000-0000-0000A01A0000}"/>
    <cellStyle name="Normal 5 3 7 2" xfId="3148" xr:uid="{00000000-0005-0000-0000-0000A11A0000}"/>
    <cellStyle name="Normal 5 3 7 2 2" xfId="7370" xr:uid="{00000000-0005-0000-0000-0000A21A0000}"/>
    <cellStyle name="Normal 5 3 7 2 2 2" xfId="16696" xr:uid="{64B63CF2-FDA4-4780-B6C2-AC0425F9E24B}"/>
    <cellStyle name="Normal 5 3 7 2 3" xfId="12479" xr:uid="{E4B90AEE-5858-4C48-98AA-96B4A1EE1D2B}"/>
    <cellStyle name="Normal 5 3 7 3" xfId="5225" xr:uid="{00000000-0005-0000-0000-0000A31A0000}"/>
    <cellStyle name="Normal 5 3 7 3 2" xfId="14551" xr:uid="{877B31E8-79DF-4808-AA8E-DD1DED2D1997}"/>
    <cellStyle name="Normal 5 3 7 4" xfId="9172" xr:uid="{5609ABAF-B913-41DD-9CCE-B28C6A880815}"/>
    <cellStyle name="Normal 5 3 7 5" xfId="10334" xr:uid="{9EAD368E-0B3F-488A-974A-E2F708A0D8AA}"/>
    <cellStyle name="Normal 5 3 8" xfId="1331" xr:uid="{00000000-0005-0000-0000-0000A41A0000}"/>
    <cellStyle name="Normal 5 3 8 2" xfId="3561" xr:uid="{00000000-0005-0000-0000-0000A51A0000}"/>
    <cellStyle name="Normal 5 3 8 2 2" xfId="7783" xr:uid="{00000000-0005-0000-0000-0000A61A0000}"/>
    <cellStyle name="Normal 5 3 8 2 2 2" xfId="17109" xr:uid="{6BED5DF3-197A-413C-B016-3E74350E0F7A}"/>
    <cellStyle name="Normal 5 3 8 2 3" xfId="12892" xr:uid="{A6400FED-DF75-4129-B48D-D08956C5EE07}"/>
    <cellStyle name="Normal 5 3 8 3" xfId="5638" xr:uid="{00000000-0005-0000-0000-0000A71A0000}"/>
    <cellStyle name="Normal 5 3 8 3 2" xfId="14964" xr:uid="{DDCAEAA5-AD88-4CB4-B8CB-37D4C4C19BB2}"/>
    <cellStyle name="Normal 5 3 8 4" xfId="10747" xr:uid="{33A8F3B7-676A-4578-A703-98AFABB0D0AD}"/>
    <cellStyle name="Normal 5 3 9" xfId="1744" xr:uid="{00000000-0005-0000-0000-0000A81A0000}"/>
    <cellStyle name="Normal 5 3 9 2" xfId="3974" xr:uid="{00000000-0005-0000-0000-0000A91A0000}"/>
    <cellStyle name="Normal 5 3 9 2 2" xfId="8196" xr:uid="{00000000-0005-0000-0000-0000AA1A0000}"/>
    <cellStyle name="Normal 5 3 9 2 2 2" xfId="17522" xr:uid="{7AC55225-A719-44B6-BDFA-139B127D0E05}"/>
    <cellStyle name="Normal 5 3 9 2 3" xfId="13305" xr:uid="{604F8A2D-95F6-42E0-830F-F7525095B424}"/>
    <cellStyle name="Normal 5 3 9 3" xfId="6051" xr:uid="{00000000-0005-0000-0000-0000AB1A0000}"/>
    <cellStyle name="Normal 5 3 9 3 2" xfId="15377" xr:uid="{BD878046-A78B-407E-B977-351F740664E8}"/>
    <cellStyle name="Normal 5 3 9 4" xfId="11160" xr:uid="{B2ACF49B-EFA3-473B-8F7C-DD795826C266}"/>
    <cellStyle name="Normal 5 4" xfId="456" xr:uid="{00000000-0005-0000-0000-0000AC1A0000}"/>
    <cellStyle name="Normal 5 4 10" xfId="4828" xr:uid="{00000000-0005-0000-0000-0000AD1A0000}"/>
    <cellStyle name="Normal 5 4 10 2" xfId="14154" xr:uid="{DDEB515F-57BF-4EFE-A41C-4B63CC3CE403}"/>
    <cellStyle name="Normal 5 4 11" xfId="8773" xr:uid="{50472F80-32FD-428C-B078-8DE338D6CA16}"/>
    <cellStyle name="Normal 5 4 12" xfId="9937" xr:uid="{C896C2E8-194E-4862-AFBB-047EF3FD7E76}"/>
    <cellStyle name="Normal 5 4 2" xfId="457" xr:uid="{00000000-0005-0000-0000-0000AE1A0000}"/>
    <cellStyle name="Normal 5 4 2 10" xfId="8833" xr:uid="{6EA55230-8E5B-4EF6-B83C-8DF4202F8C31}"/>
    <cellStyle name="Normal 5 4 2 11" xfId="9938" xr:uid="{8BFD56D8-54DB-4D12-9DBE-070168390C67}"/>
    <cellStyle name="Normal 5 4 2 2" xfId="458" xr:uid="{00000000-0005-0000-0000-0000AF1A0000}"/>
    <cellStyle name="Normal 5 4 2 2 10" xfId="9939" xr:uid="{D902DDF3-BC38-447D-A3CF-195717C96E59}"/>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282F8061-C0C4-4D4E-B1DA-E9EB8178AB1A}"/>
    <cellStyle name="Normal 5 4 2 2 2 2 2 3" xfId="12498" xr:uid="{2A88F935-6072-4BE5-94AB-091FE2D6CD7F}"/>
    <cellStyle name="Normal 5 4 2 2 2 2 3" xfId="5244" xr:uid="{00000000-0005-0000-0000-0000B41A0000}"/>
    <cellStyle name="Normal 5 4 2 2 2 2 3 2" xfId="14570" xr:uid="{9F7562A0-23E9-4B87-9171-5EB79D03DA1F}"/>
    <cellStyle name="Normal 5 4 2 2 2 2 4" xfId="9568" xr:uid="{C9922021-D284-4633-BD4E-F2DB1197482A}"/>
    <cellStyle name="Normal 5 4 2 2 2 2 5" xfId="10353" xr:uid="{FA7E2D6D-9FB6-4945-AED9-F311A15FF911}"/>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0F616E73-994D-4453-914C-E7440F7F4BD5}"/>
    <cellStyle name="Normal 5 4 2 2 2 3 2 3" xfId="12911" xr:uid="{36CE05B2-BE8C-4381-80BD-EC0D8C30F21C}"/>
    <cellStyle name="Normal 5 4 2 2 2 3 3" xfId="5657" xr:uid="{00000000-0005-0000-0000-0000B81A0000}"/>
    <cellStyle name="Normal 5 4 2 2 2 3 3 2" xfId="14983" xr:uid="{F99A3366-C15F-4F23-891A-E36884621264}"/>
    <cellStyle name="Normal 5 4 2 2 2 3 4" xfId="10766" xr:uid="{26189B4C-46A3-4914-89AC-B4B888C2C33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5CF5AACE-3179-46C1-AEEF-A18678E7F22F}"/>
    <cellStyle name="Normal 5 4 2 2 2 4 2 3" xfId="13324" xr:uid="{91DFB83F-6452-4649-9F4F-ED82A3FB4D19}"/>
    <cellStyle name="Normal 5 4 2 2 2 4 3" xfId="6070" xr:uid="{00000000-0005-0000-0000-0000BC1A0000}"/>
    <cellStyle name="Normal 5 4 2 2 2 4 3 2" xfId="15396" xr:uid="{81A9B737-09BA-4A44-803C-B49E8F1C1179}"/>
    <cellStyle name="Normal 5 4 2 2 2 4 4" xfId="11179" xr:uid="{A7ED8E3D-FF62-412C-8FA7-C9D79ACDD68A}"/>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1F38058F-637C-4AA6-A155-E8E2CCD25DDF}"/>
    <cellStyle name="Normal 5 4 2 2 2 5 2 3" xfId="13737" xr:uid="{DC432E09-1750-4D15-BB7A-B77507CB9B7B}"/>
    <cellStyle name="Normal 5 4 2 2 2 5 3" xfId="6483" xr:uid="{00000000-0005-0000-0000-0000C01A0000}"/>
    <cellStyle name="Normal 5 4 2 2 2 5 3 2" xfId="15809" xr:uid="{0977AD6D-D282-48D6-9D65-58777852F78A}"/>
    <cellStyle name="Normal 5 4 2 2 2 5 4" xfId="11592" xr:uid="{8299A313-2AFA-4350-88D6-B979FF2AB96F}"/>
    <cellStyle name="Normal 5 4 2 2 2 6" xfId="2613" xr:uid="{00000000-0005-0000-0000-0000C11A0000}"/>
    <cellStyle name="Normal 5 4 2 2 2 6 2" xfId="6896" xr:uid="{00000000-0005-0000-0000-0000C21A0000}"/>
    <cellStyle name="Normal 5 4 2 2 2 6 2 2" xfId="16222" xr:uid="{E32C17F2-5E29-462D-AE67-71745BD670C8}"/>
    <cellStyle name="Normal 5 4 2 2 2 6 3" xfId="12005" xr:uid="{DEDBD2CD-24D0-4FA0-A3F4-189E21C15415}"/>
    <cellStyle name="Normal 5 4 2 2 2 7" xfId="4831" xr:uid="{00000000-0005-0000-0000-0000C31A0000}"/>
    <cellStyle name="Normal 5 4 2 2 2 7 2" xfId="14157" xr:uid="{7D378078-4D50-4418-9D64-7EE4C1648161}"/>
    <cellStyle name="Normal 5 4 2 2 2 8" xfId="9143" xr:uid="{C8F15FA9-FDFE-4358-95A8-17B14299B14C}"/>
    <cellStyle name="Normal 5 4 2 2 2 9" xfId="9940" xr:uid="{84389DE0-FBC6-4D92-B70D-51E505F7C65B}"/>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FDAEECCF-3C3F-4BDB-98E5-0795D6DD5675}"/>
    <cellStyle name="Normal 5 4 2 2 3 2 3" xfId="12497" xr:uid="{C20EDA5A-E5C2-44E7-B4FE-27C95D614A3E}"/>
    <cellStyle name="Normal 5 4 2 2 3 3" xfId="5243" xr:uid="{00000000-0005-0000-0000-0000C71A0000}"/>
    <cellStyle name="Normal 5 4 2 2 3 3 2" xfId="14569" xr:uid="{37FA7CFF-6DC7-478D-83EE-343DD0545805}"/>
    <cellStyle name="Normal 5 4 2 2 3 4" xfId="9361" xr:uid="{421F0FC8-8E8F-498F-BD31-B00CB58D5B43}"/>
    <cellStyle name="Normal 5 4 2 2 3 5" xfId="10352" xr:uid="{70AB7788-CBCF-48B8-976D-CF2B85B4DFBF}"/>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C7CEBB23-8CD4-4446-9B2F-764D379B1C7D}"/>
    <cellStyle name="Normal 5 4 2 2 4 2 3" xfId="12910" xr:uid="{2DD841DA-DF67-44B1-8E30-9DF3724A596E}"/>
    <cellStyle name="Normal 5 4 2 2 4 3" xfId="5656" xr:uid="{00000000-0005-0000-0000-0000CB1A0000}"/>
    <cellStyle name="Normal 5 4 2 2 4 3 2" xfId="14982" xr:uid="{14533DFC-7569-4262-AB69-B85D5A3182CE}"/>
    <cellStyle name="Normal 5 4 2 2 4 4" xfId="10765" xr:uid="{26ECB1AD-836E-4ABE-85A9-B6F78036C29E}"/>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6C9E389D-363F-42C1-A8A5-A7589FB3881C}"/>
    <cellStyle name="Normal 5 4 2 2 5 2 3" xfId="13323" xr:uid="{33C1D3D4-1ADF-402C-92B2-D252048C0048}"/>
    <cellStyle name="Normal 5 4 2 2 5 3" xfId="6069" xr:uid="{00000000-0005-0000-0000-0000CF1A0000}"/>
    <cellStyle name="Normal 5 4 2 2 5 3 2" xfId="15395" xr:uid="{4276B48F-7AA9-4C68-A92E-B8628C641667}"/>
    <cellStyle name="Normal 5 4 2 2 5 4" xfId="11178" xr:uid="{CC5F7195-E873-4F3F-BF82-74113BFB6154}"/>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863D0CC4-2B24-485B-AFD7-4D223CF33B49}"/>
    <cellStyle name="Normal 5 4 2 2 6 2 3" xfId="13736" xr:uid="{6EA7CB86-4E1A-44D7-8D4C-F977DD9F333E}"/>
    <cellStyle name="Normal 5 4 2 2 6 3" xfId="6482" xr:uid="{00000000-0005-0000-0000-0000D31A0000}"/>
    <cellStyle name="Normal 5 4 2 2 6 3 2" xfId="15808" xr:uid="{DFEB2A7F-B185-43FA-B879-2BCA4CAE8121}"/>
    <cellStyle name="Normal 5 4 2 2 6 4" xfId="11591" xr:uid="{B327EF3E-51AC-4677-A4A5-9A49AA8131D0}"/>
    <cellStyle name="Normal 5 4 2 2 7" xfId="2612" xr:uid="{00000000-0005-0000-0000-0000D41A0000}"/>
    <cellStyle name="Normal 5 4 2 2 7 2" xfId="6895" xr:uid="{00000000-0005-0000-0000-0000D51A0000}"/>
    <cellStyle name="Normal 5 4 2 2 7 2 2" xfId="16221" xr:uid="{D64216EF-EA06-4DE4-8530-097EC5FA98D4}"/>
    <cellStyle name="Normal 5 4 2 2 7 3" xfId="12004" xr:uid="{522564E7-D9B5-4B9F-A282-3B1F40EFADC7}"/>
    <cellStyle name="Normal 5 4 2 2 8" xfId="4830" xr:uid="{00000000-0005-0000-0000-0000D61A0000}"/>
    <cellStyle name="Normal 5 4 2 2 8 2" xfId="14156" xr:uid="{C9244E45-76F4-4BFF-A079-61DA91D431D7}"/>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61FF6226-24DD-455E-897F-AD950F6D730D}"/>
    <cellStyle name="Normal 5 4 2 3 2 2 3" xfId="12499" xr:uid="{25522445-4D6D-48B4-BDAE-BE2E0DD779C9}"/>
    <cellStyle name="Normal 5 4 2 3 2 3" xfId="5245" xr:uid="{00000000-0005-0000-0000-0000DB1A0000}"/>
    <cellStyle name="Normal 5 4 2 3 2 3 2" xfId="14571" xr:uid="{166C6DAD-ADC9-4939-9981-6B9C0B6481B7}"/>
    <cellStyle name="Normal 5 4 2 3 2 4" xfId="9465" xr:uid="{B8459C73-266B-467B-A163-FFDFF015A460}"/>
    <cellStyle name="Normal 5 4 2 3 2 5" xfId="10354" xr:uid="{42C4949A-C966-4D78-89B8-744D788ACD41}"/>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5D79E5CD-3842-4A44-AB45-458E8ABCA19E}"/>
    <cellStyle name="Normal 5 4 2 3 3 2 3" xfId="12912" xr:uid="{59A23155-1271-46D3-953B-028AA04CD7EB}"/>
    <cellStyle name="Normal 5 4 2 3 3 3" xfId="5658" xr:uid="{00000000-0005-0000-0000-0000DF1A0000}"/>
    <cellStyle name="Normal 5 4 2 3 3 3 2" xfId="14984" xr:uid="{98175027-8306-4540-8C77-0F4C1D4DE7C0}"/>
    <cellStyle name="Normal 5 4 2 3 3 4" xfId="10767" xr:uid="{FA328815-741D-418F-87B9-5E63752C3E83}"/>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A498BF08-14E9-4B5B-AA3F-893B65E2FC3C}"/>
    <cellStyle name="Normal 5 4 2 3 4 2 3" xfId="13325" xr:uid="{6645ABED-93DF-4B86-9E68-C3FACAB515DA}"/>
    <cellStyle name="Normal 5 4 2 3 4 3" xfId="6071" xr:uid="{00000000-0005-0000-0000-0000E31A0000}"/>
    <cellStyle name="Normal 5 4 2 3 4 3 2" xfId="15397" xr:uid="{D841AF5F-9219-40A2-A847-A1FA857245E3}"/>
    <cellStyle name="Normal 5 4 2 3 4 4" xfId="11180" xr:uid="{A3729C55-CD1F-4893-9561-507C211942F4}"/>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0EB91A92-88F0-4A97-B52F-BD1E82CE7070}"/>
    <cellStyle name="Normal 5 4 2 3 5 2 3" xfId="13738" xr:uid="{FAC44C7A-CA9F-44E6-9230-0854094E7AB4}"/>
    <cellStyle name="Normal 5 4 2 3 5 3" xfId="6484" xr:uid="{00000000-0005-0000-0000-0000E71A0000}"/>
    <cellStyle name="Normal 5 4 2 3 5 3 2" xfId="15810" xr:uid="{107711EA-E474-4628-926A-C5C1A1AC9EF5}"/>
    <cellStyle name="Normal 5 4 2 3 5 4" xfId="11593" xr:uid="{05521158-7303-4BF0-A8D6-0E3C8B3BEC2B}"/>
    <cellStyle name="Normal 5 4 2 3 6" xfId="2614" xr:uid="{00000000-0005-0000-0000-0000E81A0000}"/>
    <cellStyle name="Normal 5 4 2 3 6 2" xfId="6897" xr:uid="{00000000-0005-0000-0000-0000E91A0000}"/>
    <cellStyle name="Normal 5 4 2 3 6 2 2" xfId="16223" xr:uid="{88BFE32D-A26C-4F2F-A954-F651EED0C19F}"/>
    <cellStyle name="Normal 5 4 2 3 6 3" xfId="12006" xr:uid="{43AB6D29-FD4D-43D8-968D-D13CC894B040}"/>
    <cellStyle name="Normal 5 4 2 3 7" xfId="4832" xr:uid="{00000000-0005-0000-0000-0000EA1A0000}"/>
    <cellStyle name="Normal 5 4 2 3 7 2" xfId="14158" xr:uid="{15E6CD66-9DD2-4F88-904D-672533D6D5DC}"/>
    <cellStyle name="Normal 5 4 2 3 8" xfId="9040" xr:uid="{D68CAB17-BB41-4D9B-AA76-76FE511392DC}"/>
    <cellStyle name="Normal 5 4 2 3 9" xfId="9941" xr:uid="{D7B2CC72-7BBF-41E3-A376-8652142835D0}"/>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A830D396-CF4E-4162-96A8-7D4D71307165}"/>
    <cellStyle name="Normal 5 4 2 4 2 3" xfId="12496" xr:uid="{40771B07-11EB-4C0E-B894-337298DCA021}"/>
    <cellStyle name="Normal 5 4 2 4 3" xfId="5242" xr:uid="{00000000-0005-0000-0000-0000EE1A0000}"/>
    <cellStyle name="Normal 5 4 2 4 3 2" xfId="14568" xr:uid="{C83302A2-80A8-4731-8ABD-2C3A08617C32}"/>
    <cellStyle name="Normal 5 4 2 4 4" xfId="9258" xr:uid="{971C48A9-8200-405B-A9BE-B3AFD2CDDA76}"/>
    <cellStyle name="Normal 5 4 2 4 5" xfId="10351" xr:uid="{00F37665-D4F0-42AD-8A40-CE9B524E77A3}"/>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9F7D759E-BD9D-4C0F-9D30-820B84C53B3C}"/>
    <cellStyle name="Normal 5 4 2 5 2 3" xfId="12909" xr:uid="{037533F9-5143-4259-A4A6-490B205EC2B3}"/>
    <cellStyle name="Normal 5 4 2 5 3" xfId="5655" xr:uid="{00000000-0005-0000-0000-0000F21A0000}"/>
    <cellStyle name="Normal 5 4 2 5 3 2" xfId="14981" xr:uid="{283A3AE4-10A0-40F6-8E8D-4FA8093E6FAB}"/>
    <cellStyle name="Normal 5 4 2 5 4" xfId="10764" xr:uid="{687E6B30-1F49-461B-AF5E-D516F1CAD117}"/>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49B79A02-E222-437F-9FBD-9C61C45574D7}"/>
    <cellStyle name="Normal 5 4 2 6 2 3" xfId="13322" xr:uid="{4D736964-402C-4851-A1AC-55A592046C87}"/>
    <cellStyle name="Normal 5 4 2 6 3" xfId="6068" xr:uid="{00000000-0005-0000-0000-0000F61A0000}"/>
    <cellStyle name="Normal 5 4 2 6 3 2" xfId="15394" xr:uid="{E11C54E3-2C08-4019-A9B5-DF55D72071FB}"/>
    <cellStyle name="Normal 5 4 2 6 4" xfId="11177" xr:uid="{354B30D7-BC30-4642-9320-C3DC688A6030}"/>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9682F48A-82F9-43BE-83B8-0C72057B0F17}"/>
    <cellStyle name="Normal 5 4 2 7 2 3" xfId="13735" xr:uid="{508EECE5-C02F-4AD9-8044-30A1B4CFC31B}"/>
    <cellStyle name="Normal 5 4 2 7 3" xfId="6481" xr:uid="{00000000-0005-0000-0000-0000FA1A0000}"/>
    <cellStyle name="Normal 5 4 2 7 3 2" xfId="15807" xr:uid="{17199CEC-06DD-465F-A269-EA022942A270}"/>
    <cellStyle name="Normal 5 4 2 7 4" xfId="11590" xr:uid="{D2D14B8D-B212-47BC-B793-B486B566158A}"/>
    <cellStyle name="Normal 5 4 2 8" xfId="2611" xr:uid="{00000000-0005-0000-0000-0000FB1A0000}"/>
    <cellStyle name="Normal 5 4 2 8 2" xfId="6894" xr:uid="{00000000-0005-0000-0000-0000FC1A0000}"/>
    <cellStyle name="Normal 5 4 2 8 2 2" xfId="16220" xr:uid="{FB8ED1D0-2009-42E7-832E-8BD59CAF744B}"/>
    <cellStyle name="Normal 5 4 2 8 3" xfId="12003" xr:uid="{1A22882B-749C-4BEE-8BB7-617FEE943B8D}"/>
    <cellStyle name="Normal 5 4 2 9" xfId="4829" xr:uid="{00000000-0005-0000-0000-0000FD1A0000}"/>
    <cellStyle name="Normal 5 4 2 9 2" xfId="14155" xr:uid="{65548205-AF14-4FAF-8D11-B44BC8DAA8EA}"/>
    <cellStyle name="Normal 5 4 3" xfId="461" xr:uid="{00000000-0005-0000-0000-0000FE1A0000}"/>
    <cellStyle name="Normal 5 4 3 10" xfId="9942" xr:uid="{E5AF0858-D54E-4BB9-A724-84469A4BDAEF}"/>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C38CDD74-09E8-4A2D-B81B-D80E90BF8DC0}"/>
    <cellStyle name="Normal 5 4 3 2 2 2 3" xfId="12501" xr:uid="{D9D4043C-B691-4980-ACB8-D056329CEC3E}"/>
    <cellStyle name="Normal 5 4 3 2 2 3" xfId="5247" xr:uid="{00000000-0005-0000-0000-0000031B0000}"/>
    <cellStyle name="Normal 5 4 3 2 2 3 2" xfId="14573" xr:uid="{B9474FB6-F1EE-4DE5-BEA9-7E62DD3482B5}"/>
    <cellStyle name="Normal 5 4 3 2 2 4" xfId="9508" xr:uid="{1F9B5A8F-2A45-43C5-9422-E8BC84424A55}"/>
    <cellStyle name="Normal 5 4 3 2 2 5" xfId="10356" xr:uid="{DA4F11B9-2713-4F5B-968A-FA89FE594928}"/>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4345306D-D667-40D3-853D-2A7D30E34E91}"/>
    <cellStyle name="Normal 5 4 3 2 3 2 3" xfId="12914" xr:uid="{19C6EF91-C603-42D9-A159-9E7611C969B7}"/>
    <cellStyle name="Normal 5 4 3 2 3 3" xfId="5660" xr:uid="{00000000-0005-0000-0000-0000071B0000}"/>
    <cellStyle name="Normal 5 4 3 2 3 3 2" xfId="14986" xr:uid="{1386C149-9E60-40CE-B9C3-DF5ACF58FB91}"/>
    <cellStyle name="Normal 5 4 3 2 3 4" xfId="10769" xr:uid="{C980ED07-4150-4581-B305-C58F40CB50DC}"/>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238254DE-8ACB-42AE-8EC6-DF8E407D5C78}"/>
    <cellStyle name="Normal 5 4 3 2 4 2 3" xfId="13327" xr:uid="{A56A5AE7-9E84-4285-B190-4D2A70317767}"/>
    <cellStyle name="Normal 5 4 3 2 4 3" xfId="6073" xr:uid="{00000000-0005-0000-0000-00000B1B0000}"/>
    <cellStyle name="Normal 5 4 3 2 4 3 2" xfId="15399" xr:uid="{4B8BC683-0D46-4FE6-AA8C-E157AF04612D}"/>
    <cellStyle name="Normal 5 4 3 2 4 4" xfId="11182" xr:uid="{4B716004-4FDC-4DF4-940F-54B570230D61}"/>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A6EDDC93-7316-4744-88DC-F4CC4A368DF0}"/>
    <cellStyle name="Normal 5 4 3 2 5 2 3" xfId="13740" xr:uid="{9B86F193-B035-45DD-A0E3-7E133D2C1AF3}"/>
    <cellStyle name="Normal 5 4 3 2 5 3" xfId="6486" xr:uid="{00000000-0005-0000-0000-00000F1B0000}"/>
    <cellStyle name="Normal 5 4 3 2 5 3 2" xfId="15812" xr:uid="{7AEF3EED-F4F2-4075-9A8D-FC1BD83F9D01}"/>
    <cellStyle name="Normal 5 4 3 2 5 4" xfId="11595" xr:uid="{A77793F7-66DF-4014-8EEE-B2671BF4C4FD}"/>
    <cellStyle name="Normal 5 4 3 2 6" xfId="2616" xr:uid="{00000000-0005-0000-0000-0000101B0000}"/>
    <cellStyle name="Normal 5 4 3 2 6 2" xfId="6899" xr:uid="{00000000-0005-0000-0000-0000111B0000}"/>
    <cellStyle name="Normal 5 4 3 2 6 2 2" xfId="16225" xr:uid="{DFD783B2-CD2D-4A80-9528-BEA14E51DF8E}"/>
    <cellStyle name="Normal 5 4 3 2 6 3" xfId="12008" xr:uid="{9300526F-CBEB-42C5-A2CF-7B2199A80BCE}"/>
    <cellStyle name="Normal 5 4 3 2 7" xfId="4834" xr:uid="{00000000-0005-0000-0000-0000121B0000}"/>
    <cellStyle name="Normal 5 4 3 2 7 2" xfId="14160" xr:uid="{6AFE81E6-470B-4C2B-AC2B-A01BC264BE92}"/>
    <cellStyle name="Normal 5 4 3 2 8" xfId="9083" xr:uid="{206384C8-6AD8-4D28-8F99-3033A80D68FC}"/>
    <cellStyle name="Normal 5 4 3 2 9" xfId="9943" xr:uid="{EF6BB3A2-45EA-4906-8F44-C79453A4DF46}"/>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D4A0FC2B-EB71-41C9-B619-95940F08D775}"/>
    <cellStyle name="Normal 5 4 3 3 2 3" xfId="12500" xr:uid="{09F20B7F-0ADD-4464-80C8-E42CDADCBD33}"/>
    <cellStyle name="Normal 5 4 3 3 3" xfId="5246" xr:uid="{00000000-0005-0000-0000-0000161B0000}"/>
    <cellStyle name="Normal 5 4 3 3 3 2" xfId="14572" xr:uid="{463C45DB-149F-4BC8-9B33-41DD60F1BF91}"/>
    <cellStyle name="Normal 5 4 3 3 4" xfId="9301" xr:uid="{CB02BBE7-2E3D-4C67-A62E-BA84DE882039}"/>
    <cellStyle name="Normal 5 4 3 3 5" xfId="10355" xr:uid="{C2064DBC-D246-48BD-B3D9-3ED3B89BD96F}"/>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B6314BDF-C302-4D5D-A082-A79DD59AABD0}"/>
    <cellStyle name="Normal 5 4 3 4 2 3" xfId="12913" xr:uid="{B2B2EB7E-F587-4E50-9184-D507E4835079}"/>
    <cellStyle name="Normal 5 4 3 4 3" xfId="5659" xr:uid="{00000000-0005-0000-0000-00001A1B0000}"/>
    <cellStyle name="Normal 5 4 3 4 3 2" xfId="14985" xr:uid="{0246683D-5A43-4358-BADA-0A567FED5A0A}"/>
    <cellStyle name="Normal 5 4 3 4 4" xfId="10768" xr:uid="{D4182696-3AD9-45FD-9C51-FCE09BDC9667}"/>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B56CE579-1086-461A-969E-96EE9D5BA79B}"/>
    <cellStyle name="Normal 5 4 3 5 2 3" xfId="13326" xr:uid="{732E229C-F6E5-4CF4-9535-016DECAF8E8C}"/>
    <cellStyle name="Normal 5 4 3 5 3" xfId="6072" xr:uid="{00000000-0005-0000-0000-00001E1B0000}"/>
    <cellStyle name="Normal 5 4 3 5 3 2" xfId="15398" xr:uid="{3E448F27-0951-4D17-BA48-D2323590A24B}"/>
    <cellStyle name="Normal 5 4 3 5 4" xfId="11181" xr:uid="{9477F34E-AAAC-4314-8822-47F75FF5438C}"/>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2D4DCB27-AFE6-44CA-9B4C-14744FCFBD07}"/>
    <cellStyle name="Normal 5 4 3 6 2 3" xfId="13739" xr:uid="{FE7A14C6-3878-417C-BF40-5853434B289D}"/>
    <cellStyle name="Normal 5 4 3 6 3" xfId="6485" xr:uid="{00000000-0005-0000-0000-0000221B0000}"/>
    <cellStyle name="Normal 5 4 3 6 3 2" xfId="15811" xr:uid="{32C5F620-A5AB-4BC2-BB6A-F6D0600AA5A9}"/>
    <cellStyle name="Normal 5 4 3 6 4" xfId="11594" xr:uid="{F531327E-8615-4986-90E9-6B171773A578}"/>
    <cellStyle name="Normal 5 4 3 7" xfId="2615" xr:uid="{00000000-0005-0000-0000-0000231B0000}"/>
    <cellStyle name="Normal 5 4 3 7 2" xfId="6898" xr:uid="{00000000-0005-0000-0000-0000241B0000}"/>
    <cellStyle name="Normal 5 4 3 7 2 2" xfId="16224" xr:uid="{7FF923A8-6605-4B32-B893-D378E508EE79}"/>
    <cellStyle name="Normal 5 4 3 7 3" xfId="12007" xr:uid="{B527D1FE-F288-4980-BD43-2A26BDA8BEA2}"/>
    <cellStyle name="Normal 5 4 3 8" xfId="4833" xr:uid="{00000000-0005-0000-0000-0000251B0000}"/>
    <cellStyle name="Normal 5 4 3 8 2" xfId="14159" xr:uid="{1D893BFA-3C8A-4C0E-8EBE-44467ACCFC8C}"/>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06E6C01B-3F77-4E6F-BECB-95E41FDA71EE}"/>
    <cellStyle name="Normal 5 4 4 2 2 3" xfId="12502" xr:uid="{A06B8A6D-69FF-4420-8D22-28732327811C}"/>
    <cellStyle name="Normal 5 4 4 2 3" xfId="5248" xr:uid="{00000000-0005-0000-0000-00002A1B0000}"/>
    <cellStyle name="Normal 5 4 4 2 3 2" xfId="14574" xr:uid="{E0784730-A5D4-4554-A122-2080B34ADA86}"/>
    <cellStyle name="Normal 5 4 4 2 4" xfId="9405" xr:uid="{F05DE0DC-A0AA-4CEB-9ABC-0D70F781B819}"/>
    <cellStyle name="Normal 5 4 4 2 5" xfId="10357" xr:uid="{CE4BBF7F-F20B-4461-89A7-07C7F2BB997F}"/>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D04AA8C4-6260-405D-A5FF-96537FA0190A}"/>
    <cellStyle name="Normal 5 4 4 3 2 3" xfId="12915" xr:uid="{2543EED3-AE8B-44B1-89BE-23FCD78E0ECF}"/>
    <cellStyle name="Normal 5 4 4 3 3" xfId="5661" xr:uid="{00000000-0005-0000-0000-00002E1B0000}"/>
    <cellStyle name="Normal 5 4 4 3 3 2" xfId="14987" xr:uid="{6000A1EB-C406-467C-B466-80E91B2CE4D0}"/>
    <cellStyle name="Normal 5 4 4 3 4" xfId="10770" xr:uid="{A1D1B24F-1891-48A7-BD56-EBFE201D83D2}"/>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DA3D6467-D350-4296-B368-5E3B0631A2CE}"/>
    <cellStyle name="Normal 5 4 4 4 2 3" xfId="13328" xr:uid="{913620C9-74A6-4869-A9A1-B9F88050F65D}"/>
    <cellStyle name="Normal 5 4 4 4 3" xfId="6074" xr:uid="{00000000-0005-0000-0000-0000321B0000}"/>
    <cellStyle name="Normal 5 4 4 4 3 2" xfId="15400" xr:uid="{3D335B04-0FF8-4C40-AA8C-9E4A77676267}"/>
    <cellStyle name="Normal 5 4 4 4 4" xfId="11183" xr:uid="{37459E62-CB53-4C2C-B109-B5CCAC39FF2E}"/>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0FBD1572-6F1B-4FF8-A241-C872362EF7F3}"/>
    <cellStyle name="Normal 5 4 4 5 2 3" xfId="13741" xr:uid="{F25ECD31-AD17-4C16-A4DD-EB7C31FD5378}"/>
    <cellStyle name="Normal 5 4 4 5 3" xfId="6487" xr:uid="{00000000-0005-0000-0000-0000361B0000}"/>
    <cellStyle name="Normal 5 4 4 5 3 2" xfId="15813" xr:uid="{FEF74EB0-13DE-4243-B882-BBCC9769952A}"/>
    <cellStyle name="Normal 5 4 4 5 4" xfId="11596" xr:uid="{1B6DB119-ADCC-4BDA-A713-3343F2436535}"/>
    <cellStyle name="Normal 5 4 4 6" xfId="2617" xr:uid="{00000000-0005-0000-0000-0000371B0000}"/>
    <cellStyle name="Normal 5 4 4 6 2" xfId="6900" xr:uid="{00000000-0005-0000-0000-0000381B0000}"/>
    <cellStyle name="Normal 5 4 4 6 2 2" xfId="16226" xr:uid="{6A5FDD14-9C15-4303-9F15-FC6B0B496014}"/>
    <cellStyle name="Normal 5 4 4 6 3" xfId="12009" xr:uid="{15142B6D-6E8C-42D6-9398-0C56D3B790D0}"/>
    <cellStyle name="Normal 5 4 4 7" xfId="4835" xr:uid="{00000000-0005-0000-0000-0000391B0000}"/>
    <cellStyle name="Normal 5 4 4 7 2" xfId="14161" xr:uid="{95650506-BA02-49A6-B521-EF211D20817B}"/>
    <cellStyle name="Normal 5 4 4 8" xfId="8980" xr:uid="{B1DB48A4-94CB-4CC2-8D4B-8FD478363D48}"/>
    <cellStyle name="Normal 5 4 4 9" xfId="9944" xr:uid="{2C8E579E-C697-426A-B680-FEEC02D4E10F}"/>
    <cellStyle name="Normal 5 4 5" xfId="930" xr:uid="{00000000-0005-0000-0000-00003A1B0000}"/>
    <cellStyle name="Normal 5 4 5 2" xfId="3164" xr:uid="{00000000-0005-0000-0000-00003B1B0000}"/>
    <cellStyle name="Normal 5 4 5 2 2" xfId="7386" xr:uid="{00000000-0005-0000-0000-00003C1B0000}"/>
    <cellStyle name="Normal 5 4 5 2 2 2" xfId="16712" xr:uid="{22271867-8A86-4326-A556-26546F7E5087}"/>
    <cellStyle name="Normal 5 4 5 2 3" xfId="12495" xr:uid="{2B24239E-06A8-4C7B-A92C-2689D9E7C8D1}"/>
    <cellStyle name="Normal 5 4 5 3" xfId="5241" xr:uid="{00000000-0005-0000-0000-00003D1B0000}"/>
    <cellStyle name="Normal 5 4 5 3 2" xfId="14567" xr:uid="{694789D2-0DEA-4BF7-A763-469CB9CA26E6}"/>
    <cellStyle name="Normal 5 4 5 4" xfId="9197" xr:uid="{44FF0EFB-444B-4C40-B695-8C256ADB5563}"/>
    <cellStyle name="Normal 5 4 5 5" xfId="10350" xr:uid="{3879F885-D20C-428A-8D04-BF22715723C4}"/>
    <cellStyle name="Normal 5 4 6" xfId="1347" xr:uid="{00000000-0005-0000-0000-00003E1B0000}"/>
    <cellStyle name="Normal 5 4 6 2" xfId="3577" xr:uid="{00000000-0005-0000-0000-00003F1B0000}"/>
    <cellStyle name="Normal 5 4 6 2 2" xfId="7799" xr:uid="{00000000-0005-0000-0000-0000401B0000}"/>
    <cellStyle name="Normal 5 4 6 2 2 2" xfId="17125" xr:uid="{B634BE62-C8B2-42AA-99FF-F0B7E08D7808}"/>
    <cellStyle name="Normal 5 4 6 2 3" xfId="12908" xr:uid="{765DA250-F38F-4858-8C7C-B351FF9C9FF9}"/>
    <cellStyle name="Normal 5 4 6 3" xfId="5654" xr:uid="{00000000-0005-0000-0000-0000411B0000}"/>
    <cellStyle name="Normal 5 4 6 3 2" xfId="14980" xr:uid="{971DC5EC-B5DE-479D-B736-D9E95F49B361}"/>
    <cellStyle name="Normal 5 4 6 4" xfId="10763" xr:uid="{25F42F21-E1F1-4199-A190-582E568747C4}"/>
    <cellStyle name="Normal 5 4 7" xfId="1760" xr:uid="{00000000-0005-0000-0000-0000421B0000}"/>
    <cellStyle name="Normal 5 4 7 2" xfId="3990" xr:uid="{00000000-0005-0000-0000-0000431B0000}"/>
    <cellStyle name="Normal 5 4 7 2 2" xfId="8212" xr:uid="{00000000-0005-0000-0000-0000441B0000}"/>
    <cellStyle name="Normal 5 4 7 2 2 2" xfId="17538" xr:uid="{D5BCE14B-AC62-4731-9B9E-F927CFC0B7DD}"/>
    <cellStyle name="Normal 5 4 7 2 3" xfId="13321" xr:uid="{0471ED37-142A-46A6-9B0F-5F954F260A29}"/>
    <cellStyle name="Normal 5 4 7 3" xfId="6067" xr:uid="{00000000-0005-0000-0000-0000451B0000}"/>
    <cellStyle name="Normal 5 4 7 3 2" xfId="15393" xr:uid="{A9887BD4-1776-4441-87E2-3F890E866866}"/>
    <cellStyle name="Normal 5 4 7 4" xfId="11176" xr:uid="{702313E1-7723-48E5-B97F-696584735666}"/>
    <cellStyle name="Normal 5 4 8" xfId="2174" xr:uid="{00000000-0005-0000-0000-0000461B0000}"/>
    <cellStyle name="Normal 5 4 8 2" xfId="4403" xr:uid="{00000000-0005-0000-0000-0000471B0000}"/>
    <cellStyle name="Normal 5 4 8 2 2" xfId="8625" xr:uid="{00000000-0005-0000-0000-0000481B0000}"/>
    <cellStyle name="Normal 5 4 8 2 2 2" xfId="17951" xr:uid="{071A8BBA-D6E8-48C3-B7B4-14C476080179}"/>
    <cellStyle name="Normal 5 4 8 2 3" xfId="13734" xr:uid="{7405ADDC-46F3-4CA7-ABC6-D91EB70C1846}"/>
    <cellStyle name="Normal 5 4 8 3" xfId="6480" xr:uid="{00000000-0005-0000-0000-0000491B0000}"/>
    <cellStyle name="Normal 5 4 8 3 2" xfId="15806" xr:uid="{8C5EE2D9-46EA-4BFD-9D5E-2EFA55315079}"/>
    <cellStyle name="Normal 5 4 8 4" xfId="11589" xr:uid="{BD9928FC-93AE-4446-9A48-E4C340AA1876}"/>
    <cellStyle name="Normal 5 4 9" xfId="2610" xr:uid="{00000000-0005-0000-0000-00004A1B0000}"/>
    <cellStyle name="Normal 5 4 9 2" xfId="6893" xr:uid="{00000000-0005-0000-0000-00004B1B0000}"/>
    <cellStyle name="Normal 5 4 9 2 2" xfId="16219" xr:uid="{BAF5E673-A45F-442B-BF87-83743067EB46}"/>
    <cellStyle name="Normal 5 4 9 3" xfId="12002" xr:uid="{80EAE7F8-EF3F-4A4C-B0FF-8368871AA114}"/>
    <cellStyle name="Normal 5 5" xfId="464" xr:uid="{00000000-0005-0000-0000-00004C1B0000}"/>
    <cellStyle name="Normal 5 5 10" xfId="8826" xr:uid="{5746674A-546A-44BF-97FB-6D298BF3AD61}"/>
    <cellStyle name="Normal 5 5 11" xfId="9945" xr:uid="{747311F5-2870-4775-AA0F-613BB1E18634}"/>
    <cellStyle name="Normal 5 5 2" xfId="465" xr:uid="{00000000-0005-0000-0000-00004D1B0000}"/>
    <cellStyle name="Normal 5 5 2 10" xfId="9946" xr:uid="{105C3012-09E3-445F-AE33-F91BADB787D7}"/>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44EA3F21-4839-4F62-A3D6-5B67B1DFF8D8}"/>
    <cellStyle name="Normal 5 5 2 2 2 2 3" xfId="12505" xr:uid="{F660CB49-3161-4144-B4A2-8659A471412B}"/>
    <cellStyle name="Normal 5 5 2 2 2 3" xfId="5251" xr:uid="{00000000-0005-0000-0000-0000521B0000}"/>
    <cellStyle name="Normal 5 5 2 2 2 3 2" xfId="14577" xr:uid="{5ECA02F2-0FB1-44C4-BC9B-10DC6B45C0FE}"/>
    <cellStyle name="Normal 5 5 2 2 2 4" xfId="9561" xr:uid="{FF1EB4DD-E23E-4228-816B-D59B021F724D}"/>
    <cellStyle name="Normal 5 5 2 2 2 5" xfId="10360" xr:uid="{2A4434B1-DB70-4342-8011-070BC0DCFC2E}"/>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0DEB8F5B-C5AF-45EB-8641-23D14B711B3A}"/>
    <cellStyle name="Normal 5 5 2 2 3 2 3" xfId="12918" xr:uid="{6BEFAB8B-C53C-4903-861E-BA06BE9E50E0}"/>
    <cellStyle name="Normal 5 5 2 2 3 3" xfId="5664" xr:uid="{00000000-0005-0000-0000-0000561B0000}"/>
    <cellStyle name="Normal 5 5 2 2 3 3 2" xfId="14990" xr:uid="{F8247554-E2BC-4EE1-82C9-A62EFFBBBC2B}"/>
    <cellStyle name="Normal 5 5 2 2 3 4" xfId="10773" xr:uid="{3154C405-D9A7-405B-82CD-C957A220CE07}"/>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B67709BE-C5E0-4B53-88EF-B3D3414A4D60}"/>
    <cellStyle name="Normal 5 5 2 2 4 2 3" xfId="13331" xr:uid="{53379F54-979D-40BA-A249-B515CB89FD91}"/>
    <cellStyle name="Normal 5 5 2 2 4 3" xfId="6077" xr:uid="{00000000-0005-0000-0000-00005A1B0000}"/>
    <cellStyle name="Normal 5 5 2 2 4 3 2" xfId="15403" xr:uid="{26B19B29-7054-4879-9FFC-2D88A1E26856}"/>
    <cellStyle name="Normal 5 5 2 2 4 4" xfId="11186" xr:uid="{CF64BA84-0F5A-4C0F-8835-E1375F0A0266}"/>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8E481096-7963-49E1-8CE3-B473BAD08E1B}"/>
    <cellStyle name="Normal 5 5 2 2 5 2 3" xfId="13744" xr:uid="{C6276A22-1F8C-4749-BA27-03AFB800C6B5}"/>
    <cellStyle name="Normal 5 5 2 2 5 3" xfId="6490" xr:uid="{00000000-0005-0000-0000-00005E1B0000}"/>
    <cellStyle name="Normal 5 5 2 2 5 3 2" xfId="15816" xr:uid="{9E274451-F368-4434-AEA5-EC8976BA51FA}"/>
    <cellStyle name="Normal 5 5 2 2 5 4" xfId="11599" xr:uid="{80613EDB-8D04-4850-927D-4C575D305CF9}"/>
    <cellStyle name="Normal 5 5 2 2 6" xfId="2620" xr:uid="{00000000-0005-0000-0000-00005F1B0000}"/>
    <cellStyle name="Normal 5 5 2 2 6 2" xfId="6903" xr:uid="{00000000-0005-0000-0000-0000601B0000}"/>
    <cellStyle name="Normal 5 5 2 2 6 2 2" xfId="16229" xr:uid="{E5D61619-BEF9-4690-BEF6-B3E5EE1EE4CB}"/>
    <cellStyle name="Normal 5 5 2 2 6 3" xfId="12012" xr:uid="{E116D386-BFE6-463B-913A-935880CFA02A}"/>
    <cellStyle name="Normal 5 5 2 2 7" xfId="4838" xr:uid="{00000000-0005-0000-0000-0000611B0000}"/>
    <cellStyle name="Normal 5 5 2 2 7 2" xfId="14164" xr:uid="{CB0486A7-EF1F-4270-9ADE-C00D1E8EA1AE}"/>
    <cellStyle name="Normal 5 5 2 2 8" xfId="9136" xr:uid="{D41453B5-3BE6-4F01-B336-45A274529844}"/>
    <cellStyle name="Normal 5 5 2 2 9" xfId="9947" xr:uid="{B8C6F8F6-3201-4B43-9D27-CE4A9BE151B5}"/>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7B38CF59-5E38-411F-80FB-F95F6ECBFEC8}"/>
    <cellStyle name="Normal 5 5 2 3 2 3" xfId="12504" xr:uid="{B1D2DEF3-2ABA-4DA1-B89A-6AEF338C4DCB}"/>
    <cellStyle name="Normal 5 5 2 3 3" xfId="5250" xr:uid="{00000000-0005-0000-0000-0000651B0000}"/>
    <cellStyle name="Normal 5 5 2 3 3 2" xfId="14576" xr:uid="{98E2D81D-AED4-4F6C-AB30-684141F10F11}"/>
    <cellStyle name="Normal 5 5 2 3 4" xfId="9354" xr:uid="{3251F49D-E700-469D-9840-28045D408641}"/>
    <cellStyle name="Normal 5 5 2 3 5" xfId="10359" xr:uid="{A08905A2-B5B0-45BE-9A2A-C798F5DD93D4}"/>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FAB1BA16-9A32-4805-9907-D9EAB24714EF}"/>
    <cellStyle name="Normal 5 5 2 4 2 3" xfId="12917" xr:uid="{8027C2FB-BACA-4CFC-B528-16608D719FCD}"/>
    <cellStyle name="Normal 5 5 2 4 3" xfId="5663" xr:uid="{00000000-0005-0000-0000-0000691B0000}"/>
    <cellStyle name="Normal 5 5 2 4 3 2" xfId="14989" xr:uid="{C65EFCEC-BDB0-4B75-A677-DD05551E2C80}"/>
    <cellStyle name="Normal 5 5 2 4 4" xfId="10772" xr:uid="{685AE6A8-AC17-485F-BF55-FE7326928725}"/>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05190199-6787-4447-AE72-198294FF9E4B}"/>
    <cellStyle name="Normal 5 5 2 5 2 3" xfId="13330" xr:uid="{62224DE0-5082-46D8-8086-C0F51075E7F9}"/>
    <cellStyle name="Normal 5 5 2 5 3" xfId="6076" xr:uid="{00000000-0005-0000-0000-00006D1B0000}"/>
    <cellStyle name="Normal 5 5 2 5 3 2" xfId="15402" xr:uid="{0D6C1465-B31C-4B37-BAA3-11D3C2BB9597}"/>
    <cellStyle name="Normal 5 5 2 5 4" xfId="11185" xr:uid="{36667740-12B3-45E4-85C3-AFCFC01DBB71}"/>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EA25649D-F1DF-4849-8F8E-BC2C8EC7DA59}"/>
    <cellStyle name="Normal 5 5 2 6 2 3" xfId="13743" xr:uid="{4F8EC852-0888-4F7D-8367-70244AAF2E30}"/>
    <cellStyle name="Normal 5 5 2 6 3" xfId="6489" xr:uid="{00000000-0005-0000-0000-0000711B0000}"/>
    <cellStyle name="Normal 5 5 2 6 3 2" xfId="15815" xr:uid="{978157FF-A999-42F3-844B-DC75F285F504}"/>
    <cellStyle name="Normal 5 5 2 6 4" xfId="11598" xr:uid="{55650EAD-CAAF-4ACF-8478-622905A09B5D}"/>
    <cellStyle name="Normal 5 5 2 7" xfId="2619" xr:uid="{00000000-0005-0000-0000-0000721B0000}"/>
    <cellStyle name="Normal 5 5 2 7 2" xfId="6902" xr:uid="{00000000-0005-0000-0000-0000731B0000}"/>
    <cellStyle name="Normal 5 5 2 7 2 2" xfId="16228" xr:uid="{6BB5B747-7FA8-418D-80A1-7B80FC2A0FE7}"/>
    <cellStyle name="Normal 5 5 2 7 3" xfId="12011" xr:uid="{290DE9FD-A938-4A62-B493-0D6DB9B2FF51}"/>
    <cellStyle name="Normal 5 5 2 8" xfId="4837" xr:uid="{00000000-0005-0000-0000-0000741B0000}"/>
    <cellStyle name="Normal 5 5 2 8 2" xfId="14163" xr:uid="{8C7C75F3-EC59-48D9-B5FF-095FCCAB17F2}"/>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1B1BDEC5-CAFA-4116-9448-05E6BA264FF6}"/>
    <cellStyle name="Normal 5 5 3 2 2 3" xfId="12506" xr:uid="{4EA5CA0E-AA5C-43AC-AEC6-59EE70CF719B}"/>
    <cellStyle name="Normal 5 5 3 2 3" xfId="5252" xr:uid="{00000000-0005-0000-0000-0000791B0000}"/>
    <cellStyle name="Normal 5 5 3 2 3 2" xfId="14578" xr:uid="{A5D3DA39-796F-400F-95C4-BC559442D92F}"/>
    <cellStyle name="Normal 5 5 3 2 4" xfId="9458" xr:uid="{8AD16727-CFBF-4DB5-B58F-04D48E2B564D}"/>
    <cellStyle name="Normal 5 5 3 2 5" xfId="10361" xr:uid="{93F4B1A6-D464-4050-A9C9-B37DF35CDD33}"/>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2533B646-8509-4B02-AE12-2B32C60D1716}"/>
    <cellStyle name="Normal 5 5 3 3 2 3" xfId="12919" xr:uid="{E990CC19-8394-4314-91E7-B0C463ADD24A}"/>
    <cellStyle name="Normal 5 5 3 3 3" xfId="5665" xr:uid="{00000000-0005-0000-0000-00007D1B0000}"/>
    <cellStyle name="Normal 5 5 3 3 3 2" xfId="14991" xr:uid="{E34109DE-C3D5-40B8-911F-B5F4E717F11B}"/>
    <cellStyle name="Normal 5 5 3 3 4" xfId="10774" xr:uid="{A2ECC3F3-171B-46DB-8D1F-245F57731C3B}"/>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DDA22E8C-76F8-4AE6-B71A-029CFF6E2664}"/>
    <cellStyle name="Normal 5 5 3 4 2 3" xfId="13332" xr:uid="{F99FD41B-44F2-4673-B3C1-F9B6A723BD51}"/>
    <cellStyle name="Normal 5 5 3 4 3" xfId="6078" xr:uid="{00000000-0005-0000-0000-0000811B0000}"/>
    <cellStyle name="Normal 5 5 3 4 3 2" xfId="15404" xr:uid="{32B59BB5-E0CD-41BE-91F1-49859F308FA4}"/>
    <cellStyle name="Normal 5 5 3 4 4" xfId="11187" xr:uid="{121C0E1E-E259-4EC1-B4C6-E94742AADAA3}"/>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D9AF77EB-6AF4-45CD-A4AD-0E60C30069E3}"/>
    <cellStyle name="Normal 5 5 3 5 2 3" xfId="13745" xr:uid="{31AE3779-A8B0-4B30-9DFB-14230E2000C9}"/>
    <cellStyle name="Normal 5 5 3 5 3" xfId="6491" xr:uid="{00000000-0005-0000-0000-0000851B0000}"/>
    <cellStyle name="Normal 5 5 3 5 3 2" xfId="15817" xr:uid="{06494A83-0178-4517-853B-E4EE24335DD8}"/>
    <cellStyle name="Normal 5 5 3 5 4" xfId="11600" xr:uid="{76F80302-1B02-4357-9583-C01D85E03D67}"/>
    <cellStyle name="Normal 5 5 3 6" xfId="2621" xr:uid="{00000000-0005-0000-0000-0000861B0000}"/>
    <cellStyle name="Normal 5 5 3 6 2" xfId="6904" xr:uid="{00000000-0005-0000-0000-0000871B0000}"/>
    <cellStyle name="Normal 5 5 3 6 2 2" xfId="16230" xr:uid="{FE2C417B-4899-41B7-9682-97911F5CCB3D}"/>
    <cellStyle name="Normal 5 5 3 6 3" xfId="12013" xr:uid="{CED5176D-3878-4F50-9962-49A6FAC5EC62}"/>
    <cellStyle name="Normal 5 5 3 7" xfId="4839" xr:uid="{00000000-0005-0000-0000-0000881B0000}"/>
    <cellStyle name="Normal 5 5 3 7 2" xfId="14165" xr:uid="{FF2E4D0C-AE78-47ED-B21F-971598BA43EA}"/>
    <cellStyle name="Normal 5 5 3 8" xfId="9033" xr:uid="{08F77EF7-8D03-42D9-B538-FE3582C4B971}"/>
    <cellStyle name="Normal 5 5 3 9" xfId="9948" xr:uid="{E7DB9364-D272-4844-A843-52A6923B90EB}"/>
    <cellStyle name="Normal 5 5 4" xfId="938" xr:uid="{00000000-0005-0000-0000-0000891B0000}"/>
    <cellStyle name="Normal 5 5 4 2" xfId="3172" xr:uid="{00000000-0005-0000-0000-00008A1B0000}"/>
    <cellStyle name="Normal 5 5 4 2 2" xfId="7394" xr:uid="{00000000-0005-0000-0000-00008B1B0000}"/>
    <cellStyle name="Normal 5 5 4 2 2 2" xfId="16720" xr:uid="{090AAE61-356E-442A-83A7-EDDBE580A208}"/>
    <cellStyle name="Normal 5 5 4 2 3" xfId="12503" xr:uid="{0FB9AB9D-EC5A-4907-98EA-17746A8A12D8}"/>
    <cellStyle name="Normal 5 5 4 3" xfId="5249" xr:uid="{00000000-0005-0000-0000-00008C1B0000}"/>
    <cellStyle name="Normal 5 5 4 3 2" xfId="14575" xr:uid="{836AFB7C-F741-4320-88F6-BC345419EE63}"/>
    <cellStyle name="Normal 5 5 4 4" xfId="9251" xr:uid="{4EAD9E35-D3C9-46BE-AE4D-29A1C6D5A6F7}"/>
    <cellStyle name="Normal 5 5 4 5" xfId="10358" xr:uid="{00AA062B-C6E8-4811-8604-2ACDEDEEA597}"/>
    <cellStyle name="Normal 5 5 5" xfId="1355" xr:uid="{00000000-0005-0000-0000-00008D1B0000}"/>
    <cellStyle name="Normal 5 5 5 2" xfId="3585" xr:uid="{00000000-0005-0000-0000-00008E1B0000}"/>
    <cellStyle name="Normal 5 5 5 2 2" xfId="7807" xr:uid="{00000000-0005-0000-0000-00008F1B0000}"/>
    <cellStyle name="Normal 5 5 5 2 2 2" xfId="17133" xr:uid="{FF575F64-1148-45C6-8BFF-BDD9DD317DFD}"/>
    <cellStyle name="Normal 5 5 5 2 3" xfId="12916" xr:uid="{04409050-1EE0-407D-AEEA-AB2FA2214814}"/>
    <cellStyle name="Normal 5 5 5 3" xfId="5662" xr:uid="{00000000-0005-0000-0000-0000901B0000}"/>
    <cellStyle name="Normal 5 5 5 3 2" xfId="14988" xr:uid="{91792CE1-7DA5-43C5-AC67-23E91AD69B8D}"/>
    <cellStyle name="Normal 5 5 5 4" xfId="10771" xr:uid="{EF441EF2-907E-4F43-8B20-D9EF1ADAB813}"/>
    <cellStyle name="Normal 5 5 6" xfId="1768" xr:uid="{00000000-0005-0000-0000-0000911B0000}"/>
    <cellStyle name="Normal 5 5 6 2" xfId="3998" xr:uid="{00000000-0005-0000-0000-0000921B0000}"/>
    <cellStyle name="Normal 5 5 6 2 2" xfId="8220" xr:uid="{00000000-0005-0000-0000-0000931B0000}"/>
    <cellStyle name="Normal 5 5 6 2 2 2" xfId="17546" xr:uid="{4B636300-385A-424A-A749-E0C45A881F51}"/>
    <cellStyle name="Normal 5 5 6 2 3" xfId="13329" xr:uid="{A48C41B2-40FA-46C6-B91B-CAF1B16F6C2D}"/>
    <cellStyle name="Normal 5 5 6 3" xfId="6075" xr:uid="{00000000-0005-0000-0000-0000941B0000}"/>
    <cellStyle name="Normal 5 5 6 3 2" xfId="15401" xr:uid="{5DD619A0-A7A4-4BFF-9641-7394C9276053}"/>
    <cellStyle name="Normal 5 5 6 4" xfId="11184" xr:uid="{C7C6F052-B0E9-4512-AEC5-79C0626C7DCE}"/>
    <cellStyle name="Normal 5 5 7" xfId="2182" xr:uid="{00000000-0005-0000-0000-0000951B0000}"/>
    <cellStyle name="Normal 5 5 7 2" xfId="4411" xr:uid="{00000000-0005-0000-0000-0000961B0000}"/>
    <cellStyle name="Normal 5 5 7 2 2" xfId="8633" xr:uid="{00000000-0005-0000-0000-0000971B0000}"/>
    <cellStyle name="Normal 5 5 7 2 2 2" xfId="17959" xr:uid="{4E8DD874-2A15-4E62-A04D-485F7C5C6874}"/>
    <cellStyle name="Normal 5 5 7 2 3" xfId="13742" xr:uid="{25D52F9E-344C-4620-9EE2-947E2EBE8017}"/>
    <cellStyle name="Normal 5 5 7 3" xfId="6488" xr:uid="{00000000-0005-0000-0000-0000981B0000}"/>
    <cellStyle name="Normal 5 5 7 3 2" xfId="15814" xr:uid="{1D8AAFBA-D24A-4C26-8362-A69CB99A49E5}"/>
    <cellStyle name="Normal 5 5 7 4" xfId="11597" xr:uid="{8BA6BE92-06DF-4BD3-A77E-BBED9C84CB47}"/>
    <cellStyle name="Normal 5 5 8" xfId="2618" xr:uid="{00000000-0005-0000-0000-0000991B0000}"/>
    <cellStyle name="Normal 5 5 8 2" xfId="6901" xr:uid="{00000000-0005-0000-0000-00009A1B0000}"/>
    <cellStyle name="Normal 5 5 8 2 2" xfId="16227" xr:uid="{AE8AAC75-1193-4A09-AB44-35AC99CE4D4B}"/>
    <cellStyle name="Normal 5 5 8 3" xfId="12010" xr:uid="{BCE72E66-91F0-4378-9204-EA8962B16492}"/>
    <cellStyle name="Normal 5 5 9" xfId="4836" xr:uid="{00000000-0005-0000-0000-00009B1B0000}"/>
    <cellStyle name="Normal 5 5 9 2" xfId="14162" xr:uid="{EFDC291E-FFD5-4847-A632-645D8479746A}"/>
    <cellStyle name="Normal 5 6" xfId="468" xr:uid="{00000000-0005-0000-0000-00009C1B0000}"/>
    <cellStyle name="Normal 5 6 10" xfId="9949" xr:uid="{0320524F-1C42-41BB-9FE7-F586C075C3B5}"/>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4BCAED07-B1B3-45E3-B4F3-73D2D8CB4F80}"/>
    <cellStyle name="Normal 5 6 2 2 2 3" xfId="12508" xr:uid="{92218D28-5352-41B9-ACFB-2BA355CCB014}"/>
    <cellStyle name="Normal 5 6 2 2 3" xfId="5254" xr:uid="{00000000-0005-0000-0000-0000A11B0000}"/>
    <cellStyle name="Normal 5 6 2 2 3 2" xfId="14580" xr:uid="{9EE34870-A194-47C6-9D58-D4F6050A8553}"/>
    <cellStyle name="Normal 5 6 2 2 4" xfId="9476" xr:uid="{3B3E6CA1-4D97-4B11-99D5-4F82314AA0E0}"/>
    <cellStyle name="Normal 5 6 2 2 5" xfId="10363" xr:uid="{3FE9C2F0-927A-4EF9-9E3B-E245F4414D54}"/>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8B85647C-6EF3-493D-8FB0-6F00826596ED}"/>
    <cellStyle name="Normal 5 6 2 3 2 3" xfId="12921" xr:uid="{8F14D91F-026F-4225-850F-03E48F5769A1}"/>
    <cellStyle name="Normal 5 6 2 3 3" xfId="5667" xr:uid="{00000000-0005-0000-0000-0000A51B0000}"/>
    <cellStyle name="Normal 5 6 2 3 3 2" xfId="14993" xr:uid="{0867178A-3086-4642-977E-E8E305DEAB7C}"/>
    <cellStyle name="Normal 5 6 2 3 4" xfId="10776" xr:uid="{F4784FF0-3EF3-49AF-A5D7-F5C1FDB8FC83}"/>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0A488F6E-E177-4371-925D-3807CA21E88D}"/>
    <cellStyle name="Normal 5 6 2 4 2 3" xfId="13334" xr:uid="{3F195E02-1F79-41E0-9C4E-11EB767691B1}"/>
    <cellStyle name="Normal 5 6 2 4 3" xfId="6080" xr:uid="{00000000-0005-0000-0000-0000A91B0000}"/>
    <cellStyle name="Normal 5 6 2 4 3 2" xfId="15406" xr:uid="{11FBA148-2BD7-4760-882D-3B115CC7721D}"/>
    <cellStyle name="Normal 5 6 2 4 4" xfId="11189" xr:uid="{3A88F510-CCB7-4C8F-B6D4-32811650D782}"/>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A4D129BE-28EF-44E9-84BC-FF1D263CBCAA}"/>
    <cellStyle name="Normal 5 6 2 5 2 3" xfId="13747" xr:uid="{212DEEE7-1DDB-48E4-8EC0-008E98C503C1}"/>
    <cellStyle name="Normal 5 6 2 5 3" xfId="6493" xr:uid="{00000000-0005-0000-0000-0000AD1B0000}"/>
    <cellStyle name="Normal 5 6 2 5 3 2" xfId="15819" xr:uid="{56DE4D6C-A5C3-4474-9E01-CC07C3A1A7AB}"/>
    <cellStyle name="Normal 5 6 2 5 4" xfId="11602" xr:uid="{414BB50A-3485-43CC-9F9F-7E2CEAD73D7A}"/>
    <cellStyle name="Normal 5 6 2 6" xfId="2623" xr:uid="{00000000-0005-0000-0000-0000AE1B0000}"/>
    <cellStyle name="Normal 5 6 2 6 2" xfId="6906" xr:uid="{00000000-0005-0000-0000-0000AF1B0000}"/>
    <cellStyle name="Normal 5 6 2 6 2 2" xfId="16232" xr:uid="{9A6AC26C-365D-4D69-8931-C9BFD4B3FFA6}"/>
    <cellStyle name="Normal 5 6 2 6 3" xfId="12015" xr:uid="{0C4AFAB0-7D6C-4E25-BC0E-F7C02600F96B}"/>
    <cellStyle name="Normal 5 6 2 7" xfId="4841" xr:uid="{00000000-0005-0000-0000-0000B01B0000}"/>
    <cellStyle name="Normal 5 6 2 7 2" xfId="14167" xr:uid="{6899B27E-896C-4238-A864-065E105DF749}"/>
    <cellStyle name="Normal 5 6 2 8" xfId="9051" xr:uid="{97C72229-9AC1-4DA9-8A0B-8B4B6D970DE8}"/>
    <cellStyle name="Normal 5 6 2 9" xfId="9950" xr:uid="{946E3420-CF13-4821-9933-901B9811605C}"/>
    <cellStyle name="Normal 5 6 3" xfId="942" xr:uid="{00000000-0005-0000-0000-0000B11B0000}"/>
    <cellStyle name="Normal 5 6 3 2" xfId="3176" xr:uid="{00000000-0005-0000-0000-0000B21B0000}"/>
    <cellStyle name="Normal 5 6 3 2 2" xfId="7398" xr:uid="{00000000-0005-0000-0000-0000B31B0000}"/>
    <cellStyle name="Normal 5 6 3 2 2 2" xfId="16724" xr:uid="{06FD1C8C-3F93-4FDF-BDFB-CE1AF1B83D3F}"/>
    <cellStyle name="Normal 5 6 3 2 3" xfId="12507" xr:uid="{DE4B16B4-A6DF-44BB-AC87-F89BC6608AE8}"/>
    <cellStyle name="Normal 5 6 3 3" xfId="5253" xr:uid="{00000000-0005-0000-0000-0000B41B0000}"/>
    <cellStyle name="Normal 5 6 3 3 2" xfId="14579" xr:uid="{DCB03522-BF0C-4808-8C39-A4CD1F9BE8DA}"/>
    <cellStyle name="Normal 5 6 3 4" xfId="9269" xr:uid="{7D6728A0-C210-4F3F-8114-143B9AE0BFB4}"/>
    <cellStyle name="Normal 5 6 3 5" xfId="10362" xr:uid="{4C897E9A-BE3F-4F82-B439-4D5307EA877A}"/>
    <cellStyle name="Normal 5 6 4" xfId="1359" xr:uid="{00000000-0005-0000-0000-0000B51B0000}"/>
    <cellStyle name="Normal 5 6 4 2" xfId="3589" xr:uid="{00000000-0005-0000-0000-0000B61B0000}"/>
    <cellStyle name="Normal 5 6 4 2 2" xfId="7811" xr:uid="{00000000-0005-0000-0000-0000B71B0000}"/>
    <cellStyle name="Normal 5 6 4 2 2 2" xfId="17137" xr:uid="{74FAFC07-C747-4414-911A-F41B0A2026B1}"/>
    <cellStyle name="Normal 5 6 4 2 3" xfId="12920" xr:uid="{E587E72D-9513-4DD7-B679-A442A15186EA}"/>
    <cellStyle name="Normal 5 6 4 3" xfId="5666" xr:uid="{00000000-0005-0000-0000-0000B81B0000}"/>
    <cellStyle name="Normal 5 6 4 3 2" xfId="14992" xr:uid="{2960442F-7F6A-481C-B221-FEA5E56BA91B}"/>
    <cellStyle name="Normal 5 6 4 4" xfId="10775" xr:uid="{A57A7CC0-E580-4D98-9DD8-0FDC10222BF5}"/>
    <cellStyle name="Normal 5 6 5" xfId="1772" xr:uid="{00000000-0005-0000-0000-0000B91B0000}"/>
    <cellStyle name="Normal 5 6 5 2" xfId="4002" xr:uid="{00000000-0005-0000-0000-0000BA1B0000}"/>
    <cellStyle name="Normal 5 6 5 2 2" xfId="8224" xr:uid="{00000000-0005-0000-0000-0000BB1B0000}"/>
    <cellStyle name="Normal 5 6 5 2 2 2" xfId="17550" xr:uid="{8BEEE4AA-ABC2-4B83-B017-2078AD2CAE13}"/>
    <cellStyle name="Normal 5 6 5 2 3" xfId="13333" xr:uid="{B21147A8-A91A-461F-BD3C-5417438724BD}"/>
    <cellStyle name="Normal 5 6 5 3" xfId="6079" xr:uid="{00000000-0005-0000-0000-0000BC1B0000}"/>
    <cellStyle name="Normal 5 6 5 3 2" xfId="15405" xr:uid="{0D65F1C3-14F7-4CFA-A6DE-BB6DA0B75A18}"/>
    <cellStyle name="Normal 5 6 5 4" xfId="11188" xr:uid="{AD6756F6-901B-4DC6-9B1D-3B2FEB6535F5}"/>
    <cellStyle name="Normal 5 6 6" xfId="2186" xr:uid="{00000000-0005-0000-0000-0000BD1B0000}"/>
    <cellStyle name="Normal 5 6 6 2" xfId="4415" xr:uid="{00000000-0005-0000-0000-0000BE1B0000}"/>
    <cellStyle name="Normal 5 6 6 2 2" xfId="8637" xr:uid="{00000000-0005-0000-0000-0000BF1B0000}"/>
    <cellStyle name="Normal 5 6 6 2 2 2" xfId="17963" xr:uid="{3F9A7C17-F474-4C33-8F78-66E73155C828}"/>
    <cellStyle name="Normal 5 6 6 2 3" xfId="13746" xr:uid="{F82EE792-B66D-4516-BB01-058812467918}"/>
    <cellStyle name="Normal 5 6 6 3" xfId="6492" xr:uid="{00000000-0005-0000-0000-0000C01B0000}"/>
    <cellStyle name="Normal 5 6 6 3 2" xfId="15818" xr:uid="{A9037F25-C5A8-46F4-BF5D-6D6927D2265D}"/>
    <cellStyle name="Normal 5 6 6 4" xfId="11601" xr:uid="{0F4ACBDC-B3F2-476B-BD12-EF5EEEB06C11}"/>
    <cellStyle name="Normal 5 6 7" xfId="2622" xr:uid="{00000000-0005-0000-0000-0000C11B0000}"/>
    <cellStyle name="Normal 5 6 7 2" xfId="6905" xr:uid="{00000000-0005-0000-0000-0000C21B0000}"/>
    <cellStyle name="Normal 5 6 7 2 2" xfId="16231" xr:uid="{794E6F6B-CD9E-4412-82F7-351642B83185}"/>
    <cellStyle name="Normal 5 6 7 3" xfId="12014" xr:uid="{A2F7DE09-1789-44CF-8228-33A6AAD123E8}"/>
    <cellStyle name="Normal 5 6 8" xfId="4840" xr:uid="{00000000-0005-0000-0000-0000C31B0000}"/>
    <cellStyle name="Normal 5 6 8 2" xfId="14166" xr:uid="{73783145-906F-4F23-A8A4-3B8D4D53FC4F}"/>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4357599F-A8EE-4A86-9479-9C288C2029E1}"/>
    <cellStyle name="Normal 5 7 2 2 3" xfId="12509" xr:uid="{0C39207B-C7FB-4797-B792-5A4B367F1999}"/>
    <cellStyle name="Normal 5 7 2 3" xfId="5255" xr:uid="{00000000-0005-0000-0000-0000C81B0000}"/>
    <cellStyle name="Normal 5 7 2 3 2" xfId="14581" xr:uid="{94E65B9E-0A86-4529-ACC5-93248FFB307B}"/>
    <cellStyle name="Normal 5 7 2 4" xfId="9385" xr:uid="{2E4A3B0A-2E42-41AC-9564-09D1598995A2}"/>
    <cellStyle name="Normal 5 7 2 5" xfId="10364" xr:uid="{0AA42961-3A38-42AF-AC7A-5097273F18F9}"/>
    <cellStyle name="Normal 5 7 3" xfId="1361" xr:uid="{00000000-0005-0000-0000-0000C91B0000}"/>
    <cellStyle name="Normal 5 7 3 2" xfId="3591" xr:uid="{00000000-0005-0000-0000-0000CA1B0000}"/>
    <cellStyle name="Normal 5 7 3 2 2" xfId="7813" xr:uid="{00000000-0005-0000-0000-0000CB1B0000}"/>
    <cellStyle name="Normal 5 7 3 2 2 2" xfId="17139" xr:uid="{F175410E-63B1-4EF6-957B-35139C3CAB72}"/>
    <cellStyle name="Normal 5 7 3 2 3" xfId="12922" xr:uid="{1B17AE84-9853-4018-A8FE-E3B3B984C61A}"/>
    <cellStyle name="Normal 5 7 3 3" xfId="5668" xr:uid="{00000000-0005-0000-0000-0000CC1B0000}"/>
    <cellStyle name="Normal 5 7 3 3 2" xfId="14994" xr:uid="{47D16DAC-9EC7-4FF6-B5A7-410367CEC052}"/>
    <cellStyle name="Normal 5 7 3 4" xfId="10777" xr:uid="{EA98E195-983E-4A6C-9654-91DC55231001}"/>
    <cellStyle name="Normal 5 7 4" xfId="1774" xr:uid="{00000000-0005-0000-0000-0000CD1B0000}"/>
    <cellStyle name="Normal 5 7 4 2" xfId="4004" xr:uid="{00000000-0005-0000-0000-0000CE1B0000}"/>
    <cellStyle name="Normal 5 7 4 2 2" xfId="8226" xr:uid="{00000000-0005-0000-0000-0000CF1B0000}"/>
    <cellStyle name="Normal 5 7 4 2 2 2" xfId="17552" xr:uid="{2AB9F101-AE79-4AD5-A0DC-C076DAFD992D}"/>
    <cellStyle name="Normal 5 7 4 2 3" xfId="13335" xr:uid="{A60B8991-4E2C-4FA7-A03D-50804318229F}"/>
    <cellStyle name="Normal 5 7 4 3" xfId="6081" xr:uid="{00000000-0005-0000-0000-0000D01B0000}"/>
    <cellStyle name="Normal 5 7 4 3 2" xfId="15407" xr:uid="{7C89E169-3B69-42C4-99AE-1AF0CC643545}"/>
    <cellStyle name="Normal 5 7 4 4" xfId="11190" xr:uid="{33B0943D-6ED4-4611-8087-D63B584AE1FD}"/>
    <cellStyle name="Normal 5 7 5" xfId="2188" xr:uid="{00000000-0005-0000-0000-0000D11B0000}"/>
    <cellStyle name="Normal 5 7 5 2" xfId="4417" xr:uid="{00000000-0005-0000-0000-0000D21B0000}"/>
    <cellStyle name="Normal 5 7 5 2 2" xfId="8639" xr:uid="{00000000-0005-0000-0000-0000D31B0000}"/>
    <cellStyle name="Normal 5 7 5 2 2 2" xfId="17965" xr:uid="{C4D3E548-A1B0-4BAB-AE3A-F504E47D8D42}"/>
    <cellStyle name="Normal 5 7 5 2 3" xfId="13748" xr:uid="{97707ED7-08F8-4F42-BAAA-FDD05F6DEA97}"/>
    <cellStyle name="Normal 5 7 5 3" xfId="6494" xr:uid="{00000000-0005-0000-0000-0000D41B0000}"/>
    <cellStyle name="Normal 5 7 5 3 2" xfId="15820" xr:uid="{E8A8D02E-711F-4F36-A356-7557A29FF1A4}"/>
    <cellStyle name="Normal 5 7 5 4" xfId="11603" xr:uid="{12EAE081-50BC-4243-89A9-11F1CEA450C2}"/>
    <cellStyle name="Normal 5 7 6" xfId="2624" xr:uid="{00000000-0005-0000-0000-0000D51B0000}"/>
    <cellStyle name="Normal 5 7 6 2" xfId="6907" xr:uid="{00000000-0005-0000-0000-0000D61B0000}"/>
    <cellStyle name="Normal 5 7 6 2 2" xfId="16233" xr:uid="{FEC278C2-A61F-4064-A4FD-3D943570DC85}"/>
    <cellStyle name="Normal 5 7 6 3" xfId="12016" xr:uid="{6AD58CB3-EC7F-4290-9282-938CCE40883C}"/>
    <cellStyle name="Normal 5 7 7" xfId="4842" xr:uid="{00000000-0005-0000-0000-0000D71B0000}"/>
    <cellStyle name="Normal 5 7 7 2" xfId="14168" xr:uid="{A60938BB-28CB-4D27-B024-80731936E367}"/>
    <cellStyle name="Normal 5 7 8" xfId="8960" xr:uid="{F4BEC964-53C9-4393-B7F1-69B47FC1FF25}"/>
    <cellStyle name="Normal 5 7 9" xfId="9951" xr:uid="{866AAC44-EDBA-4D3B-B642-05D650FC640E}"/>
    <cellStyle name="Normal 5 8" xfId="880" xr:uid="{00000000-0005-0000-0000-0000D81B0000}"/>
    <cellStyle name="Normal 5 8 2" xfId="3115" xr:uid="{00000000-0005-0000-0000-0000D91B0000}"/>
    <cellStyle name="Normal 5 8 2 2" xfId="7337" xr:uid="{00000000-0005-0000-0000-0000DA1B0000}"/>
    <cellStyle name="Normal 5 8 2 2 2" xfId="16663" xr:uid="{CAEE415F-37A0-46BC-BFC4-D97552FDCCE2}"/>
    <cellStyle name="Normal 5 8 2 3" xfId="12446" xr:uid="{9E2E7A9C-93C7-4742-B0AA-599B44427B49}"/>
    <cellStyle name="Normal 5 8 3" xfId="5192" xr:uid="{00000000-0005-0000-0000-0000DB1B0000}"/>
    <cellStyle name="Normal 5 8 3 2" xfId="14518" xr:uid="{6CF8E460-6C52-42D4-A31C-6960723F2564}"/>
    <cellStyle name="Normal 5 8 4" xfId="9163" xr:uid="{44C7CAD4-DD7C-48E0-9142-8ED22123C662}"/>
    <cellStyle name="Normal 5 8 5" xfId="10301" xr:uid="{64CABCC7-40F1-41EE-BC0C-D770BCF210C9}"/>
    <cellStyle name="Normal 5 9" xfId="1298" xr:uid="{00000000-0005-0000-0000-0000DC1B0000}"/>
    <cellStyle name="Normal 5 9 2" xfId="3528" xr:uid="{00000000-0005-0000-0000-0000DD1B0000}"/>
    <cellStyle name="Normal 5 9 2 2" xfId="7750" xr:uid="{00000000-0005-0000-0000-0000DE1B0000}"/>
    <cellStyle name="Normal 5 9 2 2 2" xfId="17076" xr:uid="{2108F9FB-62E6-443B-A3C0-3F4BCB9B8330}"/>
    <cellStyle name="Normal 5 9 2 3" xfId="12859" xr:uid="{CD037499-C6B0-45B3-A6F4-3EF7A778C062}"/>
    <cellStyle name="Normal 5 9 3" xfId="5605" xr:uid="{00000000-0005-0000-0000-0000DF1B0000}"/>
    <cellStyle name="Normal 5 9 3 2" xfId="14931" xr:uid="{C824319B-505E-46D3-85A6-7B8096644537}"/>
    <cellStyle name="Normal 5 9 4" xfId="10714" xr:uid="{1AE6474B-AA66-441F-9C5E-C60DCB80BAF6}"/>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E6D3B439-A674-4CE7-834D-F05E07278230}"/>
    <cellStyle name="Normal 8 10 2 3" xfId="13749" xr:uid="{96D4999B-F5C1-457F-BB83-252FB2DB507B}"/>
    <cellStyle name="Normal 8 10 3" xfId="6495" xr:uid="{00000000-0005-0000-0000-0000EB1B0000}"/>
    <cellStyle name="Normal 8 10 3 2" xfId="15821" xr:uid="{FC0EDD59-A682-4C6B-9A22-3A71808EFF11}"/>
    <cellStyle name="Normal 8 10 4" xfId="11604" xr:uid="{A347D167-B96D-46F9-AAF9-ED851F2BCBFE}"/>
    <cellStyle name="Normal 8 11" xfId="2625" xr:uid="{00000000-0005-0000-0000-0000EC1B0000}"/>
    <cellStyle name="Normal 8 11 2" xfId="6908" xr:uid="{00000000-0005-0000-0000-0000ED1B0000}"/>
    <cellStyle name="Normal 8 11 2 2" xfId="16234" xr:uid="{220DDFF2-672D-487E-81A2-5354DA432716}"/>
    <cellStyle name="Normal 8 11 3" xfId="12017" xr:uid="{1E95735D-15A2-40B4-957D-53857F2BF44E}"/>
    <cellStyle name="Normal 8 12" xfId="4843" xr:uid="{00000000-0005-0000-0000-0000EE1B0000}"/>
    <cellStyle name="Normal 8 12 2" xfId="14169" xr:uid="{3911777E-8D5D-4CEA-8D4D-0F45785A49BA}"/>
    <cellStyle name="Normal 8 13" xfId="8742" xr:uid="{AF36CBBC-3EEB-4AC8-923B-65C7C2418AB0}"/>
    <cellStyle name="Normal 8 14" xfId="9952" xr:uid="{BB71C266-225A-4C5C-B768-B8AB9CC77F22}"/>
    <cellStyle name="Normal 8 2" xfId="479" xr:uid="{00000000-0005-0000-0000-0000EF1B0000}"/>
    <cellStyle name="Normal 8 2 10" xfId="2626" xr:uid="{00000000-0005-0000-0000-0000F01B0000}"/>
    <cellStyle name="Normal 8 2 10 2" xfId="6909" xr:uid="{00000000-0005-0000-0000-0000F11B0000}"/>
    <cellStyle name="Normal 8 2 10 2 2" xfId="16235" xr:uid="{4D64EC56-EA69-461F-A7CC-F844435152E9}"/>
    <cellStyle name="Normal 8 2 10 3" xfId="12018" xr:uid="{481DA294-5487-4E80-8831-F92C2F54945D}"/>
    <cellStyle name="Normal 8 2 11" xfId="4844" xr:uid="{00000000-0005-0000-0000-0000F21B0000}"/>
    <cellStyle name="Normal 8 2 11 2" xfId="14170" xr:uid="{1342B9FE-B9F3-4777-94D2-F1FCBCB32E20}"/>
    <cellStyle name="Normal 8 2 12" xfId="8751" xr:uid="{476D0553-3387-4D9F-B05B-56EC7A36F7A1}"/>
    <cellStyle name="Normal 8 2 13" xfId="9953" xr:uid="{745B99AA-1EEA-43AD-A673-D994F2A626BC}"/>
    <cellStyle name="Normal 8 2 2" xfId="480" xr:uid="{00000000-0005-0000-0000-0000F31B0000}"/>
    <cellStyle name="Normal 8 2 2 10" xfId="4845" xr:uid="{00000000-0005-0000-0000-0000F41B0000}"/>
    <cellStyle name="Normal 8 2 2 10 2" xfId="14171" xr:uid="{72EA911D-E82F-4EDA-BBF4-BEE9F421C799}"/>
    <cellStyle name="Normal 8 2 2 11" xfId="8783" xr:uid="{3C426022-C415-47DA-A8EF-1D6CE72527BD}"/>
    <cellStyle name="Normal 8 2 2 12" xfId="9954" xr:uid="{E3E782BC-2B84-4835-87D9-2B4B155085CC}"/>
    <cellStyle name="Normal 8 2 2 2" xfId="481" xr:uid="{00000000-0005-0000-0000-0000F51B0000}"/>
    <cellStyle name="Normal 8 2 2 2 10" xfId="8836" xr:uid="{870E50AF-610D-4E0C-BDE0-389D6B32A0FA}"/>
    <cellStyle name="Normal 8 2 2 2 11" xfId="9955" xr:uid="{FD73ED9B-F55F-4A6F-9852-08667B410141}"/>
    <cellStyle name="Normal 8 2 2 2 2" xfId="482" xr:uid="{00000000-0005-0000-0000-0000F61B0000}"/>
    <cellStyle name="Normal 8 2 2 2 2 10" xfId="9956" xr:uid="{4C206F1B-15FE-4515-89F3-1A5BD4BBF1BB}"/>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AC12460E-740C-478D-A226-17894CBFDCCC}"/>
    <cellStyle name="Normal 8 2 2 2 2 2 2 2 3" xfId="12515" xr:uid="{32A6AC9F-933C-4A95-B249-042E7B1129AF}"/>
    <cellStyle name="Normal 8 2 2 2 2 2 2 3" xfId="5261" xr:uid="{00000000-0005-0000-0000-0000FB1B0000}"/>
    <cellStyle name="Normal 8 2 2 2 2 2 2 3 2" xfId="14587" xr:uid="{A5E4E8D6-B7C2-4CBA-BF46-9F98E98171AE}"/>
    <cellStyle name="Normal 8 2 2 2 2 2 2 4" xfId="9571" xr:uid="{B467C179-FE08-45F9-B1E6-E66379D80EBC}"/>
    <cellStyle name="Normal 8 2 2 2 2 2 2 5" xfId="10370" xr:uid="{1C470B2E-831E-498F-A5F5-9BBA061ED569}"/>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98277C35-A280-447B-A99F-4A9E9097711F}"/>
    <cellStyle name="Normal 8 2 2 2 2 2 3 2 3" xfId="12928" xr:uid="{1ECB84F4-BD0A-426C-936E-080B8A19DC8B}"/>
    <cellStyle name="Normal 8 2 2 2 2 2 3 3" xfId="5674" xr:uid="{00000000-0005-0000-0000-0000FF1B0000}"/>
    <cellStyle name="Normal 8 2 2 2 2 2 3 3 2" xfId="15000" xr:uid="{A70C4081-96DC-4852-B9A7-04612A418086}"/>
    <cellStyle name="Normal 8 2 2 2 2 2 3 4" xfId="10783" xr:uid="{31B2381D-33F6-4301-AF2E-71C959B96C47}"/>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484D7CD4-17E2-4B55-890E-B9DED9EFF797}"/>
    <cellStyle name="Normal 8 2 2 2 2 2 4 2 3" xfId="13341" xr:uid="{C1D466F8-C2CE-4799-8FB8-9C3A483BFCC7}"/>
    <cellStyle name="Normal 8 2 2 2 2 2 4 3" xfId="6087" xr:uid="{00000000-0005-0000-0000-0000031C0000}"/>
    <cellStyle name="Normal 8 2 2 2 2 2 4 3 2" xfId="15413" xr:uid="{DBA6739E-1BE5-47B7-B224-DC1F908255BC}"/>
    <cellStyle name="Normal 8 2 2 2 2 2 4 4" xfId="11196" xr:uid="{4AD54264-912D-41CC-B939-C547D4E1D003}"/>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76E31484-8D6A-4D0F-AE37-30D78B817499}"/>
    <cellStyle name="Normal 8 2 2 2 2 2 5 2 3" xfId="13754" xr:uid="{1AD359D2-95E1-44B5-B3FA-ABFB754BE8BE}"/>
    <cellStyle name="Normal 8 2 2 2 2 2 5 3" xfId="6500" xr:uid="{00000000-0005-0000-0000-0000071C0000}"/>
    <cellStyle name="Normal 8 2 2 2 2 2 5 3 2" xfId="15826" xr:uid="{94FC3EF4-51DC-4E94-B492-D4555B809851}"/>
    <cellStyle name="Normal 8 2 2 2 2 2 5 4" xfId="11609" xr:uid="{ABA9BB57-9C67-4E2E-A2D9-04B491A9A561}"/>
    <cellStyle name="Normal 8 2 2 2 2 2 6" xfId="2630" xr:uid="{00000000-0005-0000-0000-0000081C0000}"/>
    <cellStyle name="Normal 8 2 2 2 2 2 6 2" xfId="6913" xr:uid="{00000000-0005-0000-0000-0000091C0000}"/>
    <cellStyle name="Normal 8 2 2 2 2 2 6 2 2" xfId="16239" xr:uid="{53F6504A-14B4-4DC6-BBA6-9ECC316A23E5}"/>
    <cellStyle name="Normal 8 2 2 2 2 2 6 3" xfId="12022" xr:uid="{43595507-9FF0-46CF-A838-D35B822B1AF5}"/>
    <cellStyle name="Normal 8 2 2 2 2 2 7" xfId="4848" xr:uid="{00000000-0005-0000-0000-00000A1C0000}"/>
    <cellStyle name="Normal 8 2 2 2 2 2 7 2" xfId="14174" xr:uid="{ED418276-205D-4670-9CAD-2D7B27204978}"/>
    <cellStyle name="Normal 8 2 2 2 2 2 8" xfId="9146" xr:uid="{0E570703-055D-406D-8BD9-575AF6037A75}"/>
    <cellStyle name="Normal 8 2 2 2 2 2 9" xfId="9957" xr:uid="{8FDD54C1-6FB8-4DA3-8772-F72515AED30E}"/>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275B52FC-5649-49E2-A551-A40BC444B847}"/>
    <cellStyle name="Normal 8 2 2 2 2 3 2 3" xfId="12514" xr:uid="{C457710B-EC6F-4F2E-B5D8-BA5DE2CD1410}"/>
    <cellStyle name="Normal 8 2 2 2 2 3 3" xfId="5260" xr:uid="{00000000-0005-0000-0000-00000E1C0000}"/>
    <cellStyle name="Normal 8 2 2 2 2 3 3 2" xfId="14586" xr:uid="{EEB13B74-ED89-46E5-98B5-796E08A1E16E}"/>
    <cellStyle name="Normal 8 2 2 2 2 3 4" xfId="9364" xr:uid="{21426B7C-FC96-483C-B560-AC4767107497}"/>
    <cellStyle name="Normal 8 2 2 2 2 3 5" xfId="10369" xr:uid="{B2B218B4-6D50-4551-B2A7-3DBB1E44999B}"/>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A9AD2E07-5A19-4953-B90F-932E055D9826}"/>
    <cellStyle name="Normal 8 2 2 2 2 4 2 3" xfId="12927" xr:uid="{D1C92C9C-0A79-48A8-BC1D-3D7049DB5440}"/>
    <cellStyle name="Normal 8 2 2 2 2 4 3" xfId="5673" xr:uid="{00000000-0005-0000-0000-0000121C0000}"/>
    <cellStyle name="Normal 8 2 2 2 2 4 3 2" xfId="14999" xr:uid="{19035D6A-19D2-40A1-91A0-9F062F76EC06}"/>
    <cellStyle name="Normal 8 2 2 2 2 4 4" xfId="10782" xr:uid="{381D274C-CD72-42B6-B899-889C0E69509D}"/>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3872F398-C49D-4F3B-B993-56CBB9DAF315}"/>
    <cellStyle name="Normal 8 2 2 2 2 5 2 3" xfId="13340" xr:uid="{646F9664-7092-4C2F-B5A4-861F08D3BE4B}"/>
    <cellStyle name="Normal 8 2 2 2 2 5 3" xfId="6086" xr:uid="{00000000-0005-0000-0000-0000161C0000}"/>
    <cellStyle name="Normal 8 2 2 2 2 5 3 2" xfId="15412" xr:uid="{32A1647B-6633-4A47-B1DC-8BCB6169FBA6}"/>
    <cellStyle name="Normal 8 2 2 2 2 5 4" xfId="11195" xr:uid="{8E9DE384-90C1-4901-BEFC-F677F805A163}"/>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3F6AA408-EBED-4790-8F87-E03612AA4869}"/>
    <cellStyle name="Normal 8 2 2 2 2 6 2 3" xfId="13753" xr:uid="{89436146-362E-490F-A242-4A6FD44621E4}"/>
    <cellStyle name="Normal 8 2 2 2 2 6 3" xfId="6499" xr:uid="{00000000-0005-0000-0000-00001A1C0000}"/>
    <cellStyle name="Normal 8 2 2 2 2 6 3 2" xfId="15825" xr:uid="{460D76F7-CA8E-4B8A-8F9A-1D4E23C21501}"/>
    <cellStyle name="Normal 8 2 2 2 2 6 4" xfId="11608" xr:uid="{46A3E833-C1CC-42C5-B1D4-8FF33CF64CAE}"/>
    <cellStyle name="Normal 8 2 2 2 2 7" xfId="2629" xr:uid="{00000000-0005-0000-0000-00001B1C0000}"/>
    <cellStyle name="Normal 8 2 2 2 2 7 2" xfId="6912" xr:uid="{00000000-0005-0000-0000-00001C1C0000}"/>
    <cellStyle name="Normal 8 2 2 2 2 7 2 2" xfId="16238" xr:uid="{15432C6C-48E3-4AD1-9F86-0A83EFA9DA12}"/>
    <cellStyle name="Normal 8 2 2 2 2 7 3" xfId="12021" xr:uid="{80FBE979-C45C-4827-ABDA-E394194E2AA1}"/>
    <cellStyle name="Normal 8 2 2 2 2 8" xfId="4847" xr:uid="{00000000-0005-0000-0000-00001D1C0000}"/>
    <cellStyle name="Normal 8 2 2 2 2 8 2" xfId="14173" xr:uid="{E3BF12CB-C19A-46B6-A3F8-029993D35D5A}"/>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DC66B3AF-E7B2-4847-92D9-18C993F6A437}"/>
    <cellStyle name="Normal 8 2 2 2 3 2 2 3" xfId="12516" xr:uid="{9D1258C6-3B99-4EF1-B496-9E8490CC5DEC}"/>
    <cellStyle name="Normal 8 2 2 2 3 2 3" xfId="5262" xr:uid="{00000000-0005-0000-0000-0000221C0000}"/>
    <cellStyle name="Normal 8 2 2 2 3 2 3 2" xfId="14588" xr:uid="{7B783349-99FB-4F9E-98B8-09D34E1579CE}"/>
    <cellStyle name="Normal 8 2 2 2 3 2 4" xfId="9468" xr:uid="{8CC4AD0E-72B4-4935-8967-B171D7B5EF8D}"/>
    <cellStyle name="Normal 8 2 2 2 3 2 5" xfId="10371" xr:uid="{5924E737-1E51-4BB3-B78E-BC3D581841AA}"/>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0B45EE10-B15C-4671-9F0B-638CDDAA590F}"/>
    <cellStyle name="Normal 8 2 2 2 3 3 2 3" xfId="12929" xr:uid="{DA469210-5FE9-4C12-962A-F2DC28D11ABC}"/>
    <cellStyle name="Normal 8 2 2 2 3 3 3" xfId="5675" xr:uid="{00000000-0005-0000-0000-0000261C0000}"/>
    <cellStyle name="Normal 8 2 2 2 3 3 3 2" xfId="15001" xr:uid="{2C6AE401-D030-4B3B-83B6-4BE9230A7A5A}"/>
    <cellStyle name="Normal 8 2 2 2 3 3 4" xfId="10784" xr:uid="{8C068C54-4A3C-4C4B-81B8-55FF85AA9F97}"/>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FA5845DF-5A93-4366-8886-47592BF395A6}"/>
    <cellStyle name="Normal 8 2 2 2 3 4 2 3" xfId="13342" xr:uid="{2E8ED8EC-9738-4B64-BB78-058E1CEEEA01}"/>
    <cellStyle name="Normal 8 2 2 2 3 4 3" xfId="6088" xr:uid="{00000000-0005-0000-0000-00002A1C0000}"/>
    <cellStyle name="Normal 8 2 2 2 3 4 3 2" xfId="15414" xr:uid="{A72C18B9-EF7F-491C-8650-607216E1FB0F}"/>
    <cellStyle name="Normal 8 2 2 2 3 4 4" xfId="11197" xr:uid="{112C8287-754C-444D-8365-54CAA53A081F}"/>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733F9617-EB08-491D-8E89-F43CBEC99857}"/>
    <cellStyle name="Normal 8 2 2 2 3 5 2 3" xfId="13755" xr:uid="{425D4931-6746-4417-AE55-5245657C50EF}"/>
    <cellStyle name="Normal 8 2 2 2 3 5 3" xfId="6501" xr:uid="{00000000-0005-0000-0000-00002E1C0000}"/>
    <cellStyle name="Normal 8 2 2 2 3 5 3 2" xfId="15827" xr:uid="{86AD8AF4-0B10-4DC5-9FCD-C21D047C5037}"/>
    <cellStyle name="Normal 8 2 2 2 3 5 4" xfId="11610" xr:uid="{BEA44130-1B68-4536-B29D-4BB806FDBC58}"/>
    <cellStyle name="Normal 8 2 2 2 3 6" xfId="2631" xr:uid="{00000000-0005-0000-0000-00002F1C0000}"/>
    <cellStyle name="Normal 8 2 2 2 3 6 2" xfId="6914" xr:uid="{00000000-0005-0000-0000-0000301C0000}"/>
    <cellStyle name="Normal 8 2 2 2 3 6 2 2" xfId="16240" xr:uid="{9240ACED-EA40-4CA5-B9F9-EB591DC53A80}"/>
    <cellStyle name="Normal 8 2 2 2 3 6 3" xfId="12023" xr:uid="{A0792AE2-BD74-44A8-A266-CD36C1C6A901}"/>
    <cellStyle name="Normal 8 2 2 2 3 7" xfId="4849" xr:uid="{00000000-0005-0000-0000-0000311C0000}"/>
    <cellStyle name="Normal 8 2 2 2 3 7 2" xfId="14175" xr:uid="{96DE9E7D-C57A-42C4-A314-6396593B90B9}"/>
    <cellStyle name="Normal 8 2 2 2 3 8" xfId="9043" xr:uid="{BAC463DF-40A7-4F07-ADD3-7274E57F505C}"/>
    <cellStyle name="Normal 8 2 2 2 3 9" xfId="9958" xr:uid="{853F3398-FEE0-45FE-AC88-AB6E1C506B64}"/>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745E9552-A5F2-4E70-B49A-4C0E738ED9CA}"/>
    <cellStyle name="Normal 8 2 2 2 4 2 3" xfId="12513" xr:uid="{4A9D7FBC-A988-46B3-8A71-9E605E8E2EC9}"/>
    <cellStyle name="Normal 8 2 2 2 4 3" xfId="5259" xr:uid="{00000000-0005-0000-0000-0000351C0000}"/>
    <cellStyle name="Normal 8 2 2 2 4 3 2" xfId="14585" xr:uid="{55CFF27E-4DA2-4CC6-AB12-63CE37109BDB}"/>
    <cellStyle name="Normal 8 2 2 2 4 4" xfId="9261" xr:uid="{70C29865-A6DE-4682-9EB1-83E4E07FD0A7}"/>
    <cellStyle name="Normal 8 2 2 2 4 5" xfId="10368" xr:uid="{2DF13229-C379-4D32-9026-097006D42D2F}"/>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C06E4EB1-BA12-435B-A6C0-01F267A78EB0}"/>
    <cellStyle name="Normal 8 2 2 2 5 2 3" xfId="12926" xr:uid="{653FC2AE-9F8A-4632-8EA0-D6206DFFE743}"/>
    <cellStyle name="Normal 8 2 2 2 5 3" xfId="5672" xr:uid="{00000000-0005-0000-0000-0000391C0000}"/>
    <cellStyle name="Normal 8 2 2 2 5 3 2" xfId="14998" xr:uid="{46EE990A-2AED-4F13-81A4-E0998B7762EC}"/>
    <cellStyle name="Normal 8 2 2 2 5 4" xfId="10781" xr:uid="{3D53349A-7C29-4FCD-AB5A-606B550A488E}"/>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60AE4940-C382-49F2-A5B1-F2644D758D84}"/>
    <cellStyle name="Normal 8 2 2 2 6 2 3" xfId="13339" xr:uid="{8BCBFA5E-05E1-4302-B7BD-B8470CBFB26E}"/>
    <cellStyle name="Normal 8 2 2 2 6 3" xfId="6085" xr:uid="{00000000-0005-0000-0000-00003D1C0000}"/>
    <cellStyle name="Normal 8 2 2 2 6 3 2" xfId="15411" xr:uid="{B88F7FCB-1E1B-4A30-AC57-18FAE9B77519}"/>
    <cellStyle name="Normal 8 2 2 2 6 4" xfId="11194" xr:uid="{E90F69B1-982E-4276-A3AB-01D00C0DC78B}"/>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D9647BB3-8B39-41A5-A530-21447603E0AB}"/>
    <cellStyle name="Normal 8 2 2 2 7 2 3" xfId="13752" xr:uid="{43143537-BDA3-4D29-BA31-4238556BCCB2}"/>
    <cellStyle name="Normal 8 2 2 2 7 3" xfId="6498" xr:uid="{00000000-0005-0000-0000-0000411C0000}"/>
    <cellStyle name="Normal 8 2 2 2 7 3 2" xfId="15824" xr:uid="{EFB9348A-9B05-4477-9A44-8ABD6CAD8FD1}"/>
    <cellStyle name="Normal 8 2 2 2 7 4" xfId="11607" xr:uid="{4095896E-9E3F-4E4F-838F-51F774B20154}"/>
    <cellStyle name="Normal 8 2 2 2 8" xfId="2628" xr:uid="{00000000-0005-0000-0000-0000421C0000}"/>
    <cellStyle name="Normal 8 2 2 2 8 2" xfId="6911" xr:uid="{00000000-0005-0000-0000-0000431C0000}"/>
    <cellStyle name="Normal 8 2 2 2 8 2 2" xfId="16237" xr:uid="{8AD164AF-7C3A-4406-A554-5DD5E7BBF159}"/>
    <cellStyle name="Normal 8 2 2 2 8 3" xfId="12020" xr:uid="{470F5483-CDBF-4434-99CA-E16645455001}"/>
    <cellStyle name="Normal 8 2 2 2 9" xfId="4846" xr:uid="{00000000-0005-0000-0000-0000441C0000}"/>
    <cellStyle name="Normal 8 2 2 2 9 2" xfId="14172" xr:uid="{D80211DC-5040-4BC4-87E9-12AE1DFEE621}"/>
    <cellStyle name="Normal 8 2 2 3" xfId="485" xr:uid="{00000000-0005-0000-0000-0000451C0000}"/>
    <cellStyle name="Normal 8 2 2 3 10" xfId="9959" xr:uid="{64AA0878-3ED9-416E-A63D-F15DBEA3E1C9}"/>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1290B633-757D-43FB-9DA8-DCDCE628AA2B}"/>
    <cellStyle name="Normal 8 2 2 3 2 2 2 3" xfId="12518" xr:uid="{18F0EA5A-40AB-4734-AC26-7FF8097EC3C4}"/>
    <cellStyle name="Normal 8 2 2 3 2 2 3" xfId="5264" xr:uid="{00000000-0005-0000-0000-00004A1C0000}"/>
    <cellStyle name="Normal 8 2 2 3 2 2 3 2" xfId="14590" xr:uid="{70FF63E6-F0F4-4F07-B8AC-3A48784D898F}"/>
    <cellStyle name="Normal 8 2 2 3 2 2 4" xfId="9518" xr:uid="{FDE93D5E-A6D1-456B-8726-FC2AB8FD16A4}"/>
    <cellStyle name="Normal 8 2 2 3 2 2 5" xfId="10373" xr:uid="{C39C4E40-2175-4CE0-8BC9-06AE46F0193D}"/>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7C89488B-04C4-4626-926A-D505FC8D3098}"/>
    <cellStyle name="Normal 8 2 2 3 2 3 2 3" xfId="12931" xr:uid="{AA0B9A9F-9930-4DCE-9237-D2934EB5D31B}"/>
    <cellStyle name="Normal 8 2 2 3 2 3 3" xfId="5677" xr:uid="{00000000-0005-0000-0000-00004E1C0000}"/>
    <cellStyle name="Normal 8 2 2 3 2 3 3 2" xfId="15003" xr:uid="{99636659-AB08-4C82-9CD4-98006C6FA4C3}"/>
    <cellStyle name="Normal 8 2 2 3 2 3 4" xfId="10786" xr:uid="{5EF9866D-8ABB-49AD-B391-901470ED1639}"/>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53B5C197-D586-478D-AB70-175A3B25F945}"/>
    <cellStyle name="Normal 8 2 2 3 2 4 2 3" xfId="13344" xr:uid="{CE659939-BCCB-47EB-BD14-2E5630D3705C}"/>
    <cellStyle name="Normal 8 2 2 3 2 4 3" xfId="6090" xr:uid="{00000000-0005-0000-0000-0000521C0000}"/>
    <cellStyle name="Normal 8 2 2 3 2 4 3 2" xfId="15416" xr:uid="{C725D837-393E-4AAA-9E03-2089BA746FAD}"/>
    <cellStyle name="Normal 8 2 2 3 2 4 4" xfId="11199" xr:uid="{5D105C8E-B517-4676-84F5-848197F5F7DD}"/>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81E28D1E-9DF4-4196-B91D-E068546D7C48}"/>
    <cellStyle name="Normal 8 2 2 3 2 5 2 3" xfId="13757" xr:uid="{FB64491A-5B7B-426F-8F9B-239EB1659A45}"/>
    <cellStyle name="Normal 8 2 2 3 2 5 3" xfId="6503" xr:uid="{00000000-0005-0000-0000-0000561C0000}"/>
    <cellStyle name="Normal 8 2 2 3 2 5 3 2" xfId="15829" xr:uid="{5BDC3CD7-1523-4D21-A6F7-8EA7FA1DA1EE}"/>
    <cellStyle name="Normal 8 2 2 3 2 5 4" xfId="11612" xr:uid="{8C998A3C-438C-4450-9B80-5357FBCBEB79}"/>
    <cellStyle name="Normal 8 2 2 3 2 6" xfId="2633" xr:uid="{00000000-0005-0000-0000-0000571C0000}"/>
    <cellStyle name="Normal 8 2 2 3 2 6 2" xfId="6916" xr:uid="{00000000-0005-0000-0000-0000581C0000}"/>
    <cellStyle name="Normal 8 2 2 3 2 6 2 2" xfId="16242" xr:uid="{1DBC6428-FEC3-42C0-BBFC-CF0E49184AE9}"/>
    <cellStyle name="Normal 8 2 2 3 2 6 3" xfId="12025" xr:uid="{E3BFD731-5C7D-4E6E-AF09-BD59FBF23186}"/>
    <cellStyle name="Normal 8 2 2 3 2 7" xfId="4851" xr:uid="{00000000-0005-0000-0000-0000591C0000}"/>
    <cellStyle name="Normal 8 2 2 3 2 7 2" xfId="14177" xr:uid="{198D8EE9-B665-41AD-ADF5-3FF1DA0D234A}"/>
    <cellStyle name="Normal 8 2 2 3 2 8" xfId="9093" xr:uid="{ADE34C72-BCCB-477C-B66A-BE7159CEB281}"/>
    <cellStyle name="Normal 8 2 2 3 2 9" xfId="9960" xr:uid="{902E7B3E-D72F-4D25-9DFF-EB9F40F9085B}"/>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5B3684DA-5378-45EE-A795-0AB2C411426C}"/>
    <cellStyle name="Normal 8 2 2 3 3 2 3" xfId="12517" xr:uid="{C9F36978-BD15-4F1D-BBBA-83F30F1AAF6C}"/>
    <cellStyle name="Normal 8 2 2 3 3 3" xfId="5263" xr:uid="{00000000-0005-0000-0000-00005D1C0000}"/>
    <cellStyle name="Normal 8 2 2 3 3 3 2" xfId="14589" xr:uid="{0F3512EB-BD79-4303-BA07-187BA0C9F801}"/>
    <cellStyle name="Normal 8 2 2 3 3 4" xfId="9311" xr:uid="{F4618F1E-1235-4269-B5C6-B09BE5034F6C}"/>
    <cellStyle name="Normal 8 2 2 3 3 5" xfId="10372" xr:uid="{073EDF70-16FF-454A-905D-6E8B5CF4F261}"/>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5EF70222-1378-4B93-B1C2-43FF434A6C61}"/>
    <cellStyle name="Normal 8 2 2 3 4 2 3" xfId="12930" xr:uid="{85323768-281A-46E9-ABEF-A070BA3AE81E}"/>
    <cellStyle name="Normal 8 2 2 3 4 3" xfId="5676" xr:uid="{00000000-0005-0000-0000-0000611C0000}"/>
    <cellStyle name="Normal 8 2 2 3 4 3 2" xfId="15002" xr:uid="{1A41DFB0-210E-4F7B-8278-7FD0D811126E}"/>
    <cellStyle name="Normal 8 2 2 3 4 4" xfId="10785" xr:uid="{8ED2015B-E9E1-4646-A0C4-6D3C8F9034BF}"/>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05BF4CAC-AFC1-453B-ADCA-3EAC4EF1E2DD}"/>
    <cellStyle name="Normal 8 2 2 3 5 2 3" xfId="13343" xr:uid="{FEBC3A6D-CC33-45F7-9835-15BAA1C0C05E}"/>
    <cellStyle name="Normal 8 2 2 3 5 3" xfId="6089" xr:uid="{00000000-0005-0000-0000-0000651C0000}"/>
    <cellStyle name="Normal 8 2 2 3 5 3 2" xfId="15415" xr:uid="{9DDC6FD9-31A5-4191-9A96-9A4C97B22875}"/>
    <cellStyle name="Normal 8 2 2 3 5 4" xfId="11198" xr:uid="{75C6205C-5B41-4083-A465-86ABA195E9DA}"/>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F5ED8F91-0982-4979-977F-3C30BD65A3A8}"/>
    <cellStyle name="Normal 8 2 2 3 6 2 3" xfId="13756" xr:uid="{89A4820C-7CE6-4598-8388-5E050E459328}"/>
    <cellStyle name="Normal 8 2 2 3 6 3" xfId="6502" xr:uid="{00000000-0005-0000-0000-0000691C0000}"/>
    <cellStyle name="Normal 8 2 2 3 6 3 2" xfId="15828" xr:uid="{16722BCE-9F3C-42EF-BEC2-767079E3BF0C}"/>
    <cellStyle name="Normal 8 2 2 3 6 4" xfId="11611" xr:uid="{3DE5F9E1-A551-47BE-82CA-8CB199057027}"/>
    <cellStyle name="Normal 8 2 2 3 7" xfId="2632" xr:uid="{00000000-0005-0000-0000-00006A1C0000}"/>
    <cellStyle name="Normal 8 2 2 3 7 2" xfId="6915" xr:uid="{00000000-0005-0000-0000-00006B1C0000}"/>
    <cellStyle name="Normal 8 2 2 3 7 2 2" xfId="16241" xr:uid="{02D34348-CE4A-4FB2-97FC-457C2101C4C9}"/>
    <cellStyle name="Normal 8 2 2 3 7 3" xfId="12024" xr:uid="{C3E567FC-F7ED-4DDB-BD22-FCDE99624D4A}"/>
    <cellStyle name="Normal 8 2 2 3 8" xfId="4850" xr:uid="{00000000-0005-0000-0000-00006C1C0000}"/>
    <cellStyle name="Normal 8 2 2 3 8 2" xfId="14176" xr:uid="{0C3C9207-861E-4BF3-846C-647DB09FC19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698579B9-8F53-4B7F-BA69-06ED7A7B4C13}"/>
    <cellStyle name="Normal 8 2 2 4 2 2 3" xfId="12519" xr:uid="{2764794C-0A08-4B7D-BFB4-D5D80B0B43AA}"/>
    <cellStyle name="Normal 8 2 2 4 2 3" xfId="5265" xr:uid="{00000000-0005-0000-0000-0000711C0000}"/>
    <cellStyle name="Normal 8 2 2 4 2 3 2" xfId="14591" xr:uid="{42BE33DE-76A9-4F1D-93E0-2567B596884B}"/>
    <cellStyle name="Normal 8 2 2 4 2 4" xfId="9415" xr:uid="{88D7FF95-DEA9-4369-BE01-487FC7B2B7E8}"/>
    <cellStyle name="Normal 8 2 2 4 2 5" xfId="10374" xr:uid="{607DD055-8302-4BC9-990A-CC277BB3240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955D4573-BB1E-443A-A280-A54A4E53D219}"/>
    <cellStyle name="Normal 8 2 2 4 3 2 3" xfId="12932" xr:uid="{E8B5A2D6-14D2-4DF8-B35A-F796AD0E5E12}"/>
    <cellStyle name="Normal 8 2 2 4 3 3" xfId="5678" xr:uid="{00000000-0005-0000-0000-0000751C0000}"/>
    <cellStyle name="Normal 8 2 2 4 3 3 2" xfId="15004" xr:uid="{A8B8FF87-A7C0-4202-B290-25DBE8736E60}"/>
    <cellStyle name="Normal 8 2 2 4 3 4" xfId="10787" xr:uid="{90566535-86FD-4F60-A551-1E77DD952BEF}"/>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4F6D04BF-9EE9-4248-A1ED-8BDD72356D03}"/>
    <cellStyle name="Normal 8 2 2 4 4 2 3" xfId="13345" xr:uid="{BCAFC6AC-4825-49DD-A306-DD341DE1656A}"/>
    <cellStyle name="Normal 8 2 2 4 4 3" xfId="6091" xr:uid="{00000000-0005-0000-0000-0000791C0000}"/>
    <cellStyle name="Normal 8 2 2 4 4 3 2" xfId="15417" xr:uid="{933686DF-2DA3-4AC5-B542-6D5E15C96DBE}"/>
    <cellStyle name="Normal 8 2 2 4 4 4" xfId="11200" xr:uid="{BE0B3932-DD25-4EB0-A009-EDB8EFCDE5B6}"/>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874A4D20-B1A3-4A33-BC30-11988120DFE3}"/>
    <cellStyle name="Normal 8 2 2 4 5 2 3" xfId="13758" xr:uid="{581B3891-2A17-4860-A366-F4F236AEA378}"/>
    <cellStyle name="Normal 8 2 2 4 5 3" xfId="6504" xr:uid="{00000000-0005-0000-0000-00007D1C0000}"/>
    <cellStyle name="Normal 8 2 2 4 5 3 2" xfId="15830" xr:uid="{1F7F7306-1092-430C-81C2-A8831C6E8A56}"/>
    <cellStyle name="Normal 8 2 2 4 5 4" xfId="11613" xr:uid="{A05C85D7-0698-4599-8B1C-CA5D0823AEC6}"/>
    <cellStyle name="Normal 8 2 2 4 6" xfId="2634" xr:uid="{00000000-0005-0000-0000-00007E1C0000}"/>
    <cellStyle name="Normal 8 2 2 4 6 2" xfId="6917" xr:uid="{00000000-0005-0000-0000-00007F1C0000}"/>
    <cellStyle name="Normal 8 2 2 4 6 2 2" xfId="16243" xr:uid="{689B3187-E905-4C07-B736-C83026C39708}"/>
    <cellStyle name="Normal 8 2 2 4 6 3" xfId="12026" xr:uid="{709667B2-8D7D-4572-A09A-29A2556B8C4F}"/>
    <cellStyle name="Normal 8 2 2 4 7" xfId="4852" xr:uid="{00000000-0005-0000-0000-0000801C0000}"/>
    <cellStyle name="Normal 8 2 2 4 7 2" xfId="14178" xr:uid="{BA0098E6-2A5B-4D91-9973-CDF4A562BB56}"/>
    <cellStyle name="Normal 8 2 2 4 8" xfId="8990" xr:uid="{F08D85C9-EB04-4227-BEA0-1B51DDB63DFA}"/>
    <cellStyle name="Normal 8 2 2 4 9" xfId="9961" xr:uid="{9778D0C8-A91D-4B28-BB2B-F2B126B2174B}"/>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41E667F2-BFAE-43CD-8924-C6249E1950D8}"/>
    <cellStyle name="Normal 8 2 2 5 2 3" xfId="12512" xr:uid="{5DE74896-DE52-48A4-BD1C-EBC5081461C9}"/>
    <cellStyle name="Normal 8 2 2 5 3" xfId="5258" xr:uid="{00000000-0005-0000-0000-0000841C0000}"/>
    <cellStyle name="Normal 8 2 2 5 3 2" xfId="14584" xr:uid="{4F8AF14A-3133-4E1D-8DC5-3947486B8198}"/>
    <cellStyle name="Normal 8 2 2 5 4" xfId="9207" xr:uid="{D4CDC4D2-5794-400F-B850-1B259D26C1FE}"/>
    <cellStyle name="Normal 8 2 2 5 5" xfId="10367" xr:uid="{2D12279A-5875-403C-B320-1E7B739EFC31}"/>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FA4B98B9-95D9-44CE-9BFC-8A04F2B552C4}"/>
    <cellStyle name="Normal 8 2 2 6 2 3" xfId="12925" xr:uid="{ECF179D2-298F-4FA9-8AD3-B0C77D707B0F}"/>
    <cellStyle name="Normal 8 2 2 6 3" xfId="5671" xr:uid="{00000000-0005-0000-0000-0000881C0000}"/>
    <cellStyle name="Normal 8 2 2 6 3 2" xfId="14997" xr:uid="{ADEB1DA0-8C96-466A-9AF4-6EE652AA0F28}"/>
    <cellStyle name="Normal 8 2 2 6 4" xfId="10780" xr:uid="{A4755451-87F0-4B05-9AA7-192053E24B44}"/>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F18420B0-7E2E-419C-AC64-726512BDD1A0}"/>
    <cellStyle name="Normal 8 2 2 7 2 3" xfId="13338" xr:uid="{21487C89-FD2C-4552-BB8B-55A71B221254}"/>
    <cellStyle name="Normal 8 2 2 7 3" xfId="6084" xr:uid="{00000000-0005-0000-0000-00008C1C0000}"/>
    <cellStyle name="Normal 8 2 2 7 3 2" xfId="15410" xr:uid="{89EFAB06-4042-4534-B819-5A0DE27CAA3D}"/>
    <cellStyle name="Normal 8 2 2 7 4" xfId="11193" xr:uid="{D684DF0B-0C7C-4915-96BC-82691C78B1F3}"/>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767BC84C-AE01-493E-8702-FD742A20F351}"/>
    <cellStyle name="Normal 8 2 2 8 2 3" xfId="13751" xr:uid="{4BFBFF8A-2171-4F59-868F-E63DA9D8AE06}"/>
    <cellStyle name="Normal 8 2 2 8 3" xfId="6497" xr:uid="{00000000-0005-0000-0000-0000901C0000}"/>
    <cellStyle name="Normal 8 2 2 8 3 2" xfId="15823" xr:uid="{7AE7D928-F9F3-48F7-8A79-B64B11DE58C0}"/>
    <cellStyle name="Normal 8 2 2 8 4" xfId="11606" xr:uid="{6153EC15-BD7B-4406-9745-54B7CBFE5BFA}"/>
    <cellStyle name="Normal 8 2 2 9" xfId="2627" xr:uid="{00000000-0005-0000-0000-0000911C0000}"/>
    <cellStyle name="Normal 8 2 2 9 2" xfId="6910" xr:uid="{00000000-0005-0000-0000-0000921C0000}"/>
    <cellStyle name="Normal 8 2 2 9 2 2" xfId="16236" xr:uid="{90D3E865-F86C-4BAF-8DD9-F3D247CA99CE}"/>
    <cellStyle name="Normal 8 2 2 9 3" xfId="12019" xr:uid="{4ABA03EA-6CA5-45C9-BB10-CC60706C0BEE}"/>
    <cellStyle name="Normal 8 2 3" xfId="488" xr:uid="{00000000-0005-0000-0000-0000931C0000}"/>
    <cellStyle name="Normal 8 2 3 10" xfId="8835" xr:uid="{2F0FB8B3-D08B-41EB-93AB-2D83A1BD6036}"/>
    <cellStyle name="Normal 8 2 3 11" xfId="9962" xr:uid="{71EBFDE6-62F4-4762-BD37-28618F53C4DC}"/>
    <cellStyle name="Normal 8 2 3 2" xfId="489" xr:uid="{00000000-0005-0000-0000-0000941C0000}"/>
    <cellStyle name="Normal 8 2 3 2 10" xfId="9963" xr:uid="{F87F6E4E-9E67-43C8-863D-721510598B71}"/>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501B957D-4197-423B-AF5C-7AC3CC6ECEA9}"/>
    <cellStyle name="Normal 8 2 3 2 2 2 2 3" xfId="12522" xr:uid="{5BD45D47-CD5F-4112-B2BB-B8B2E6FE6918}"/>
    <cellStyle name="Normal 8 2 3 2 2 2 3" xfId="5268" xr:uid="{00000000-0005-0000-0000-0000991C0000}"/>
    <cellStyle name="Normal 8 2 3 2 2 2 3 2" xfId="14594" xr:uid="{A43C8B18-B57A-4466-95C5-CFEBFF91B19E}"/>
    <cellStyle name="Normal 8 2 3 2 2 2 4" xfId="9570" xr:uid="{BA9732E0-D9E4-47DB-882D-D871A821FA55}"/>
    <cellStyle name="Normal 8 2 3 2 2 2 5" xfId="10377" xr:uid="{5CE1B78E-CC3B-479C-BB5C-F9BDC88E99E7}"/>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3A571A07-6167-498A-B429-658D4C45BB4B}"/>
    <cellStyle name="Normal 8 2 3 2 2 3 2 3" xfId="12935" xr:uid="{DA7426A8-84C3-4336-AA03-AB17FB95CA01}"/>
    <cellStyle name="Normal 8 2 3 2 2 3 3" xfId="5681" xr:uid="{00000000-0005-0000-0000-00009D1C0000}"/>
    <cellStyle name="Normal 8 2 3 2 2 3 3 2" xfId="15007" xr:uid="{42026BF1-A3BA-41B0-A889-002E708CA663}"/>
    <cellStyle name="Normal 8 2 3 2 2 3 4" xfId="10790" xr:uid="{111DCCAA-E16B-4E04-86D3-5AC67185483C}"/>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17B9716C-0ECB-424F-80FE-35BBCB05AEA7}"/>
    <cellStyle name="Normal 8 2 3 2 2 4 2 3" xfId="13348" xr:uid="{F38002D7-01A3-432A-B142-5BCB0B48EFB3}"/>
    <cellStyle name="Normal 8 2 3 2 2 4 3" xfId="6094" xr:uid="{00000000-0005-0000-0000-0000A11C0000}"/>
    <cellStyle name="Normal 8 2 3 2 2 4 3 2" xfId="15420" xr:uid="{0756D003-B1A8-46B5-A165-54CF273E27DA}"/>
    <cellStyle name="Normal 8 2 3 2 2 4 4" xfId="11203" xr:uid="{24380461-7364-4D4C-BF20-E0CD331A458A}"/>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4B0A19E5-789A-4B09-B0BB-D41550E239EF}"/>
    <cellStyle name="Normal 8 2 3 2 2 5 2 3" xfId="13761" xr:uid="{D3CA58CC-D4F7-4F74-88B4-46E7157B9B23}"/>
    <cellStyle name="Normal 8 2 3 2 2 5 3" xfId="6507" xr:uid="{00000000-0005-0000-0000-0000A51C0000}"/>
    <cellStyle name="Normal 8 2 3 2 2 5 3 2" xfId="15833" xr:uid="{739B2E44-4317-452C-A71B-DDD972AA455B}"/>
    <cellStyle name="Normal 8 2 3 2 2 5 4" xfId="11616" xr:uid="{B499BC85-458B-4359-AEF6-1FAE5E53DAD6}"/>
    <cellStyle name="Normal 8 2 3 2 2 6" xfId="2637" xr:uid="{00000000-0005-0000-0000-0000A61C0000}"/>
    <cellStyle name="Normal 8 2 3 2 2 6 2" xfId="6920" xr:uid="{00000000-0005-0000-0000-0000A71C0000}"/>
    <cellStyle name="Normal 8 2 3 2 2 6 2 2" xfId="16246" xr:uid="{7D188266-5046-4F4D-BDE9-1F7B0AAC708A}"/>
    <cellStyle name="Normal 8 2 3 2 2 6 3" xfId="12029" xr:uid="{EDEE2FBF-8CC6-44FA-86B4-71E6EF5F87FD}"/>
    <cellStyle name="Normal 8 2 3 2 2 7" xfId="4855" xr:uid="{00000000-0005-0000-0000-0000A81C0000}"/>
    <cellStyle name="Normal 8 2 3 2 2 7 2" xfId="14181" xr:uid="{8BD9D4AA-6A2B-4191-815D-E4793F7B9CC4}"/>
    <cellStyle name="Normal 8 2 3 2 2 8" xfId="9145" xr:uid="{C71E6005-187D-4837-92B4-619AF06B3A3B}"/>
    <cellStyle name="Normal 8 2 3 2 2 9" xfId="9964" xr:uid="{888922CF-6D21-4D90-B484-CC418C317D08}"/>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E24A3046-81B4-4EDE-8BFE-3F190E7267C0}"/>
    <cellStyle name="Normal 8 2 3 2 3 2 3" xfId="12521" xr:uid="{6C308930-9B36-47CF-83D8-622398CA667E}"/>
    <cellStyle name="Normal 8 2 3 2 3 3" xfId="5267" xr:uid="{00000000-0005-0000-0000-0000AC1C0000}"/>
    <cellStyle name="Normal 8 2 3 2 3 3 2" xfId="14593" xr:uid="{A7D61E98-5A13-45C2-B66A-6BF42668B9DF}"/>
    <cellStyle name="Normal 8 2 3 2 3 4" xfId="9363" xr:uid="{C94C6C98-A8BC-4AC9-B084-0D2219E89AA8}"/>
    <cellStyle name="Normal 8 2 3 2 3 5" xfId="10376" xr:uid="{65624EEE-D700-4693-B8DD-70FAF1C7F647}"/>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E2C7EFA5-763B-4DA1-9A96-8A1744E9DFCC}"/>
    <cellStyle name="Normal 8 2 3 2 4 2 3" xfId="12934" xr:uid="{F98C5022-D30B-4DF3-87CD-9D68A1612F04}"/>
    <cellStyle name="Normal 8 2 3 2 4 3" xfId="5680" xr:uid="{00000000-0005-0000-0000-0000B01C0000}"/>
    <cellStyle name="Normal 8 2 3 2 4 3 2" xfId="15006" xr:uid="{86B8424C-FA73-4EEF-AFAC-7E0C5FFFF6EE}"/>
    <cellStyle name="Normal 8 2 3 2 4 4" xfId="10789" xr:uid="{8A4B17F9-A624-4986-BFDE-3AF33A22CA69}"/>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35CB5D97-18B6-42F6-84A2-83914A606D15}"/>
    <cellStyle name="Normal 8 2 3 2 5 2 3" xfId="13347" xr:uid="{ED5F170A-24FE-4FE4-93E5-A73EA0E2C8D4}"/>
    <cellStyle name="Normal 8 2 3 2 5 3" xfId="6093" xr:uid="{00000000-0005-0000-0000-0000B41C0000}"/>
    <cellStyle name="Normal 8 2 3 2 5 3 2" xfId="15419" xr:uid="{04CB25EB-2E8F-457E-A7BB-C83B2539DC1E}"/>
    <cellStyle name="Normal 8 2 3 2 5 4" xfId="11202" xr:uid="{38568B83-5AF8-4F56-9E55-08F9C633B3D0}"/>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848F3B8A-6534-4CCD-AD67-5A4B3DFF5854}"/>
    <cellStyle name="Normal 8 2 3 2 6 2 3" xfId="13760" xr:uid="{A97FC908-1613-48A4-B94C-9A0384FD7DEF}"/>
    <cellStyle name="Normal 8 2 3 2 6 3" xfId="6506" xr:uid="{00000000-0005-0000-0000-0000B81C0000}"/>
    <cellStyle name="Normal 8 2 3 2 6 3 2" xfId="15832" xr:uid="{05285D29-90A0-4DA9-8182-4D6A08C35C08}"/>
    <cellStyle name="Normal 8 2 3 2 6 4" xfId="11615" xr:uid="{66A6D9E5-5998-4F55-8180-1752507D24CD}"/>
    <cellStyle name="Normal 8 2 3 2 7" xfId="2636" xr:uid="{00000000-0005-0000-0000-0000B91C0000}"/>
    <cellStyle name="Normal 8 2 3 2 7 2" xfId="6919" xr:uid="{00000000-0005-0000-0000-0000BA1C0000}"/>
    <cellStyle name="Normal 8 2 3 2 7 2 2" xfId="16245" xr:uid="{3EABCC0D-1F70-4367-8EFE-4267FE4E34F8}"/>
    <cellStyle name="Normal 8 2 3 2 7 3" xfId="12028" xr:uid="{A6287301-EE63-4F40-9CFF-364CF65576BC}"/>
    <cellStyle name="Normal 8 2 3 2 8" xfId="4854" xr:uid="{00000000-0005-0000-0000-0000BB1C0000}"/>
    <cellStyle name="Normal 8 2 3 2 8 2" xfId="14180" xr:uid="{096B575F-60DC-44D0-8A3A-602A8BE9B39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ECF74195-655B-42C4-97FF-6DA09DAD92E6}"/>
    <cellStyle name="Normal 8 2 3 3 2 2 3" xfId="12523" xr:uid="{5BDC06EF-8C62-4B81-BF31-7C83300FEF9C}"/>
    <cellStyle name="Normal 8 2 3 3 2 3" xfId="5269" xr:uid="{00000000-0005-0000-0000-0000C01C0000}"/>
    <cellStyle name="Normal 8 2 3 3 2 3 2" xfId="14595" xr:uid="{FE63D77C-51F1-4F77-A6F7-F949535BF28E}"/>
    <cellStyle name="Normal 8 2 3 3 2 4" xfId="9467" xr:uid="{C16001D7-8508-4511-808F-E990F8EA0FE3}"/>
    <cellStyle name="Normal 8 2 3 3 2 5" xfId="10378" xr:uid="{7A966C32-9A6D-4E22-A892-BFCF0F2D9C69}"/>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8B650EB6-F8FF-4113-AF43-8A3E4D439C91}"/>
    <cellStyle name="Normal 8 2 3 3 3 2 3" xfId="12936" xr:uid="{954CE85A-11DE-4176-A7C6-7ED3CF55BBAB}"/>
    <cellStyle name="Normal 8 2 3 3 3 3" xfId="5682" xr:uid="{00000000-0005-0000-0000-0000C41C0000}"/>
    <cellStyle name="Normal 8 2 3 3 3 3 2" xfId="15008" xr:uid="{E7602D69-9592-4584-AAB1-CC3AA839BC83}"/>
    <cellStyle name="Normal 8 2 3 3 3 4" xfId="10791" xr:uid="{6873CEFB-3641-4DAD-8C1A-0EC7B0593E2A}"/>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C74DD6A7-E6FC-4347-91A8-E29C96094132}"/>
    <cellStyle name="Normal 8 2 3 3 4 2 3" xfId="13349" xr:uid="{879417C1-D5D9-4681-AC28-EC490D1906F0}"/>
    <cellStyle name="Normal 8 2 3 3 4 3" xfId="6095" xr:uid="{00000000-0005-0000-0000-0000C81C0000}"/>
    <cellStyle name="Normal 8 2 3 3 4 3 2" xfId="15421" xr:uid="{9123BE86-E88C-4DC0-8722-C0D80945BD47}"/>
    <cellStyle name="Normal 8 2 3 3 4 4" xfId="11204" xr:uid="{9297A04B-E06F-4AAA-B1E8-226E9FD79570}"/>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0914CA59-4BBE-4FF6-B426-90A75D91ACB1}"/>
    <cellStyle name="Normal 8 2 3 3 5 2 3" xfId="13762" xr:uid="{E56011C5-6AFC-4747-B413-5C32A1621923}"/>
    <cellStyle name="Normal 8 2 3 3 5 3" xfId="6508" xr:uid="{00000000-0005-0000-0000-0000CC1C0000}"/>
    <cellStyle name="Normal 8 2 3 3 5 3 2" xfId="15834" xr:uid="{757B646E-9A6C-406C-96D7-4FC1D24A1D68}"/>
    <cellStyle name="Normal 8 2 3 3 5 4" xfId="11617" xr:uid="{D173A929-CB80-40A6-B933-81010F157E97}"/>
    <cellStyle name="Normal 8 2 3 3 6" xfId="2638" xr:uid="{00000000-0005-0000-0000-0000CD1C0000}"/>
    <cellStyle name="Normal 8 2 3 3 6 2" xfId="6921" xr:uid="{00000000-0005-0000-0000-0000CE1C0000}"/>
    <cellStyle name="Normal 8 2 3 3 6 2 2" xfId="16247" xr:uid="{2838AA31-B071-4BE4-9155-5AE95E3674E5}"/>
    <cellStyle name="Normal 8 2 3 3 6 3" xfId="12030" xr:uid="{D718F67F-116E-4F2E-B809-AB71815BB6A8}"/>
    <cellStyle name="Normal 8 2 3 3 7" xfId="4856" xr:uid="{00000000-0005-0000-0000-0000CF1C0000}"/>
    <cellStyle name="Normal 8 2 3 3 7 2" xfId="14182" xr:uid="{5493DC60-E006-46C9-892C-5C8C5B1311CE}"/>
    <cellStyle name="Normal 8 2 3 3 8" xfId="9042" xr:uid="{D820ED39-BAB1-48C1-A68D-2017E247E432}"/>
    <cellStyle name="Normal 8 2 3 3 9" xfId="9965" xr:uid="{C2218D8C-CB72-4D08-A791-6838342C22A3}"/>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DC58FB5E-E44F-4297-B45B-2268DC2981B4}"/>
    <cellStyle name="Normal 8 2 3 4 2 3" xfId="12520" xr:uid="{2E4A75CA-4EB5-4B7D-8B08-EE4C6DAEF40C}"/>
    <cellStyle name="Normal 8 2 3 4 3" xfId="5266" xr:uid="{00000000-0005-0000-0000-0000D31C0000}"/>
    <cellStyle name="Normal 8 2 3 4 3 2" xfId="14592" xr:uid="{08E8CE33-2443-46E5-90BC-B75BE1A1AE98}"/>
    <cellStyle name="Normal 8 2 3 4 4" xfId="9260" xr:uid="{70FF5A16-C89A-42B7-A603-E23A7C2F443C}"/>
    <cellStyle name="Normal 8 2 3 4 5" xfId="10375" xr:uid="{8F1B77A8-96A6-4D00-8874-B61D99A9841F}"/>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F59FCEBB-07F8-4657-AB6C-9712C7E19404}"/>
    <cellStyle name="Normal 8 2 3 5 2 3" xfId="12933" xr:uid="{18CA1405-3B0E-42B1-8581-1127E1A14C34}"/>
    <cellStyle name="Normal 8 2 3 5 3" xfId="5679" xr:uid="{00000000-0005-0000-0000-0000D71C0000}"/>
    <cellStyle name="Normal 8 2 3 5 3 2" xfId="15005" xr:uid="{851182F4-C2B3-4FE4-881C-6266E89F59A7}"/>
    <cellStyle name="Normal 8 2 3 5 4" xfId="10788" xr:uid="{597047D2-999E-4739-99BA-E6F07884E530}"/>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6D846074-1512-4470-B9F0-23CAD048EF08}"/>
    <cellStyle name="Normal 8 2 3 6 2 3" xfId="13346" xr:uid="{D752C256-B199-4BFF-801E-ECD7D0AA135A}"/>
    <cellStyle name="Normal 8 2 3 6 3" xfId="6092" xr:uid="{00000000-0005-0000-0000-0000DB1C0000}"/>
    <cellStyle name="Normal 8 2 3 6 3 2" xfId="15418" xr:uid="{8A956C1B-0050-45AA-8AF1-A67A502DA30E}"/>
    <cellStyle name="Normal 8 2 3 6 4" xfId="11201" xr:uid="{F96DDC06-0C45-4FF2-AC62-54B35FE34DDB}"/>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7952A65C-CAFE-4D50-9FD4-93FA5B61430B}"/>
    <cellStyle name="Normal 8 2 3 7 2 3" xfId="13759" xr:uid="{31F04CE4-CB78-4F35-A7E0-F1F9BB2DE02C}"/>
    <cellStyle name="Normal 8 2 3 7 3" xfId="6505" xr:uid="{00000000-0005-0000-0000-0000DF1C0000}"/>
    <cellStyle name="Normal 8 2 3 7 3 2" xfId="15831" xr:uid="{37245125-5D88-48C3-A443-D164EEC951E6}"/>
    <cellStyle name="Normal 8 2 3 7 4" xfId="11614" xr:uid="{BF21272B-A4BD-4B4C-AAC3-7B21DF67DADF}"/>
    <cellStyle name="Normal 8 2 3 8" xfId="2635" xr:uid="{00000000-0005-0000-0000-0000E01C0000}"/>
    <cellStyle name="Normal 8 2 3 8 2" xfId="6918" xr:uid="{00000000-0005-0000-0000-0000E11C0000}"/>
    <cellStyle name="Normal 8 2 3 8 2 2" xfId="16244" xr:uid="{1361EA80-DA71-483E-9475-D5044B9FBA48}"/>
    <cellStyle name="Normal 8 2 3 8 3" xfId="12027" xr:uid="{DEA5E792-A098-481D-AA06-F6E08E35DE07}"/>
    <cellStyle name="Normal 8 2 3 9" xfId="4853" xr:uid="{00000000-0005-0000-0000-0000E21C0000}"/>
    <cellStyle name="Normal 8 2 3 9 2" xfId="14179" xr:uid="{6EEBD882-9FBB-4968-A98A-3E206CCD4232}"/>
    <cellStyle name="Normal 8 2 4" xfId="492" xr:uid="{00000000-0005-0000-0000-0000E31C0000}"/>
    <cellStyle name="Normal 8 2 4 10" xfId="9966" xr:uid="{86361B19-4C64-4613-A109-F931EC84BC2C}"/>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F3CE899C-8358-4360-9F08-9A90103220DF}"/>
    <cellStyle name="Normal 8 2 4 2 2 2 3" xfId="12525" xr:uid="{58DBBAE7-94DC-4CA4-9B96-5C9D2AB8DC74}"/>
    <cellStyle name="Normal 8 2 4 2 2 3" xfId="5271" xr:uid="{00000000-0005-0000-0000-0000E81C0000}"/>
    <cellStyle name="Normal 8 2 4 2 2 3 2" xfId="14597" xr:uid="{872876EA-A99A-4F66-B580-316E4AABEB32}"/>
    <cellStyle name="Normal 8 2 4 2 2 4" xfId="9486" xr:uid="{9F6EBE4C-F02F-43A6-A388-D5EACB1B3099}"/>
    <cellStyle name="Normal 8 2 4 2 2 5" xfId="10380" xr:uid="{EEE97C50-BDFF-46D5-8E2C-3B57FF548C51}"/>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7D83C47C-AB2B-4F95-BD03-90E20D731673}"/>
    <cellStyle name="Normal 8 2 4 2 3 2 3" xfId="12938" xr:uid="{60E62FDC-7745-42CE-B70B-E368803E55D9}"/>
    <cellStyle name="Normal 8 2 4 2 3 3" xfId="5684" xr:uid="{00000000-0005-0000-0000-0000EC1C0000}"/>
    <cellStyle name="Normal 8 2 4 2 3 3 2" xfId="15010" xr:uid="{1F4BB39D-64C9-4D0B-8D45-97F53D5894FC}"/>
    <cellStyle name="Normal 8 2 4 2 3 4" xfId="10793" xr:uid="{D1630C2E-D8F7-4510-B583-F014E03FEDC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0151B6E4-0388-4E56-873F-4CDBCE4FB028}"/>
    <cellStyle name="Normal 8 2 4 2 4 2 3" xfId="13351" xr:uid="{0B3A3799-5D86-49A0-AE64-848FAEC8BF30}"/>
    <cellStyle name="Normal 8 2 4 2 4 3" xfId="6097" xr:uid="{00000000-0005-0000-0000-0000F01C0000}"/>
    <cellStyle name="Normal 8 2 4 2 4 3 2" xfId="15423" xr:uid="{55F6E766-A8B8-420C-9CCC-EAFBA448D04F}"/>
    <cellStyle name="Normal 8 2 4 2 4 4" xfId="11206" xr:uid="{056F1EB6-DAF7-4C60-B20D-1605FB873E23}"/>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C077A888-38C2-4B29-9F15-8F8A06CC2BD1}"/>
    <cellStyle name="Normal 8 2 4 2 5 2 3" xfId="13764" xr:uid="{7236261D-CACF-4852-AA3F-8944BAAE11F6}"/>
    <cellStyle name="Normal 8 2 4 2 5 3" xfId="6510" xr:uid="{00000000-0005-0000-0000-0000F41C0000}"/>
    <cellStyle name="Normal 8 2 4 2 5 3 2" xfId="15836" xr:uid="{5D1A886A-3B98-4FA0-B8D1-AD9BC08F7AFF}"/>
    <cellStyle name="Normal 8 2 4 2 5 4" xfId="11619" xr:uid="{1CF4D6E4-E876-4BB5-AC28-32F2E9FB6AB6}"/>
    <cellStyle name="Normal 8 2 4 2 6" xfId="2640" xr:uid="{00000000-0005-0000-0000-0000F51C0000}"/>
    <cellStyle name="Normal 8 2 4 2 6 2" xfId="6923" xr:uid="{00000000-0005-0000-0000-0000F61C0000}"/>
    <cellStyle name="Normal 8 2 4 2 6 2 2" xfId="16249" xr:uid="{91DD1378-EE05-4E9F-A186-CC71FE1D562E}"/>
    <cellStyle name="Normal 8 2 4 2 6 3" xfId="12032" xr:uid="{C00642DF-3709-46F4-9B7D-7E1C0DC19F9B}"/>
    <cellStyle name="Normal 8 2 4 2 7" xfId="4858" xr:uid="{00000000-0005-0000-0000-0000F71C0000}"/>
    <cellStyle name="Normal 8 2 4 2 7 2" xfId="14184" xr:uid="{165F5C5D-BC78-46C6-A10E-6A77ED7C86E8}"/>
    <cellStyle name="Normal 8 2 4 2 8" xfId="9061" xr:uid="{7295DB82-9441-436C-AA3E-91B68F6E59B3}"/>
    <cellStyle name="Normal 8 2 4 2 9" xfId="9967" xr:uid="{FCFE8FF1-763C-49C1-A93B-68CDB74EB135}"/>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A4B445CF-1169-4CF3-8471-27F3F4A970F8}"/>
    <cellStyle name="Normal 8 2 4 3 2 3" xfId="12524" xr:uid="{84014363-95C4-42B7-8DEC-FB3A5F2BBE00}"/>
    <cellStyle name="Normal 8 2 4 3 3" xfId="5270" xr:uid="{00000000-0005-0000-0000-0000FB1C0000}"/>
    <cellStyle name="Normal 8 2 4 3 3 2" xfId="14596" xr:uid="{490E0183-82A0-4414-836D-0F93487C13B1}"/>
    <cellStyle name="Normal 8 2 4 3 4" xfId="9279" xr:uid="{BA09D30D-BEBA-4223-83E6-57FB46A1EFA8}"/>
    <cellStyle name="Normal 8 2 4 3 5" xfId="10379" xr:uid="{2ED512F3-B853-4967-BC69-489088AFCCD4}"/>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B1FA1EF2-2F03-4E15-A5C3-D1845FA9733F}"/>
    <cellStyle name="Normal 8 2 4 4 2 3" xfId="12937" xr:uid="{16CC214A-7F72-417E-BF8F-C42C8D1F7CA7}"/>
    <cellStyle name="Normal 8 2 4 4 3" xfId="5683" xr:uid="{00000000-0005-0000-0000-0000FF1C0000}"/>
    <cellStyle name="Normal 8 2 4 4 3 2" xfId="15009" xr:uid="{DB03987C-703F-4D8E-A73D-879467F66605}"/>
    <cellStyle name="Normal 8 2 4 4 4" xfId="10792" xr:uid="{3B7B02C4-4E7E-4283-B94E-A508041F8514}"/>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15F6919A-A18E-4341-9281-A296536D2E6D}"/>
    <cellStyle name="Normal 8 2 4 5 2 3" xfId="13350" xr:uid="{FFC5BE16-16AF-4657-9A08-A65C4FC5472D}"/>
    <cellStyle name="Normal 8 2 4 5 3" xfId="6096" xr:uid="{00000000-0005-0000-0000-0000031D0000}"/>
    <cellStyle name="Normal 8 2 4 5 3 2" xfId="15422" xr:uid="{AF2CF38C-723F-4314-81CD-2AF2E86F8C1D}"/>
    <cellStyle name="Normal 8 2 4 5 4" xfId="11205" xr:uid="{B8C0A393-90B0-4652-AE53-737865078FF6}"/>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13A8BBB8-14F2-4724-9D5D-2E5B59052FD6}"/>
    <cellStyle name="Normal 8 2 4 6 2 3" xfId="13763" xr:uid="{E291EC86-021B-4993-830A-1935BA43DC78}"/>
    <cellStyle name="Normal 8 2 4 6 3" xfId="6509" xr:uid="{00000000-0005-0000-0000-0000071D0000}"/>
    <cellStyle name="Normal 8 2 4 6 3 2" xfId="15835" xr:uid="{ACA40E6C-251B-4B2F-BA09-EF8845D8E3B5}"/>
    <cellStyle name="Normal 8 2 4 6 4" xfId="11618" xr:uid="{B4016904-8E21-4933-B595-814A6A36272C}"/>
    <cellStyle name="Normal 8 2 4 7" xfId="2639" xr:uid="{00000000-0005-0000-0000-0000081D0000}"/>
    <cellStyle name="Normal 8 2 4 7 2" xfId="6922" xr:uid="{00000000-0005-0000-0000-0000091D0000}"/>
    <cellStyle name="Normal 8 2 4 7 2 2" xfId="16248" xr:uid="{C7579963-5667-4A25-937B-029FF600E378}"/>
    <cellStyle name="Normal 8 2 4 7 3" xfId="12031" xr:uid="{52266F8B-3318-4D70-9E49-E849A0A98FF1}"/>
    <cellStyle name="Normal 8 2 4 8" xfId="4857" xr:uid="{00000000-0005-0000-0000-00000A1D0000}"/>
    <cellStyle name="Normal 8 2 4 8 2" xfId="14183" xr:uid="{A7DA6EC5-6EB4-4084-AADB-A4AE763F2257}"/>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3C7A7ED2-685E-45B6-B7EF-63021A87D929}"/>
    <cellStyle name="Normal 8 2 5 2 2 3" xfId="12526" xr:uid="{64B781D2-C142-408F-B171-7BE25C695F58}"/>
    <cellStyle name="Normal 8 2 5 2 3" xfId="5272" xr:uid="{00000000-0005-0000-0000-00000F1D0000}"/>
    <cellStyle name="Normal 8 2 5 2 3 2" xfId="14598" xr:uid="{743C2D09-AEF5-4B35-A27A-F7251CF0A0F1}"/>
    <cellStyle name="Normal 8 2 5 2 4" xfId="9395" xr:uid="{D5766EF3-6042-484F-B510-7448518CF571}"/>
    <cellStyle name="Normal 8 2 5 2 5" xfId="10381" xr:uid="{8FB961A6-E07D-407C-AA10-4DDC86BF590B}"/>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0B7B5B99-798D-49FA-9101-ADC9E4F626E0}"/>
    <cellStyle name="Normal 8 2 5 3 2 3" xfId="12939" xr:uid="{973D9B76-CF3C-4521-B4CC-9C568DE89C6A}"/>
    <cellStyle name="Normal 8 2 5 3 3" xfId="5685" xr:uid="{00000000-0005-0000-0000-0000131D0000}"/>
    <cellStyle name="Normal 8 2 5 3 3 2" xfId="15011" xr:uid="{6A7DE41E-D0D1-42FB-9142-AD3115E80CC0}"/>
    <cellStyle name="Normal 8 2 5 3 4" xfId="10794" xr:uid="{117165A5-C73C-4234-A19E-A59AC4DD95E3}"/>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3B31E72C-4D8F-401F-AF19-193D28CA5448}"/>
    <cellStyle name="Normal 8 2 5 4 2 3" xfId="13352" xr:uid="{C0B9CFB4-B89C-4651-B291-487CFBB43F99}"/>
    <cellStyle name="Normal 8 2 5 4 3" xfId="6098" xr:uid="{00000000-0005-0000-0000-0000171D0000}"/>
    <cellStyle name="Normal 8 2 5 4 3 2" xfId="15424" xr:uid="{6A488E40-36F5-43EE-ADCC-E58B61540B0B}"/>
    <cellStyle name="Normal 8 2 5 4 4" xfId="11207" xr:uid="{F66051E4-8CB0-4AD9-B84F-B77D56DAC919}"/>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1ABE061E-C803-4DDA-B761-58BBBB3DCC9A}"/>
    <cellStyle name="Normal 8 2 5 5 2 3" xfId="13765" xr:uid="{1EE4B494-3EEA-48DE-AD3E-C281D7E1AF3B}"/>
    <cellStyle name="Normal 8 2 5 5 3" xfId="6511" xr:uid="{00000000-0005-0000-0000-00001B1D0000}"/>
    <cellStyle name="Normal 8 2 5 5 3 2" xfId="15837" xr:uid="{786C6684-2328-4227-8A80-29DB328063D4}"/>
    <cellStyle name="Normal 8 2 5 5 4" xfId="11620" xr:uid="{2C99820C-7B1C-4017-A597-C14DD0E349AC}"/>
    <cellStyle name="Normal 8 2 5 6" xfId="2641" xr:uid="{00000000-0005-0000-0000-00001C1D0000}"/>
    <cellStyle name="Normal 8 2 5 6 2" xfId="6924" xr:uid="{00000000-0005-0000-0000-00001D1D0000}"/>
    <cellStyle name="Normal 8 2 5 6 2 2" xfId="16250" xr:uid="{F0139C31-6EF3-4A28-9735-3F96A2BD53DD}"/>
    <cellStyle name="Normal 8 2 5 6 3" xfId="12033" xr:uid="{CD738F72-664B-48DD-845F-D98776A9E817}"/>
    <cellStyle name="Normal 8 2 5 7" xfId="4859" xr:uid="{00000000-0005-0000-0000-00001E1D0000}"/>
    <cellStyle name="Normal 8 2 5 7 2" xfId="14185" xr:uid="{0874172B-02BD-4DFA-A915-5DA9D40839AE}"/>
    <cellStyle name="Normal 8 2 5 8" xfId="8970" xr:uid="{7E9ACEFF-1680-45D8-BC32-8CA9BA1D63D4}"/>
    <cellStyle name="Normal 8 2 5 9" xfId="9968" xr:uid="{C1F19984-4F1B-4BD0-ABAF-D31528363899}"/>
    <cellStyle name="Normal 8 2 6" xfId="946" xr:uid="{00000000-0005-0000-0000-00001F1D0000}"/>
    <cellStyle name="Normal 8 2 6 2" xfId="3180" xr:uid="{00000000-0005-0000-0000-0000201D0000}"/>
    <cellStyle name="Normal 8 2 6 2 2" xfId="7402" xr:uid="{00000000-0005-0000-0000-0000211D0000}"/>
    <cellStyle name="Normal 8 2 6 2 2 2" xfId="16728" xr:uid="{D03B5174-5CCA-4F5C-AD5A-3E1BA31E9D6B}"/>
    <cellStyle name="Normal 8 2 6 2 3" xfId="12511" xr:uid="{AE212375-B778-47ED-966B-A6F4C6E4022E}"/>
    <cellStyle name="Normal 8 2 6 3" xfId="5257" xr:uid="{00000000-0005-0000-0000-0000221D0000}"/>
    <cellStyle name="Normal 8 2 6 3 2" xfId="14583" xr:uid="{4F803258-85FF-4C20-A24B-AB7F1B63B530}"/>
    <cellStyle name="Normal 8 2 6 4" xfId="9173" xr:uid="{C36295B3-E6F0-4A6D-AEE5-72C8177C13EE}"/>
    <cellStyle name="Normal 8 2 6 5" xfId="10366" xr:uid="{C18DEF81-FB4F-4512-9C6C-FD3825D78F4E}"/>
    <cellStyle name="Normal 8 2 7" xfId="1363" xr:uid="{00000000-0005-0000-0000-0000231D0000}"/>
    <cellStyle name="Normal 8 2 7 2" xfId="3593" xr:uid="{00000000-0005-0000-0000-0000241D0000}"/>
    <cellStyle name="Normal 8 2 7 2 2" xfId="7815" xr:uid="{00000000-0005-0000-0000-0000251D0000}"/>
    <cellStyle name="Normal 8 2 7 2 2 2" xfId="17141" xr:uid="{9FEB2387-EF44-44BE-AB45-F961793E1AC6}"/>
    <cellStyle name="Normal 8 2 7 2 3" xfId="12924" xr:uid="{E102A537-F31D-4320-A10F-18578DEE4F3E}"/>
    <cellStyle name="Normal 8 2 7 3" xfId="5670" xr:uid="{00000000-0005-0000-0000-0000261D0000}"/>
    <cellStyle name="Normal 8 2 7 3 2" xfId="14996" xr:uid="{B4C11405-CC7A-4449-A60D-91B7FB975562}"/>
    <cellStyle name="Normal 8 2 7 4" xfId="10779" xr:uid="{C7251855-2E00-4819-98EB-F1F644CB1F4D}"/>
    <cellStyle name="Normal 8 2 8" xfId="1776" xr:uid="{00000000-0005-0000-0000-0000271D0000}"/>
    <cellStyle name="Normal 8 2 8 2" xfId="4006" xr:uid="{00000000-0005-0000-0000-0000281D0000}"/>
    <cellStyle name="Normal 8 2 8 2 2" xfId="8228" xr:uid="{00000000-0005-0000-0000-0000291D0000}"/>
    <cellStyle name="Normal 8 2 8 2 2 2" xfId="17554" xr:uid="{6455D2D5-BDD9-47D2-8CE5-3FA2C874A26F}"/>
    <cellStyle name="Normal 8 2 8 2 3" xfId="13337" xr:uid="{58BC3529-D6BE-41E2-8981-59A3F089CFC5}"/>
    <cellStyle name="Normal 8 2 8 3" xfId="6083" xr:uid="{00000000-0005-0000-0000-00002A1D0000}"/>
    <cellStyle name="Normal 8 2 8 3 2" xfId="15409" xr:uid="{9EF3562C-CA90-4DF2-9DCB-9BAC5E140864}"/>
    <cellStyle name="Normal 8 2 8 4" xfId="11192" xr:uid="{1D50C51F-F94D-4C97-9B56-477FEFD8AFA7}"/>
    <cellStyle name="Normal 8 2 9" xfId="2190" xr:uid="{00000000-0005-0000-0000-00002B1D0000}"/>
    <cellStyle name="Normal 8 2 9 2" xfId="4419" xr:uid="{00000000-0005-0000-0000-00002C1D0000}"/>
    <cellStyle name="Normal 8 2 9 2 2" xfId="8641" xr:uid="{00000000-0005-0000-0000-00002D1D0000}"/>
    <cellStyle name="Normal 8 2 9 2 2 2" xfId="17967" xr:uid="{5CDD62A9-2D14-4CCF-92ED-B83A0902006A}"/>
    <cellStyle name="Normal 8 2 9 2 3" xfId="13750" xr:uid="{A4A133B2-C67E-4E02-A024-13D95CC76F19}"/>
    <cellStyle name="Normal 8 2 9 3" xfId="6496" xr:uid="{00000000-0005-0000-0000-00002E1D0000}"/>
    <cellStyle name="Normal 8 2 9 3 2" xfId="15822" xr:uid="{19535C31-7A96-4E5E-A705-100F809E9EB3}"/>
    <cellStyle name="Normal 8 2 9 4" xfId="11605" xr:uid="{75369C04-D111-449D-8BB3-654103C5B2C6}"/>
    <cellStyle name="Normal 8 3" xfId="495" xr:uid="{00000000-0005-0000-0000-00002F1D0000}"/>
    <cellStyle name="Normal 8 3 10" xfId="4860" xr:uid="{00000000-0005-0000-0000-0000301D0000}"/>
    <cellStyle name="Normal 8 3 10 2" xfId="14186" xr:uid="{042AECD5-EA8C-4E3E-93D3-AE9DA9F5D01A}"/>
    <cellStyle name="Normal 8 3 11" xfId="8774" xr:uid="{81BDDADD-940D-4F3A-BD6C-7E4719C8A3D2}"/>
    <cellStyle name="Normal 8 3 12" xfId="9969" xr:uid="{81362F11-3A0D-41E6-B360-462AB2D69DD8}"/>
    <cellStyle name="Normal 8 3 2" xfId="496" xr:uid="{00000000-0005-0000-0000-0000311D0000}"/>
    <cellStyle name="Normal 8 3 2 10" xfId="8837" xr:uid="{392842AA-84B1-4A71-AE94-A1B631487B7E}"/>
    <cellStyle name="Normal 8 3 2 11" xfId="9970" xr:uid="{E9173F81-8792-4EEE-A768-427CEA045E03}"/>
    <cellStyle name="Normal 8 3 2 2" xfId="497" xr:uid="{00000000-0005-0000-0000-0000321D0000}"/>
    <cellStyle name="Normal 8 3 2 2 10" xfId="9971" xr:uid="{78C8234A-D3E5-433E-88B6-A9C64D978F32}"/>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23819CBD-C23D-4B81-94D0-2BB0911A299A}"/>
    <cellStyle name="Normal 8 3 2 2 2 2 2 3" xfId="12530" xr:uid="{4B302EE9-EFF3-463F-BD01-208ED65C04F0}"/>
    <cellStyle name="Normal 8 3 2 2 2 2 3" xfId="5276" xr:uid="{00000000-0005-0000-0000-0000371D0000}"/>
    <cellStyle name="Normal 8 3 2 2 2 2 3 2" xfId="14602" xr:uid="{760C42EC-C165-45BE-AAD3-0CACE1BD17C4}"/>
    <cellStyle name="Normal 8 3 2 2 2 2 4" xfId="9572" xr:uid="{83269435-2305-4677-BD8B-8CB801DC108A}"/>
    <cellStyle name="Normal 8 3 2 2 2 2 5" xfId="10385" xr:uid="{9E80A246-7DA2-482D-84FF-0D1560FC73B3}"/>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281B433E-B3C0-46ED-8E18-AA98A6513A9B}"/>
    <cellStyle name="Normal 8 3 2 2 2 3 2 3" xfId="12943" xr:uid="{568DBD6D-6611-43F9-8614-8023DE82B0C9}"/>
    <cellStyle name="Normal 8 3 2 2 2 3 3" xfId="5689" xr:uid="{00000000-0005-0000-0000-00003B1D0000}"/>
    <cellStyle name="Normal 8 3 2 2 2 3 3 2" xfId="15015" xr:uid="{9913D042-BABD-452F-8EEA-1F6A43472890}"/>
    <cellStyle name="Normal 8 3 2 2 2 3 4" xfId="10798" xr:uid="{F3E448F3-EC3F-4948-9922-2DFAAA5D31F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83737B15-1AFE-4FC7-A467-ADA8832041FA}"/>
    <cellStyle name="Normal 8 3 2 2 2 4 2 3" xfId="13356" xr:uid="{F3108F4A-22D3-4717-9A41-FCCB8F39B87F}"/>
    <cellStyle name="Normal 8 3 2 2 2 4 3" xfId="6102" xr:uid="{00000000-0005-0000-0000-00003F1D0000}"/>
    <cellStyle name="Normal 8 3 2 2 2 4 3 2" xfId="15428" xr:uid="{EAAFEDE2-4F56-438E-A24B-0303E8007806}"/>
    <cellStyle name="Normal 8 3 2 2 2 4 4" xfId="11211" xr:uid="{3596123F-63F2-4FEE-A42E-430F00ABFD32}"/>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192F31D7-9193-407E-931E-577816F41AA9}"/>
    <cellStyle name="Normal 8 3 2 2 2 5 2 3" xfId="13769" xr:uid="{1D520615-C781-47E8-B096-1538C42365EE}"/>
    <cellStyle name="Normal 8 3 2 2 2 5 3" xfId="6515" xr:uid="{00000000-0005-0000-0000-0000431D0000}"/>
    <cellStyle name="Normal 8 3 2 2 2 5 3 2" xfId="15841" xr:uid="{BA108CF7-8BC3-4CB1-9032-089B0C752315}"/>
    <cellStyle name="Normal 8 3 2 2 2 5 4" xfId="11624" xr:uid="{835E52E6-201B-4B09-BE95-41F20A39D989}"/>
    <cellStyle name="Normal 8 3 2 2 2 6" xfId="2645" xr:uid="{00000000-0005-0000-0000-0000441D0000}"/>
    <cellStyle name="Normal 8 3 2 2 2 6 2" xfId="6928" xr:uid="{00000000-0005-0000-0000-0000451D0000}"/>
    <cellStyle name="Normal 8 3 2 2 2 6 2 2" xfId="16254" xr:uid="{3722D631-3206-4B2D-8315-4EB5819D41FE}"/>
    <cellStyle name="Normal 8 3 2 2 2 6 3" xfId="12037" xr:uid="{2CAE442D-FCD4-431E-B51F-C776BF5DF040}"/>
    <cellStyle name="Normal 8 3 2 2 2 7" xfId="4863" xr:uid="{00000000-0005-0000-0000-0000461D0000}"/>
    <cellStyle name="Normal 8 3 2 2 2 7 2" xfId="14189" xr:uid="{07C06202-323E-4466-8B73-343C26E50049}"/>
    <cellStyle name="Normal 8 3 2 2 2 8" xfId="9147" xr:uid="{16780743-13F5-44BF-919B-157B86988913}"/>
    <cellStyle name="Normal 8 3 2 2 2 9" xfId="9972" xr:uid="{38D7A7A6-C3AA-4ABD-BA91-FD2C004898F1}"/>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B8327A99-2878-43EC-8BD1-A60D88C620D9}"/>
    <cellStyle name="Normal 8 3 2 2 3 2 3" xfId="12529" xr:uid="{858EA32B-8A20-4F29-A785-6640D4BF2804}"/>
    <cellStyle name="Normal 8 3 2 2 3 3" xfId="5275" xr:uid="{00000000-0005-0000-0000-00004A1D0000}"/>
    <cellStyle name="Normal 8 3 2 2 3 3 2" xfId="14601" xr:uid="{5F657905-FBC8-43A3-9CD6-C357FEDBC14D}"/>
    <cellStyle name="Normal 8 3 2 2 3 4" xfId="9365" xr:uid="{47FF7C14-7484-41B9-856F-11398F7B2C7C}"/>
    <cellStyle name="Normal 8 3 2 2 3 5" xfId="10384" xr:uid="{8239E83F-3EDE-454C-81A1-9F13DD166148}"/>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92FE8012-9225-4D31-A9AB-03E9CE873D4F}"/>
    <cellStyle name="Normal 8 3 2 2 4 2 3" xfId="12942" xr:uid="{ED747D45-8BC6-4833-8AC5-18B8BBDC6D66}"/>
    <cellStyle name="Normal 8 3 2 2 4 3" xfId="5688" xr:uid="{00000000-0005-0000-0000-00004E1D0000}"/>
    <cellStyle name="Normal 8 3 2 2 4 3 2" xfId="15014" xr:uid="{91C9DB46-DF09-4030-BE53-6E12DC9D514B}"/>
    <cellStyle name="Normal 8 3 2 2 4 4" xfId="10797" xr:uid="{2DDB41E9-9F4F-4EC0-976A-C9B5B7B541DA}"/>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47CD417B-B22D-4076-844E-CD4648A631F5}"/>
    <cellStyle name="Normal 8 3 2 2 5 2 3" xfId="13355" xr:uid="{5481956D-EF74-409D-B7DC-DBD7CE2ED51B}"/>
    <cellStyle name="Normal 8 3 2 2 5 3" xfId="6101" xr:uid="{00000000-0005-0000-0000-0000521D0000}"/>
    <cellStyle name="Normal 8 3 2 2 5 3 2" xfId="15427" xr:uid="{DBBC692D-3298-45CE-A03E-A7D002A9B712}"/>
    <cellStyle name="Normal 8 3 2 2 5 4" xfId="11210" xr:uid="{69DD0000-AC0B-4F93-95B0-55CBFC31F4F1}"/>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34F14C23-8633-4CE7-8C1B-D3C0C0EB4DAF}"/>
    <cellStyle name="Normal 8 3 2 2 6 2 3" xfId="13768" xr:uid="{9C10EB27-134D-4BF9-9739-8EB5B75CFF06}"/>
    <cellStyle name="Normal 8 3 2 2 6 3" xfId="6514" xr:uid="{00000000-0005-0000-0000-0000561D0000}"/>
    <cellStyle name="Normal 8 3 2 2 6 3 2" xfId="15840" xr:uid="{B27E80EC-EEA7-407B-8E37-9B80D6ED0513}"/>
    <cellStyle name="Normal 8 3 2 2 6 4" xfId="11623" xr:uid="{7B6C3A6E-CA7B-4E7C-ADC1-A7A84B9B7C6E}"/>
    <cellStyle name="Normal 8 3 2 2 7" xfId="2644" xr:uid="{00000000-0005-0000-0000-0000571D0000}"/>
    <cellStyle name="Normal 8 3 2 2 7 2" xfId="6927" xr:uid="{00000000-0005-0000-0000-0000581D0000}"/>
    <cellStyle name="Normal 8 3 2 2 7 2 2" xfId="16253" xr:uid="{9BBAD8F1-66FB-48A2-897F-989CD8D81CB7}"/>
    <cellStyle name="Normal 8 3 2 2 7 3" xfId="12036" xr:uid="{46C4ED44-81A7-4955-97E0-69501D30BA37}"/>
    <cellStyle name="Normal 8 3 2 2 8" xfId="4862" xr:uid="{00000000-0005-0000-0000-0000591D0000}"/>
    <cellStyle name="Normal 8 3 2 2 8 2" xfId="14188" xr:uid="{0DE7458F-EE47-41C6-9E06-F93F83DE7EB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34BE9EBE-9B03-4184-9C92-83E9EBCFAF99}"/>
    <cellStyle name="Normal 8 3 2 3 2 2 3" xfId="12531" xr:uid="{2B185B05-D885-4664-A2A2-70B2725A8FCC}"/>
    <cellStyle name="Normal 8 3 2 3 2 3" xfId="5277" xr:uid="{00000000-0005-0000-0000-00005E1D0000}"/>
    <cellStyle name="Normal 8 3 2 3 2 3 2" xfId="14603" xr:uid="{94939408-96B4-4FE0-AD41-2DFE6F0F80E3}"/>
    <cellStyle name="Normal 8 3 2 3 2 4" xfId="9469" xr:uid="{7CA6C380-A6E9-4AF4-A29A-E40C8E9B5B5F}"/>
    <cellStyle name="Normal 8 3 2 3 2 5" xfId="10386" xr:uid="{5ED665E4-99BA-4669-9493-F89B4D2BFFA8}"/>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E56616B7-F3B4-4B64-AD06-8A41A4C3049E}"/>
    <cellStyle name="Normal 8 3 2 3 3 2 3" xfId="12944" xr:uid="{A9887AF6-F5B3-4792-9B06-A41D86B95E1A}"/>
    <cellStyle name="Normal 8 3 2 3 3 3" xfId="5690" xr:uid="{00000000-0005-0000-0000-0000621D0000}"/>
    <cellStyle name="Normal 8 3 2 3 3 3 2" xfId="15016" xr:uid="{B3235676-4BB1-4BBD-8FAA-DD40656AC935}"/>
    <cellStyle name="Normal 8 3 2 3 3 4" xfId="10799" xr:uid="{8C26D712-00F7-4992-9D90-0163EEB24495}"/>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6A65309D-3C8E-4409-96D8-5D984F2D3004}"/>
    <cellStyle name="Normal 8 3 2 3 4 2 3" xfId="13357" xr:uid="{9536C1AF-3FB6-4D97-B344-344CCCC354F3}"/>
    <cellStyle name="Normal 8 3 2 3 4 3" xfId="6103" xr:uid="{00000000-0005-0000-0000-0000661D0000}"/>
    <cellStyle name="Normal 8 3 2 3 4 3 2" xfId="15429" xr:uid="{193A756C-47A1-4F87-8085-906AA4B6BFA3}"/>
    <cellStyle name="Normal 8 3 2 3 4 4" xfId="11212" xr:uid="{83D4691E-1753-4FFB-9056-185B72972ACF}"/>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4CF58969-50CE-452B-8138-CBD7CF23783D}"/>
    <cellStyle name="Normal 8 3 2 3 5 2 3" xfId="13770" xr:uid="{7E1B6BBB-AB57-4E8A-A426-7F48A48A4405}"/>
    <cellStyle name="Normal 8 3 2 3 5 3" xfId="6516" xr:uid="{00000000-0005-0000-0000-00006A1D0000}"/>
    <cellStyle name="Normal 8 3 2 3 5 3 2" xfId="15842" xr:uid="{CCC5D56C-7086-4631-B2BC-E86BEC08ED4F}"/>
    <cellStyle name="Normal 8 3 2 3 5 4" xfId="11625" xr:uid="{CAC876D7-59C8-4F74-A140-8C469470062A}"/>
    <cellStyle name="Normal 8 3 2 3 6" xfId="2646" xr:uid="{00000000-0005-0000-0000-00006B1D0000}"/>
    <cellStyle name="Normal 8 3 2 3 6 2" xfId="6929" xr:uid="{00000000-0005-0000-0000-00006C1D0000}"/>
    <cellStyle name="Normal 8 3 2 3 6 2 2" xfId="16255" xr:uid="{5928D1B5-5CC6-44A8-95CD-ADD8075CA4CB}"/>
    <cellStyle name="Normal 8 3 2 3 6 3" xfId="12038" xr:uid="{CAE920A3-731A-43AA-97C9-3114131D5A72}"/>
    <cellStyle name="Normal 8 3 2 3 7" xfId="4864" xr:uid="{00000000-0005-0000-0000-00006D1D0000}"/>
    <cellStyle name="Normal 8 3 2 3 7 2" xfId="14190" xr:uid="{2D6AFDD2-9F9A-4464-9B9F-27A37E346F95}"/>
    <cellStyle name="Normal 8 3 2 3 8" xfId="9044" xr:uid="{5ED49706-9CA9-4EE9-B01D-112CD1DB587C}"/>
    <cellStyle name="Normal 8 3 2 3 9" xfId="9973" xr:uid="{F5F2F7E3-9486-4AB4-BA70-47260B44B82A}"/>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20B5208B-7A18-4378-8840-346C7C0034B6}"/>
    <cellStyle name="Normal 8 3 2 4 2 3" xfId="12528" xr:uid="{9B9373F4-D6B4-434B-86F5-1E4C7AAF4285}"/>
    <cellStyle name="Normal 8 3 2 4 3" xfId="5274" xr:uid="{00000000-0005-0000-0000-0000711D0000}"/>
    <cellStyle name="Normal 8 3 2 4 3 2" xfId="14600" xr:uid="{3886DCC1-DB93-4E6A-A284-6C0F4DB51AA2}"/>
    <cellStyle name="Normal 8 3 2 4 4" xfId="9262" xr:uid="{8842595C-CD28-4B10-9BE6-37883B4C2AA9}"/>
    <cellStyle name="Normal 8 3 2 4 5" xfId="10383" xr:uid="{1FC69AC4-C58E-48CE-9232-C6DA5CA9890F}"/>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E881E879-10E7-4C7B-A8BB-252A9A19BEF1}"/>
    <cellStyle name="Normal 8 3 2 5 2 3" xfId="12941" xr:uid="{9B65C559-64ED-4A2D-97E1-B76019C63A71}"/>
    <cellStyle name="Normal 8 3 2 5 3" xfId="5687" xr:uid="{00000000-0005-0000-0000-0000751D0000}"/>
    <cellStyle name="Normal 8 3 2 5 3 2" xfId="15013" xr:uid="{BFA2641A-FE1E-4759-A39F-F320A2CB1858}"/>
    <cellStyle name="Normal 8 3 2 5 4" xfId="10796" xr:uid="{0255C38C-212A-4DC9-ACD4-53AA359EF444}"/>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FC421350-CD3B-4A20-8A66-74687424F390}"/>
    <cellStyle name="Normal 8 3 2 6 2 3" xfId="13354" xr:uid="{F5E8AACD-5E5F-4D68-9C3A-F872ED7AA1A7}"/>
    <cellStyle name="Normal 8 3 2 6 3" xfId="6100" xr:uid="{00000000-0005-0000-0000-0000791D0000}"/>
    <cellStyle name="Normal 8 3 2 6 3 2" xfId="15426" xr:uid="{D737D6CA-40E8-40F6-A24E-5ED28468C3B3}"/>
    <cellStyle name="Normal 8 3 2 6 4" xfId="11209" xr:uid="{358F2C5C-7CFB-4205-A163-8025331A41A8}"/>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1589DE76-08D7-482B-8463-70706DA537F9}"/>
    <cellStyle name="Normal 8 3 2 7 2 3" xfId="13767" xr:uid="{E4A6D87A-578B-4DEB-A9F2-90A1AA13278D}"/>
    <cellStyle name="Normal 8 3 2 7 3" xfId="6513" xr:uid="{00000000-0005-0000-0000-00007D1D0000}"/>
    <cellStyle name="Normal 8 3 2 7 3 2" xfId="15839" xr:uid="{DFBFC01E-07FD-47A5-94E8-682D48D4C2C5}"/>
    <cellStyle name="Normal 8 3 2 7 4" xfId="11622" xr:uid="{01BE42AD-0BC3-4D78-B55D-1971E6747582}"/>
    <cellStyle name="Normal 8 3 2 8" xfId="2643" xr:uid="{00000000-0005-0000-0000-00007E1D0000}"/>
    <cellStyle name="Normal 8 3 2 8 2" xfId="6926" xr:uid="{00000000-0005-0000-0000-00007F1D0000}"/>
    <cellStyle name="Normal 8 3 2 8 2 2" xfId="16252" xr:uid="{620C7F24-ED37-4831-9C52-DBCE138D323F}"/>
    <cellStyle name="Normal 8 3 2 8 3" xfId="12035" xr:uid="{10E3D196-7CBA-40BD-AB0B-6E190BC36A30}"/>
    <cellStyle name="Normal 8 3 2 9" xfId="4861" xr:uid="{00000000-0005-0000-0000-0000801D0000}"/>
    <cellStyle name="Normal 8 3 2 9 2" xfId="14187" xr:uid="{3DD6ABE6-6551-43EB-B484-6E623A3DA49B}"/>
    <cellStyle name="Normal 8 3 3" xfId="500" xr:uid="{00000000-0005-0000-0000-0000811D0000}"/>
    <cellStyle name="Normal 8 3 3 10" xfId="9974" xr:uid="{A021B116-788C-4CB3-AD4A-A5E90E9021A3}"/>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3CBD9CB8-59DB-4ECF-9287-3267A93FB462}"/>
    <cellStyle name="Normal 8 3 3 2 2 2 3" xfId="12533" xr:uid="{6640C6C3-7FAE-45AD-B42D-DE488379245C}"/>
    <cellStyle name="Normal 8 3 3 2 2 3" xfId="5279" xr:uid="{00000000-0005-0000-0000-0000861D0000}"/>
    <cellStyle name="Normal 8 3 3 2 2 3 2" xfId="14605" xr:uid="{0096107A-16E9-44AE-8A37-6368F2A37015}"/>
    <cellStyle name="Normal 8 3 3 2 2 4" xfId="9509" xr:uid="{3B4378D3-7C51-4B91-822B-758528BFF352}"/>
    <cellStyle name="Normal 8 3 3 2 2 5" xfId="10388" xr:uid="{C1BB1309-8933-49B7-9608-211189723975}"/>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802A38C4-8C3D-4A74-AAC7-7F4435FE1216}"/>
    <cellStyle name="Normal 8 3 3 2 3 2 3" xfId="12946" xr:uid="{EF440A8E-DAD6-46D0-B910-DB393C24F07E}"/>
    <cellStyle name="Normal 8 3 3 2 3 3" xfId="5692" xr:uid="{00000000-0005-0000-0000-00008A1D0000}"/>
    <cellStyle name="Normal 8 3 3 2 3 3 2" xfId="15018" xr:uid="{B573DEAB-D1D7-419D-8580-CF256C564B40}"/>
    <cellStyle name="Normal 8 3 3 2 3 4" xfId="10801" xr:uid="{53AFDB9B-C141-4216-92B6-E947DB6F9880}"/>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6651AB8D-E2F3-43BF-8C12-6135358863F4}"/>
    <cellStyle name="Normal 8 3 3 2 4 2 3" xfId="13359" xr:uid="{AE7D3D79-84D2-4FE3-91FD-B0FA2DC3D8AE}"/>
    <cellStyle name="Normal 8 3 3 2 4 3" xfId="6105" xr:uid="{00000000-0005-0000-0000-00008E1D0000}"/>
    <cellStyle name="Normal 8 3 3 2 4 3 2" xfId="15431" xr:uid="{601FECC5-3C79-4500-B780-3AA2B0C986F4}"/>
    <cellStyle name="Normal 8 3 3 2 4 4" xfId="11214" xr:uid="{05FDCAE8-A9DD-4EF6-86AD-990185410191}"/>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F09ABA66-20FB-451F-A42C-EC5B4A25AB9F}"/>
    <cellStyle name="Normal 8 3 3 2 5 2 3" xfId="13772" xr:uid="{ABAB69F7-D0E8-4B28-B810-37DD09467633}"/>
    <cellStyle name="Normal 8 3 3 2 5 3" xfId="6518" xr:uid="{00000000-0005-0000-0000-0000921D0000}"/>
    <cellStyle name="Normal 8 3 3 2 5 3 2" xfId="15844" xr:uid="{20C50646-11B6-4422-98CA-379631F0E319}"/>
    <cellStyle name="Normal 8 3 3 2 5 4" xfId="11627" xr:uid="{E383753D-1F3F-4B3E-AB61-A700812695EE}"/>
    <cellStyle name="Normal 8 3 3 2 6" xfId="2648" xr:uid="{00000000-0005-0000-0000-0000931D0000}"/>
    <cellStyle name="Normal 8 3 3 2 6 2" xfId="6931" xr:uid="{00000000-0005-0000-0000-0000941D0000}"/>
    <cellStyle name="Normal 8 3 3 2 6 2 2" xfId="16257" xr:uid="{1F3390C3-88F0-4221-9EBF-55CEFF7FF88E}"/>
    <cellStyle name="Normal 8 3 3 2 6 3" xfId="12040" xr:uid="{94881D7F-863B-49F4-959A-15819317434C}"/>
    <cellStyle name="Normal 8 3 3 2 7" xfId="4866" xr:uid="{00000000-0005-0000-0000-0000951D0000}"/>
    <cellStyle name="Normal 8 3 3 2 7 2" xfId="14192" xr:uid="{8B6554FB-7FA7-425B-BF52-1FE44AEF769A}"/>
    <cellStyle name="Normal 8 3 3 2 8" xfId="9084" xr:uid="{94243AB7-0454-4C95-8E94-054E46718167}"/>
    <cellStyle name="Normal 8 3 3 2 9" xfId="9975" xr:uid="{E0CDF809-B9F3-40AE-92DF-B55FA272BDA8}"/>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E457562D-772E-4405-BCEB-C56E3E5CE22F}"/>
    <cellStyle name="Normal 8 3 3 3 2 3" xfId="12532" xr:uid="{E4A0A41A-EAB9-4B4A-8E3C-9897930DB165}"/>
    <cellStyle name="Normal 8 3 3 3 3" xfId="5278" xr:uid="{00000000-0005-0000-0000-0000991D0000}"/>
    <cellStyle name="Normal 8 3 3 3 3 2" xfId="14604" xr:uid="{67530235-8D63-49C1-968A-F3CA4B1F905B}"/>
    <cellStyle name="Normal 8 3 3 3 4" xfId="9302" xr:uid="{3985B908-2B56-4F9B-BEA3-8962926FD004}"/>
    <cellStyle name="Normal 8 3 3 3 5" xfId="10387" xr:uid="{9004A3A8-9D4E-4865-8BF6-DE263307B67F}"/>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11DCEBB8-3349-43D5-A781-5F7F0ADE8A4C}"/>
    <cellStyle name="Normal 8 3 3 4 2 3" xfId="12945" xr:uid="{54B3B7B6-AE18-4AB7-B0C8-760E1FDC2B47}"/>
    <cellStyle name="Normal 8 3 3 4 3" xfId="5691" xr:uid="{00000000-0005-0000-0000-00009D1D0000}"/>
    <cellStyle name="Normal 8 3 3 4 3 2" xfId="15017" xr:uid="{625B57A5-F1B3-4DD4-BD8B-D3A67E0125EF}"/>
    <cellStyle name="Normal 8 3 3 4 4" xfId="10800" xr:uid="{99967213-E957-432E-AA9F-5808E3F0CCA5}"/>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ED243407-6EBA-4304-996C-E627628B873A}"/>
    <cellStyle name="Normal 8 3 3 5 2 3" xfId="13358" xr:uid="{8DEA33D4-7DA1-40ED-9428-0818E32AD647}"/>
    <cellStyle name="Normal 8 3 3 5 3" xfId="6104" xr:uid="{00000000-0005-0000-0000-0000A11D0000}"/>
    <cellStyle name="Normal 8 3 3 5 3 2" xfId="15430" xr:uid="{27DCE9F9-5C83-41EE-9500-ED6C52BB911A}"/>
    <cellStyle name="Normal 8 3 3 5 4" xfId="11213" xr:uid="{A498899D-E8BE-4932-A929-B471C424BCB3}"/>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A2467A74-DD41-4C7F-B3B8-3033E67CE532}"/>
    <cellStyle name="Normal 8 3 3 6 2 3" xfId="13771" xr:uid="{B6BA2E8B-6EBB-4601-A22F-990AA20D74BD}"/>
    <cellStyle name="Normal 8 3 3 6 3" xfId="6517" xr:uid="{00000000-0005-0000-0000-0000A51D0000}"/>
    <cellStyle name="Normal 8 3 3 6 3 2" xfId="15843" xr:uid="{0D0F42C3-C8C2-4F15-93A8-C8F9AB2FB316}"/>
    <cellStyle name="Normal 8 3 3 6 4" xfId="11626" xr:uid="{6B74AE0F-8C66-4F9F-96F7-300F17E57967}"/>
    <cellStyle name="Normal 8 3 3 7" xfId="2647" xr:uid="{00000000-0005-0000-0000-0000A61D0000}"/>
    <cellStyle name="Normal 8 3 3 7 2" xfId="6930" xr:uid="{00000000-0005-0000-0000-0000A71D0000}"/>
    <cellStyle name="Normal 8 3 3 7 2 2" xfId="16256" xr:uid="{F332BC94-C497-4E07-BF51-65359D54D1AE}"/>
    <cellStyle name="Normal 8 3 3 7 3" xfId="12039" xr:uid="{1D8C27F9-1EE6-476A-A89D-B92A48269BB2}"/>
    <cellStyle name="Normal 8 3 3 8" xfId="4865" xr:uid="{00000000-0005-0000-0000-0000A81D0000}"/>
    <cellStyle name="Normal 8 3 3 8 2" xfId="14191" xr:uid="{CD38AAD4-C07B-43DE-8DB7-A5231D066D17}"/>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BA544ABE-8C07-420E-89DD-46A863C5742F}"/>
    <cellStyle name="Normal 8 3 4 2 2 3" xfId="12534" xr:uid="{146B6896-E244-4638-BE2F-847AA4AB4BE1}"/>
    <cellStyle name="Normal 8 3 4 2 3" xfId="5280" xr:uid="{00000000-0005-0000-0000-0000AD1D0000}"/>
    <cellStyle name="Normal 8 3 4 2 3 2" xfId="14606" xr:uid="{BEEF0AF7-0251-4685-B75F-1A059E83C237}"/>
    <cellStyle name="Normal 8 3 4 2 4" xfId="9406" xr:uid="{8751BE45-E47B-4A0A-B0DE-04C14FAEA88D}"/>
    <cellStyle name="Normal 8 3 4 2 5" xfId="10389" xr:uid="{C006AEFF-AC79-4625-B4C6-F828D13D430C}"/>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9778A3F7-7379-42EF-9CC4-7762ED8AFC93}"/>
    <cellStyle name="Normal 8 3 4 3 2 3" xfId="12947" xr:uid="{1DAA8276-5012-4607-B914-68B468C88039}"/>
    <cellStyle name="Normal 8 3 4 3 3" xfId="5693" xr:uid="{00000000-0005-0000-0000-0000B11D0000}"/>
    <cellStyle name="Normal 8 3 4 3 3 2" xfId="15019" xr:uid="{619D3539-C2CB-46E4-B15E-BB15A5138B85}"/>
    <cellStyle name="Normal 8 3 4 3 4" xfId="10802" xr:uid="{F287051A-2AB6-4067-86C1-1CD828B5C3D7}"/>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ABDDBE0D-F077-4059-B71A-F567EAFACBFE}"/>
    <cellStyle name="Normal 8 3 4 4 2 3" xfId="13360" xr:uid="{B78B2FB7-2323-4916-97DC-65BADB1DBCEC}"/>
    <cellStyle name="Normal 8 3 4 4 3" xfId="6106" xr:uid="{00000000-0005-0000-0000-0000B51D0000}"/>
    <cellStyle name="Normal 8 3 4 4 3 2" xfId="15432" xr:uid="{80101A40-01CB-4D94-A45C-91F760F8665C}"/>
    <cellStyle name="Normal 8 3 4 4 4" xfId="11215" xr:uid="{98BD66AA-9692-4E30-A5CA-0803F980450B}"/>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90BE0DB0-80BC-4045-ADCC-048349EFAFD0}"/>
    <cellStyle name="Normal 8 3 4 5 2 3" xfId="13773" xr:uid="{1509364D-DBD3-42CB-A464-31FD81589994}"/>
    <cellStyle name="Normal 8 3 4 5 3" xfId="6519" xr:uid="{00000000-0005-0000-0000-0000B91D0000}"/>
    <cellStyle name="Normal 8 3 4 5 3 2" xfId="15845" xr:uid="{83892C92-C3D7-4236-A733-C2F964E65B5F}"/>
    <cellStyle name="Normal 8 3 4 5 4" xfId="11628" xr:uid="{D8631802-2C52-41B5-AFE9-AEA82948F16B}"/>
    <cellStyle name="Normal 8 3 4 6" xfId="2649" xr:uid="{00000000-0005-0000-0000-0000BA1D0000}"/>
    <cellStyle name="Normal 8 3 4 6 2" xfId="6932" xr:uid="{00000000-0005-0000-0000-0000BB1D0000}"/>
    <cellStyle name="Normal 8 3 4 6 2 2" xfId="16258" xr:uid="{C2868C04-D4C7-466B-8F44-3F0A50CABEE8}"/>
    <cellStyle name="Normal 8 3 4 6 3" xfId="12041" xr:uid="{92533A96-4DB9-445F-94C5-E29A57D3843A}"/>
    <cellStyle name="Normal 8 3 4 7" xfId="4867" xr:uid="{00000000-0005-0000-0000-0000BC1D0000}"/>
    <cellStyle name="Normal 8 3 4 7 2" xfId="14193" xr:uid="{94E3246B-FFE2-4A10-9C9B-B4EC6BE5EDDA}"/>
    <cellStyle name="Normal 8 3 4 8" xfId="8981" xr:uid="{BEE184E9-ECE6-4107-B29A-CC8BC7F28FA3}"/>
    <cellStyle name="Normal 8 3 4 9" xfId="9976" xr:uid="{1C1F7915-39A5-48D9-B785-98EAB4FBCEE4}"/>
    <cellStyle name="Normal 8 3 5" xfId="962" xr:uid="{00000000-0005-0000-0000-0000BD1D0000}"/>
    <cellStyle name="Normal 8 3 5 2" xfId="3196" xr:uid="{00000000-0005-0000-0000-0000BE1D0000}"/>
    <cellStyle name="Normal 8 3 5 2 2" xfId="7418" xr:uid="{00000000-0005-0000-0000-0000BF1D0000}"/>
    <cellStyle name="Normal 8 3 5 2 2 2" xfId="16744" xr:uid="{0FB9AD55-1461-4720-8DF9-6D6FC826FE51}"/>
    <cellStyle name="Normal 8 3 5 2 3" xfId="12527" xr:uid="{2A0E1F92-AEDA-4FAC-BFB3-D91DA078803E}"/>
    <cellStyle name="Normal 8 3 5 3" xfId="5273" xr:uid="{00000000-0005-0000-0000-0000C01D0000}"/>
    <cellStyle name="Normal 8 3 5 3 2" xfId="14599" xr:uid="{70B7727A-185C-4D2C-9022-663B934A3C53}"/>
    <cellStyle name="Normal 8 3 5 4" xfId="9198" xr:uid="{FA5A5C79-C3AC-4E17-9344-90C4E411EE0B}"/>
    <cellStyle name="Normal 8 3 5 5" xfId="10382" xr:uid="{347FA56D-F33A-480E-91DF-3D38660B412A}"/>
    <cellStyle name="Normal 8 3 6" xfId="1379" xr:uid="{00000000-0005-0000-0000-0000C11D0000}"/>
    <cellStyle name="Normal 8 3 6 2" xfId="3609" xr:uid="{00000000-0005-0000-0000-0000C21D0000}"/>
    <cellStyle name="Normal 8 3 6 2 2" xfId="7831" xr:uid="{00000000-0005-0000-0000-0000C31D0000}"/>
    <cellStyle name="Normal 8 3 6 2 2 2" xfId="17157" xr:uid="{8D68A698-33D2-42FF-A613-E86487338AC0}"/>
    <cellStyle name="Normal 8 3 6 2 3" xfId="12940" xr:uid="{5316568A-E3E9-4497-AB87-72E8EB6328F9}"/>
    <cellStyle name="Normal 8 3 6 3" xfId="5686" xr:uid="{00000000-0005-0000-0000-0000C41D0000}"/>
    <cellStyle name="Normal 8 3 6 3 2" xfId="15012" xr:uid="{A6C35EE3-FCC5-427C-9FFA-1A3E1C12EFE2}"/>
    <cellStyle name="Normal 8 3 6 4" xfId="10795" xr:uid="{ACCA770A-1347-49A3-89D8-CAED205F9588}"/>
    <cellStyle name="Normal 8 3 7" xfId="1792" xr:uid="{00000000-0005-0000-0000-0000C51D0000}"/>
    <cellStyle name="Normal 8 3 7 2" xfId="4022" xr:uid="{00000000-0005-0000-0000-0000C61D0000}"/>
    <cellStyle name="Normal 8 3 7 2 2" xfId="8244" xr:uid="{00000000-0005-0000-0000-0000C71D0000}"/>
    <cellStyle name="Normal 8 3 7 2 2 2" xfId="17570" xr:uid="{DC7BF01A-85C2-48BE-83DB-4C09CB904366}"/>
    <cellStyle name="Normal 8 3 7 2 3" xfId="13353" xr:uid="{06AF272C-375C-41FC-9D41-49F5A22185EF}"/>
    <cellStyle name="Normal 8 3 7 3" xfId="6099" xr:uid="{00000000-0005-0000-0000-0000C81D0000}"/>
    <cellStyle name="Normal 8 3 7 3 2" xfId="15425" xr:uid="{F7AA2F71-F4E1-4BDB-B4D3-B0D05C21BFD1}"/>
    <cellStyle name="Normal 8 3 7 4" xfId="11208" xr:uid="{21558629-B532-46C7-9100-096F57B6420B}"/>
    <cellStyle name="Normal 8 3 8" xfId="2206" xr:uid="{00000000-0005-0000-0000-0000C91D0000}"/>
    <cellStyle name="Normal 8 3 8 2" xfId="4435" xr:uid="{00000000-0005-0000-0000-0000CA1D0000}"/>
    <cellStyle name="Normal 8 3 8 2 2" xfId="8657" xr:uid="{00000000-0005-0000-0000-0000CB1D0000}"/>
    <cellStyle name="Normal 8 3 8 2 2 2" xfId="17983" xr:uid="{C104A1F9-567F-41B7-ABDE-BAB73229278F}"/>
    <cellStyle name="Normal 8 3 8 2 3" xfId="13766" xr:uid="{83B97971-53AD-4497-BD5A-E84524D7203B}"/>
    <cellStyle name="Normal 8 3 8 3" xfId="6512" xr:uid="{00000000-0005-0000-0000-0000CC1D0000}"/>
    <cellStyle name="Normal 8 3 8 3 2" xfId="15838" xr:uid="{B04A6E1C-8FA5-4719-BEE7-E54E3212E2F5}"/>
    <cellStyle name="Normal 8 3 8 4" xfId="11621" xr:uid="{886E3E7D-B11F-41CB-B013-A95A9A3C4A00}"/>
    <cellStyle name="Normal 8 3 9" xfId="2642" xr:uid="{00000000-0005-0000-0000-0000CD1D0000}"/>
    <cellStyle name="Normal 8 3 9 2" xfId="6925" xr:uid="{00000000-0005-0000-0000-0000CE1D0000}"/>
    <cellStyle name="Normal 8 3 9 2 2" xfId="16251" xr:uid="{4F90FE58-23A5-409D-8876-261D215F2B7B}"/>
    <cellStyle name="Normal 8 3 9 3" xfId="12034" xr:uid="{BBD0E0C6-96E1-4F98-838B-A8579ED15416}"/>
    <cellStyle name="Normal 8 4" xfId="503" xr:uid="{00000000-0005-0000-0000-0000CF1D0000}"/>
    <cellStyle name="Normal 8 4 10" xfId="8834" xr:uid="{78848A4E-06FA-4050-B553-A3A7DEA1B047}"/>
    <cellStyle name="Normal 8 4 11" xfId="9977" xr:uid="{465A6F0B-4943-486C-B136-598FAA68CEA9}"/>
    <cellStyle name="Normal 8 4 2" xfId="504" xr:uid="{00000000-0005-0000-0000-0000D01D0000}"/>
    <cellStyle name="Normal 8 4 2 10" xfId="9978" xr:uid="{E447FCD8-BEBF-4CE7-BB1C-DB64FD03E3B4}"/>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74A76248-C2E9-489F-BEBE-7453D37F3D95}"/>
    <cellStyle name="Normal 8 4 2 2 2 2 3" xfId="12537" xr:uid="{EE45FD9F-1B4F-459B-8699-B0FA5D31E749}"/>
    <cellStyle name="Normal 8 4 2 2 2 3" xfId="5283" xr:uid="{00000000-0005-0000-0000-0000D51D0000}"/>
    <cellStyle name="Normal 8 4 2 2 2 3 2" xfId="14609" xr:uid="{4A4637DA-2E2E-437C-AFFB-3ECDA0780B01}"/>
    <cellStyle name="Normal 8 4 2 2 2 4" xfId="9569" xr:uid="{F21122F8-27BB-4D46-891E-281F736F5353}"/>
    <cellStyle name="Normal 8 4 2 2 2 5" xfId="10392" xr:uid="{7AF3EABC-3065-4160-8C3E-D974841178BF}"/>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6380906E-23D8-48DD-92B6-013161F42765}"/>
    <cellStyle name="Normal 8 4 2 2 3 2 3" xfId="12950" xr:uid="{8ECBBEA6-1900-4F17-8CF5-3DA19E8C0057}"/>
    <cellStyle name="Normal 8 4 2 2 3 3" xfId="5696" xr:uid="{00000000-0005-0000-0000-0000D91D0000}"/>
    <cellStyle name="Normal 8 4 2 2 3 3 2" xfId="15022" xr:uid="{FB789FB4-A064-475E-B44B-36CDE02329C5}"/>
    <cellStyle name="Normal 8 4 2 2 3 4" xfId="10805" xr:uid="{1BB4BCD8-6DCE-40C6-9D7F-C66F1C419B18}"/>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DCFCDDAE-62F0-4BA5-985B-BC8A1951A893}"/>
    <cellStyle name="Normal 8 4 2 2 4 2 3" xfId="13363" xr:uid="{8D060B92-C814-4B84-BCD9-6F48BC757AB7}"/>
    <cellStyle name="Normal 8 4 2 2 4 3" xfId="6109" xr:uid="{00000000-0005-0000-0000-0000DD1D0000}"/>
    <cellStyle name="Normal 8 4 2 2 4 3 2" xfId="15435" xr:uid="{1D6FA589-BFDA-4AB0-B86A-508B8A8EFAA7}"/>
    <cellStyle name="Normal 8 4 2 2 4 4" xfId="11218" xr:uid="{7ED4CDB6-199B-4DB0-BADF-9C4FEE39645E}"/>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9EC9E41B-BC27-422E-BFC5-1126BCDFF28B}"/>
    <cellStyle name="Normal 8 4 2 2 5 2 3" xfId="13776" xr:uid="{B3515EDF-D0AD-4123-911C-897F1707E2B6}"/>
    <cellStyle name="Normal 8 4 2 2 5 3" xfId="6522" xr:uid="{00000000-0005-0000-0000-0000E11D0000}"/>
    <cellStyle name="Normal 8 4 2 2 5 3 2" xfId="15848" xr:uid="{C58CF4F0-6BC4-438B-A4E0-0D34AAD179C0}"/>
    <cellStyle name="Normal 8 4 2 2 5 4" xfId="11631" xr:uid="{9053BF3E-9313-4244-A0C6-074AC34BED52}"/>
    <cellStyle name="Normal 8 4 2 2 6" xfId="2652" xr:uid="{00000000-0005-0000-0000-0000E21D0000}"/>
    <cellStyle name="Normal 8 4 2 2 6 2" xfId="6935" xr:uid="{00000000-0005-0000-0000-0000E31D0000}"/>
    <cellStyle name="Normal 8 4 2 2 6 2 2" xfId="16261" xr:uid="{4BE6FFA7-8923-44D8-A833-D7C99D50E7FD}"/>
    <cellStyle name="Normal 8 4 2 2 6 3" xfId="12044" xr:uid="{E590D8FB-7A8A-47D9-804C-3D4851B1B2F9}"/>
    <cellStyle name="Normal 8 4 2 2 7" xfId="4870" xr:uid="{00000000-0005-0000-0000-0000E41D0000}"/>
    <cellStyle name="Normal 8 4 2 2 7 2" xfId="14196" xr:uid="{46E141A9-D119-465D-A096-12B3480B5B4B}"/>
    <cellStyle name="Normal 8 4 2 2 8" xfId="9144" xr:uid="{EF6B0978-3DE8-47DC-990C-0B47AAC8F1DC}"/>
    <cellStyle name="Normal 8 4 2 2 9" xfId="9979" xr:uid="{C8FB2551-FE20-40A4-9675-77E7784575F2}"/>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F21D7960-26F2-4532-A13B-94FB0C1B6030}"/>
    <cellStyle name="Normal 8 4 2 3 2 3" xfId="12536" xr:uid="{29C61F95-7C38-4F76-9EA2-756A7FA8AE02}"/>
    <cellStyle name="Normal 8 4 2 3 3" xfId="5282" xr:uid="{00000000-0005-0000-0000-0000E81D0000}"/>
    <cellStyle name="Normal 8 4 2 3 3 2" xfId="14608" xr:uid="{E2BEFB76-2281-4CAB-AEE2-BED7148FA4B5}"/>
    <cellStyle name="Normal 8 4 2 3 4" xfId="9362" xr:uid="{206856BB-FDDB-4012-ABFE-5E991E477A14}"/>
    <cellStyle name="Normal 8 4 2 3 5" xfId="10391" xr:uid="{EE4E217A-7B00-4535-847F-790401F38B0D}"/>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BE6DA967-2199-4C5A-B608-55349D7127A2}"/>
    <cellStyle name="Normal 8 4 2 4 2 3" xfId="12949" xr:uid="{951AC3CD-B4F4-497E-AE3E-F2D62A9203A0}"/>
    <cellStyle name="Normal 8 4 2 4 3" xfId="5695" xr:uid="{00000000-0005-0000-0000-0000EC1D0000}"/>
    <cellStyle name="Normal 8 4 2 4 3 2" xfId="15021" xr:uid="{71EA089D-5806-4695-87F0-15FF54926E3C}"/>
    <cellStyle name="Normal 8 4 2 4 4" xfId="10804" xr:uid="{6A627AEB-7109-4F45-B96C-BA124AF187B1}"/>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EDB3D28D-7B76-43A3-BBC1-D4B031B9D219}"/>
    <cellStyle name="Normal 8 4 2 5 2 3" xfId="13362" xr:uid="{CE485AE5-B00E-4F42-A9C9-BD0BCF3FB160}"/>
    <cellStyle name="Normal 8 4 2 5 3" xfId="6108" xr:uid="{00000000-0005-0000-0000-0000F01D0000}"/>
    <cellStyle name="Normal 8 4 2 5 3 2" xfId="15434" xr:uid="{892CF3F9-28B1-477A-8BC4-C954E0E3B3FF}"/>
    <cellStyle name="Normal 8 4 2 5 4" xfId="11217" xr:uid="{C7B1B130-A000-49EC-BFCE-0A2AA5812A51}"/>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6F2CCDAD-F29A-4C5B-A21C-15D0D3092116}"/>
    <cellStyle name="Normal 8 4 2 6 2 3" xfId="13775" xr:uid="{81B93BBB-AEFB-4E20-BB0E-21C0CD177FCC}"/>
    <cellStyle name="Normal 8 4 2 6 3" xfId="6521" xr:uid="{00000000-0005-0000-0000-0000F41D0000}"/>
    <cellStyle name="Normal 8 4 2 6 3 2" xfId="15847" xr:uid="{1778A0FB-82C1-4DCB-8149-C5E412A08FE0}"/>
    <cellStyle name="Normal 8 4 2 6 4" xfId="11630" xr:uid="{71AE9AFA-5041-4F9B-8A64-F20C715891AB}"/>
    <cellStyle name="Normal 8 4 2 7" xfId="2651" xr:uid="{00000000-0005-0000-0000-0000F51D0000}"/>
    <cellStyle name="Normal 8 4 2 7 2" xfId="6934" xr:uid="{00000000-0005-0000-0000-0000F61D0000}"/>
    <cellStyle name="Normal 8 4 2 7 2 2" xfId="16260" xr:uid="{3C3418C3-210F-4111-A7E2-A87761CB3999}"/>
    <cellStyle name="Normal 8 4 2 7 3" xfId="12043" xr:uid="{E9D62C4A-D587-4A54-92FB-FFF3961D5D1A}"/>
    <cellStyle name="Normal 8 4 2 8" xfId="4869" xr:uid="{00000000-0005-0000-0000-0000F71D0000}"/>
    <cellStyle name="Normal 8 4 2 8 2" xfId="14195" xr:uid="{FD9B9DA8-60E7-4E00-9EF6-FC8D46752FFD}"/>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089053C7-92C2-4194-AA8C-E8DF225B5E2D}"/>
    <cellStyle name="Normal 8 4 3 2 2 3" xfId="12538" xr:uid="{AD17C30C-CC7C-4E7F-9D19-1DBE79FF4CA7}"/>
    <cellStyle name="Normal 8 4 3 2 3" xfId="5284" xr:uid="{00000000-0005-0000-0000-0000FC1D0000}"/>
    <cellStyle name="Normal 8 4 3 2 3 2" xfId="14610" xr:uid="{B1F684F8-8619-41AA-B026-0A1BE0799551}"/>
    <cellStyle name="Normal 8 4 3 2 4" xfId="9466" xr:uid="{4C42748F-6D34-4D0D-8AE2-FFD5C0CBE26F}"/>
    <cellStyle name="Normal 8 4 3 2 5" xfId="10393" xr:uid="{633BEEE5-EE12-42E1-9EBB-A7EF30BC97E7}"/>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170C313D-13EE-4793-85A1-162CF9B70840}"/>
    <cellStyle name="Normal 8 4 3 3 2 3" xfId="12951" xr:uid="{3F0148E1-C61B-4E87-A84B-0574FAF0D804}"/>
    <cellStyle name="Normal 8 4 3 3 3" xfId="5697" xr:uid="{00000000-0005-0000-0000-0000001E0000}"/>
    <cellStyle name="Normal 8 4 3 3 3 2" xfId="15023" xr:uid="{EB157A02-713F-48ED-BE80-DF8DEA78FE97}"/>
    <cellStyle name="Normal 8 4 3 3 4" xfId="10806" xr:uid="{E5D8C8AC-1790-4129-AFC7-FA68325B572D}"/>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9231271C-6280-4AED-BD96-CEC38C595358}"/>
    <cellStyle name="Normal 8 4 3 4 2 3" xfId="13364" xr:uid="{394D98ED-901B-4191-BC8A-A122AA8247D9}"/>
    <cellStyle name="Normal 8 4 3 4 3" xfId="6110" xr:uid="{00000000-0005-0000-0000-0000041E0000}"/>
    <cellStyle name="Normal 8 4 3 4 3 2" xfId="15436" xr:uid="{7C2EB821-D39A-46F7-9918-CB26FED93A6E}"/>
    <cellStyle name="Normal 8 4 3 4 4" xfId="11219" xr:uid="{7F2E7FF7-C0AB-42F0-9B79-FEA1D70C1966}"/>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6E1EB1DD-EA43-447E-BB75-902B8DE28760}"/>
    <cellStyle name="Normal 8 4 3 5 2 3" xfId="13777" xr:uid="{B427FF50-FAFF-4CEB-AEC9-5406A711CD63}"/>
    <cellStyle name="Normal 8 4 3 5 3" xfId="6523" xr:uid="{00000000-0005-0000-0000-0000081E0000}"/>
    <cellStyle name="Normal 8 4 3 5 3 2" xfId="15849" xr:uid="{73702C2E-3072-468C-8325-C8FE97BE307D}"/>
    <cellStyle name="Normal 8 4 3 5 4" xfId="11632" xr:uid="{3CCAED06-D6B8-4934-8811-F5B21A5254E6}"/>
    <cellStyle name="Normal 8 4 3 6" xfId="2653" xr:uid="{00000000-0005-0000-0000-0000091E0000}"/>
    <cellStyle name="Normal 8 4 3 6 2" xfId="6936" xr:uid="{00000000-0005-0000-0000-00000A1E0000}"/>
    <cellStyle name="Normal 8 4 3 6 2 2" xfId="16262" xr:uid="{EF9F0F1A-7A65-49E9-80DD-594DC9B162A8}"/>
    <cellStyle name="Normal 8 4 3 6 3" xfId="12045" xr:uid="{6899C557-2A1F-40C7-8210-A92C55D6ED9D}"/>
    <cellStyle name="Normal 8 4 3 7" xfId="4871" xr:uid="{00000000-0005-0000-0000-00000B1E0000}"/>
    <cellStyle name="Normal 8 4 3 7 2" xfId="14197" xr:uid="{59F35119-7236-4724-BDA5-D199A0C20890}"/>
    <cellStyle name="Normal 8 4 3 8" xfId="9041" xr:uid="{3EA15F1E-D38A-4BB8-BEC6-98D9A94BB79B}"/>
    <cellStyle name="Normal 8 4 3 9" xfId="9980" xr:uid="{38336A01-3B87-4A06-AC68-870080F8DD23}"/>
    <cellStyle name="Normal 8 4 4" xfId="970" xr:uid="{00000000-0005-0000-0000-00000C1E0000}"/>
    <cellStyle name="Normal 8 4 4 2" xfId="3204" xr:uid="{00000000-0005-0000-0000-00000D1E0000}"/>
    <cellStyle name="Normal 8 4 4 2 2" xfId="7426" xr:uid="{00000000-0005-0000-0000-00000E1E0000}"/>
    <cellStyle name="Normal 8 4 4 2 2 2" xfId="16752" xr:uid="{CE8ED801-6CA8-4149-9A01-557E4BC46825}"/>
    <cellStyle name="Normal 8 4 4 2 3" xfId="12535" xr:uid="{5AD7D8E6-8107-4664-934E-E61BB16C5C68}"/>
    <cellStyle name="Normal 8 4 4 3" xfId="5281" xr:uid="{00000000-0005-0000-0000-00000F1E0000}"/>
    <cellStyle name="Normal 8 4 4 3 2" xfId="14607" xr:uid="{CB5CC6F3-D430-410A-A7EE-44E5E4B12AB3}"/>
    <cellStyle name="Normal 8 4 4 4" xfId="9259" xr:uid="{45904BAA-3C39-482B-A2B6-0FB84C0B889C}"/>
    <cellStyle name="Normal 8 4 4 5" xfId="10390" xr:uid="{B9392144-1670-445D-AB9E-380A1A7A0EC5}"/>
    <cellStyle name="Normal 8 4 5" xfId="1387" xr:uid="{00000000-0005-0000-0000-0000101E0000}"/>
    <cellStyle name="Normal 8 4 5 2" xfId="3617" xr:uid="{00000000-0005-0000-0000-0000111E0000}"/>
    <cellStyle name="Normal 8 4 5 2 2" xfId="7839" xr:uid="{00000000-0005-0000-0000-0000121E0000}"/>
    <cellStyle name="Normal 8 4 5 2 2 2" xfId="17165" xr:uid="{E983A4C1-03BA-4B6E-BB04-8FA910E604CC}"/>
    <cellStyle name="Normal 8 4 5 2 3" xfId="12948" xr:uid="{3F98EF67-3F93-483D-85F0-D72D9E54E8BA}"/>
    <cellStyle name="Normal 8 4 5 3" xfId="5694" xr:uid="{00000000-0005-0000-0000-0000131E0000}"/>
    <cellStyle name="Normal 8 4 5 3 2" xfId="15020" xr:uid="{1FCD0C85-C953-4829-952F-933AEEFF2426}"/>
    <cellStyle name="Normal 8 4 5 4" xfId="10803" xr:uid="{8B83734A-64E7-4DCD-A9C3-5451B098178D}"/>
    <cellStyle name="Normal 8 4 6" xfId="1800" xr:uid="{00000000-0005-0000-0000-0000141E0000}"/>
    <cellStyle name="Normal 8 4 6 2" xfId="4030" xr:uid="{00000000-0005-0000-0000-0000151E0000}"/>
    <cellStyle name="Normal 8 4 6 2 2" xfId="8252" xr:uid="{00000000-0005-0000-0000-0000161E0000}"/>
    <cellStyle name="Normal 8 4 6 2 2 2" xfId="17578" xr:uid="{DB32BB56-D12B-444C-BBF5-5FDB01C1A0D7}"/>
    <cellStyle name="Normal 8 4 6 2 3" xfId="13361" xr:uid="{B4774B9D-FACA-45E0-A937-8F3C3DD1F808}"/>
    <cellStyle name="Normal 8 4 6 3" xfId="6107" xr:uid="{00000000-0005-0000-0000-0000171E0000}"/>
    <cellStyle name="Normal 8 4 6 3 2" xfId="15433" xr:uid="{A3965A65-67D5-4176-9580-530F1FC02CF2}"/>
    <cellStyle name="Normal 8 4 6 4" xfId="11216" xr:uid="{C992B84F-A99A-436D-963E-388C8CE1340C}"/>
    <cellStyle name="Normal 8 4 7" xfId="2214" xr:uid="{00000000-0005-0000-0000-0000181E0000}"/>
    <cellStyle name="Normal 8 4 7 2" xfId="4443" xr:uid="{00000000-0005-0000-0000-0000191E0000}"/>
    <cellStyle name="Normal 8 4 7 2 2" xfId="8665" xr:uid="{00000000-0005-0000-0000-00001A1E0000}"/>
    <cellStyle name="Normal 8 4 7 2 2 2" xfId="17991" xr:uid="{E1DA6C08-3B0C-49AA-97A5-87F9E26988E4}"/>
    <cellStyle name="Normal 8 4 7 2 3" xfId="13774" xr:uid="{00CA225E-2A3A-4709-8493-D9ECA5A1D14A}"/>
    <cellStyle name="Normal 8 4 7 3" xfId="6520" xr:uid="{00000000-0005-0000-0000-00001B1E0000}"/>
    <cellStyle name="Normal 8 4 7 3 2" xfId="15846" xr:uid="{E88A6CD3-1F39-40A3-B7B9-5D8D8A3C6F66}"/>
    <cellStyle name="Normal 8 4 7 4" xfId="11629" xr:uid="{EEDF4CA9-7A93-467C-8FBC-68A0919D5478}"/>
    <cellStyle name="Normal 8 4 8" xfId="2650" xr:uid="{00000000-0005-0000-0000-00001C1E0000}"/>
    <cellStyle name="Normal 8 4 8 2" xfId="6933" xr:uid="{00000000-0005-0000-0000-00001D1E0000}"/>
    <cellStyle name="Normal 8 4 8 2 2" xfId="16259" xr:uid="{D3EB798A-A24E-4C35-A7D6-7AE3B7E7300A}"/>
    <cellStyle name="Normal 8 4 8 3" xfId="12042" xr:uid="{57D5F3B9-35A0-4106-A349-4E19CA4AD7AF}"/>
    <cellStyle name="Normal 8 4 9" xfId="4868" xr:uid="{00000000-0005-0000-0000-00001E1E0000}"/>
    <cellStyle name="Normal 8 4 9 2" xfId="14194" xr:uid="{987FA0E4-D115-43CA-8FD7-74D00DFE7EAB}"/>
    <cellStyle name="Normal 8 5" xfId="507" xr:uid="{00000000-0005-0000-0000-00001F1E0000}"/>
    <cellStyle name="Normal 8 5 10" xfId="9981" xr:uid="{20BA94B3-03F1-4BD4-BE2D-2214298D48D6}"/>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20A81921-796D-4ADA-A813-A879928EBF3E}"/>
    <cellStyle name="Normal 8 5 2 2 2 3" xfId="12540" xr:uid="{ACEBE395-C5B7-4098-88DB-E01564614989}"/>
    <cellStyle name="Normal 8 5 2 2 3" xfId="5286" xr:uid="{00000000-0005-0000-0000-0000241E0000}"/>
    <cellStyle name="Normal 8 5 2 2 3 2" xfId="14612" xr:uid="{D467FB96-61BF-47C8-B74D-7523626061DF}"/>
    <cellStyle name="Normal 8 5 2 2 4" xfId="9477" xr:uid="{62ED1F43-6081-4B0B-94C3-5999D37D11C7}"/>
    <cellStyle name="Normal 8 5 2 2 5" xfId="10395" xr:uid="{6DA85B72-920B-4B47-9BEC-03B523FB3D99}"/>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67BF49A1-3563-46B9-9013-FE79766E84B8}"/>
    <cellStyle name="Normal 8 5 2 3 2 3" xfId="12953" xr:uid="{A5C7CCD0-112F-4F6A-B67A-35EEBB51E38E}"/>
    <cellStyle name="Normal 8 5 2 3 3" xfId="5699" xr:uid="{00000000-0005-0000-0000-0000281E0000}"/>
    <cellStyle name="Normal 8 5 2 3 3 2" xfId="15025" xr:uid="{9AF6D44D-4215-4237-AF20-D1CD81C6DB5D}"/>
    <cellStyle name="Normal 8 5 2 3 4" xfId="10808" xr:uid="{CB41F75D-628E-469A-A6FC-CB85257D8E48}"/>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21A7D933-A3F2-4CF8-A896-A1F1432BAA20}"/>
    <cellStyle name="Normal 8 5 2 4 2 3" xfId="13366" xr:uid="{9F88BDB5-4E7C-4DCF-B917-513C9183B882}"/>
    <cellStyle name="Normal 8 5 2 4 3" xfId="6112" xr:uid="{00000000-0005-0000-0000-00002C1E0000}"/>
    <cellStyle name="Normal 8 5 2 4 3 2" xfId="15438" xr:uid="{FA8DCF96-2C84-4891-BA3E-2BF17C359781}"/>
    <cellStyle name="Normal 8 5 2 4 4" xfId="11221" xr:uid="{5575DA8A-7BED-4DFE-AC92-1470D6505B6A}"/>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A5DB8BD0-7116-402D-90B8-A506019DF042}"/>
    <cellStyle name="Normal 8 5 2 5 2 3" xfId="13779" xr:uid="{D874E9C1-77E2-4900-9B15-F2B02BB4BE27}"/>
    <cellStyle name="Normal 8 5 2 5 3" xfId="6525" xr:uid="{00000000-0005-0000-0000-0000301E0000}"/>
    <cellStyle name="Normal 8 5 2 5 3 2" xfId="15851" xr:uid="{3609707D-836C-4FE0-ACB5-50FEAE311591}"/>
    <cellStyle name="Normal 8 5 2 5 4" xfId="11634" xr:uid="{8BBB99A5-5BC5-4F48-A90D-70F1EF0B0F32}"/>
    <cellStyle name="Normal 8 5 2 6" xfId="2655" xr:uid="{00000000-0005-0000-0000-0000311E0000}"/>
    <cellStyle name="Normal 8 5 2 6 2" xfId="6938" xr:uid="{00000000-0005-0000-0000-0000321E0000}"/>
    <cellStyle name="Normal 8 5 2 6 2 2" xfId="16264" xr:uid="{F199BE7A-8ED6-4675-B90B-09C706D9C9F2}"/>
    <cellStyle name="Normal 8 5 2 6 3" xfId="12047" xr:uid="{E6FB2AB8-A738-4781-AB5F-036327FB3793}"/>
    <cellStyle name="Normal 8 5 2 7" xfId="4873" xr:uid="{00000000-0005-0000-0000-0000331E0000}"/>
    <cellStyle name="Normal 8 5 2 7 2" xfId="14199" xr:uid="{92CF5092-E4A5-40D9-A0E6-78C58FDACF01}"/>
    <cellStyle name="Normal 8 5 2 8" xfId="9052" xr:uid="{D754D15A-EECE-4975-9542-AF3C340304E3}"/>
    <cellStyle name="Normal 8 5 2 9" xfId="9982" xr:uid="{1152CA8C-8AA8-4CCD-A697-BC8959BEB1CE}"/>
    <cellStyle name="Normal 8 5 3" xfId="974" xr:uid="{00000000-0005-0000-0000-0000341E0000}"/>
    <cellStyle name="Normal 8 5 3 2" xfId="3208" xr:uid="{00000000-0005-0000-0000-0000351E0000}"/>
    <cellStyle name="Normal 8 5 3 2 2" xfId="7430" xr:uid="{00000000-0005-0000-0000-0000361E0000}"/>
    <cellStyle name="Normal 8 5 3 2 2 2" xfId="16756" xr:uid="{2FD682E5-5111-4E43-8EAF-2EEF5ACE2011}"/>
    <cellStyle name="Normal 8 5 3 2 3" xfId="12539" xr:uid="{94EC4C52-54A8-496C-8097-435FAF3B05D1}"/>
    <cellStyle name="Normal 8 5 3 3" xfId="5285" xr:uid="{00000000-0005-0000-0000-0000371E0000}"/>
    <cellStyle name="Normal 8 5 3 3 2" xfId="14611" xr:uid="{340D9940-FFD7-405E-B167-6B092852B204}"/>
    <cellStyle name="Normal 8 5 3 4" xfId="9270" xr:uid="{88F9D262-71F2-4DD2-A7F6-B0DCE74ABD45}"/>
    <cellStyle name="Normal 8 5 3 5" xfId="10394" xr:uid="{DBAA3945-2AF5-4AC0-9377-A095BBCB0826}"/>
    <cellStyle name="Normal 8 5 4" xfId="1391" xr:uid="{00000000-0005-0000-0000-0000381E0000}"/>
    <cellStyle name="Normal 8 5 4 2" xfId="3621" xr:uid="{00000000-0005-0000-0000-0000391E0000}"/>
    <cellStyle name="Normal 8 5 4 2 2" xfId="7843" xr:uid="{00000000-0005-0000-0000-00003A1E0000}"/>
    <cellStyle name="Normal 8 5 4 2 2 2" xfId="17169" xr:uid="{901FBFCD-9CA1-499A-B79B-068C2661F400}"/>
    <cellStyle name="Normal 8 5 4 2 3" xfId="12952" xr:uid="{16D1FC2F-07D3-4399-B118-75E0F501FC28}"/>
    <cellStyle name="Normal 8 5 4 3" xfId="5698" xr:uid="{00000000-0005-0000-0000-00003B1E0000}"/>
    <cellStyle name="Normal 8 5 4 3 2" xfId="15024" xr:uid="{6EE0D6FC-BEAE-4E38-B4EF-3890944DD959}"/>
    <cellStyle name="Normal 8 5 4 4" xfId="10807" xr:uid="{CB4C904A-B7FE-4EFF-B3F0-85EB9F245DF3}"/>
    <cellStyle name="Normal 8 5 5" xfId="1804" xr:uid="{00000000-0005-0000-0000-00003C1E0000}"/>
    <cellStyle name="Normal 8 5 5 2" xfId="4034" xr:uid="{00000000-0005-0000-0000-00003D1E0000}"/>
    <cellStyle name="Normal 8 5 5 2 2" xfId="8256" xr:uid="{00000000-0005-0000-0000-00003E1E0000}"/>
    <cellStyle name="Normal 8 5 5 2 2 2" xfId="17582" xr:uid="{444F8BF5-9259-4126-81F3-6FE8FA6E7630}"/>
    <cellStyle name="Normal 8 5 5 2 3" xfId="13365" xr:uid="{2064CC5E-4950-4264-BCBC-0FBAC1021FBF}"/>
    <cellStyle name="Normal 8 5 5 3" xfId="6111" xr:uid="{00000000-0005-0000-0000-00003F1E0000}"/>
    <cellStyle name="Normal 8 5 5 3 2" xfId="15437" xr:uid="{318DBA0D-9DB7-42BE-BB7D-420B945E9B1C}"/>
    <cellStyle name="Normal 8 5 5 4" xfId="11220" xr:uid="{BB84BFD6-BD51-403F-9EC6-5BCF0F01B6DE}"/>
    <cellStyle name="Normal 8 5 6" xfId="2218" xr:uid="{00000000-0005-0000-0000-0000401E0000}"/>
    <cellStyle name="Normal 8 5 6 2" xfId="4447" xr:uid="{00000000-0005-0000-0000-0000411E0000}"/>
    <cellStyle name="Normal 8 5 6 2 2" xfId="8669" xr:uid="{00000000-0005-0000-0000-0000421E0000}"/>
    <cellStyle name="Normal 8 5 6 2 2 2" xfId="17995" xr:uid="{0FB0BD63-C28D-42E1-9049-D9C021EB37A2}"/>
    <cellStyle name="Normal 8 5 6 2 3" xfId="13778" xr:uid="{FE591602-B5E2-42E5-8401-8A284474FFB0}"/>
    <cellStyle name="Normal 8 5 6 3" xfId="6524" xr:uid="{00000000-0005-0000-0000-0000431E0000}"/>
    <cellStyle name="Normal 8 5 6 3 2" xfId="15850" xr:uid="{630A25B1-17CE-4A82-9D8E-AFC625115CED}"/>
    <cellStyle name="Normal 8 5 6 4" xfId="11633" xr:uid="{F64DB6D8-2560-4C74-9530-2D5AE6751C54}"/>
    <cellStyle name="Normal 8 5 7" xfId="2654" xr:uid="{00000000-0005-0000-0000-0000441E0000}"/>
    <cellStyle name="Normal 8 5 7 2" xfId="6937" xr:uid="{00000000-0005-0000-0000-0000451E0000}"/>
    <cellStyle name="Normal 8 5 7 2 2" xfId="16263" xr:uid="{28FD2AA5-1671-441C-B6F9-EDCEA098D569}"/>
    <cellStyle name="Normal 8 5 7 3" xfId="12046" xr:uid="{B703C01A-86EE-489C-8FE5-D9385AEDF336}"/>
    <cellStyle name="Normal 8 5 8" xfId="4872" xr:uid="{00000000-0005-0000-0000-0000461E0000}"/>
    <cellStyle name="Normal 8 5 8 2" xfId="14198" xr:uid="{55A5223C-BE46-4CCF-9830-B7D1BF05D8FB}"/>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B76690D2-15B5-4FAA-AEA4-D7596102D759}"/>
    <cellStyle name="Normal 8 6 2 2 3" xfId="12541" xr:uid="{CDB849CB-A627-4961-A9FD-A8B08437465B}"/>
    <cellStyle name="Normal 8 6 2 3" xfId="5287" xr:uid="{00000000-0005-0000-0000-00004B1E0000}"/>
    <cellStyle name="Normal 8 6 2 3 2" xfId="14613" xr:uid="{F195ABDE-C1A6-41C9-AD26-6705C3F46F53}"/>
    <cellStyle name="Normal 8 6 2 4" xfId="9386" xr:uid="{45A5CE0D-B006-45BB-A53E-22B23F4367E3}"/>
    <cellStyle name="Normal 8 6 2 5" xfId="10396" xr:uid="{42C7B02E-5413-436C-A973-81937D712601}"/>
    <cellStyle name="Normal 8 6 3" xfId="1393" xr:uid="{00000000-0005-0000-0000-00004C1E0000}"/>
    <cellStyle name="Normal 8 6 3 2" xfId="3623" xr:uid="{00000000-0005-0000-0000-00004D1E0000}"/>
    <cellStyle name="Normal 8 6 3 2 2" xfId="7845" xr:uid="{00000000-0005-0000-0000-00004E1E0000}"/>
    <cellStyle name="Normal 8 6 3 2 2 2" xfId="17171" xr:uid="{53487AC0-2668-4018-BC90-842729BD2DBE}"/>
    <cellStyle name="Normal 8 6 3 2 3" xfId="12954" xr:uid="{63253036-9899-4BA4-BFFB-54585D0F3988}"/>
    <cellStyle name="Normal 8 6 3 3" xfId="5700" xr:uid="{00000000-0005-0000-0000-00004F1E0000}"/>
    <cellStyle name="Normal 8 6 3 3 2" xfId="15026" xr:uid="{EAA16C41-83C2-4CD6-97C6-F193FB17DCE5}"/>
    <cellStyle name="Normal 8 6 3 4" xfId="10809" xr:uid="{1EC59885-B775-469E-855C-D996DBAA654D}"/>
    <cellStyle name="Normal 8 6 4" xfId="1806" xr:uid="{00000000-0005-0000-0000-0000501E0000}"/>
    <cellStyle name="Normal 8 6 4 2" xfId="4036" xr:uid="{00000000-0005-0000-0000-0000511E0000}"/>
    <cellStyle name="Normal 8 6 4 2 2" xfId="8258" xr:uid="{00000000-0005-0000-0000-0000521E0000}"/>
    <cellStyle name="Normal 8 6 4 2 2 2" xfId="17584" xr:uid="{049F729D-CA1D-4D76-BD38-9B4EDE99159B}"/>
    <cellStyle name="Normal 8 6 4 2 3" xfId="13367" xr:uid="{01AE5B25-7C69-4B7E-8019-CB224021EF6C}"/>
    <cellStyle name="Normal 8 6 4 3" xfId="6113" xr:uid="{00000000-0005-0000-0000-0000531E0000}"/>
    <cellStyle name="Normal 8 6 4 3 2" xfId="15439" xr:uid="{BDA238A7-16B4-4869-BB2C-E362EFBD303B}"/>
    <cellStyle name="Normal 8 6 4 4" xfId="11222" xr:uid="{54414735-C869-4667-8D88-872E0A83667E}"/>
    <cellStyle name="Normal 8 6 5" xfId="2220" xr:uid="{00000000-0005-0000-0000-0000541E0000}"/>
    <cellStyle name="Normal 8 6 5 2" xfId="4449" xr:uid="{00000000-0005-0000-0000-0000551E0000}"/>
    <cellStyle name="Normal 8 6 5 2 2" xfId="8671" xr:uid="{00000000-0005-0000-0000-0000561E0000}"/>
    <cellStyle name="Normal 8 6 5 2 2 2" xfId="17997" xr:uid="{BFAF53CC-BC50-4A94-8401-474CC3F6FB17}"/>
    <cellStyle name="Normal 8 6 5 2 3" xfId="13780" xr:uid="{8F141391-B999-467C-BF52-9C1C8A241270}"/>
    <cellStyle name="Normal 8 6 5 3" xfId="6526" xr:uid="{00000000-0005-0000-0000-0000571E0000}"/>
    <cellStyle name="Normal 8 6 5 3 2" xfId="15852" xr:uid="{45860204-C1BC-468A-A1CB-0488C4515C58}"/>
    <cellStyle name="Normal 8 6 5 4" xfId="11635" xr:uid="{81285285-D443-4095-B522-AE1F06C76A40}"/>
    <cellStyle name="Normal 8 6 6" xfId="2656" xr:uid="{00000000-0005-0000-0000-0000581E0000}"/>
    <cellStyle name="Normal 8 6 6 2" xfId="6939" xr:uid="{00000000-0005-0000-0000-0000591E0000}"/>
    <cellStyle name="Normal 8 6 6 2 2" xfId="16265" xr:uid="{FE5EB44C-E1BB-454C-8487-5FF13599E838}"/>
    <cellStyle name="Normal 8 6 6 3" xfId="12048" xr:uid="{47156431-8678-4010-99D7-182681D37F1E}"/>
    <cellStyle name="Normal 8 6 7" xfId="4874" xr:uid="{00000000-0005-0000-0000-00005A1E0000}"/>
    <cellStyle name="Normal 8 6 7 2" xfId="14200" xr:uid="{DD07F27A-259D-4933-8A69-1A6389B7E60B}"/>
    <cellStyle name="Normal 8 6 8" xfId="8961" xr:uid="{36060843-7B38-46C3-B2F1-7172ECB11EEE}"/>
    <cellStyle name="Normal 8 6 9" xfId="9983" xr:uid="{20E5D3D2-352B-497B-A62B-469C1B4E04AB}"/>
    <cellStyle name="Normal 8 7" xfId="945" xr:uid="{00000000-0005-0000-0000-00005B1E0000}"/>
    <cellStyle name="Normal 8 7 2" xfId="3179" xr:uid="{00000000-0005-0000-0000-00005C1E0000}"/>
    <cellStyle name="Normal 8 7 2 2" xfId="7401" xr:uid="{00000000-0005-0000-0000-00005D1E0000}"/>
    <cellStyle name="Normal 8 7 2 2 2" xfId="16727" xr:uid="{110ED7CE-E14B-4385-AAB3-80B154E4ADB3}"/>
    <cellStyle name="Normal 8 7 2 3" xfId="12510" xr:uid="{9A985C64-DD80-44FC-B00D-233F952228C3}"/>
    <cellStyle name="Normal 8 7 3" xfId="5256" xr:uid="{00000000-0005-0000-0000-00005E1E0000}"/>
    <cellStyle name="Normal 8 7 3 2" xfId="14582" xr:uid="{DC969E90-F672-466D-9A72-589D2FBA964B}"/>
    <cellStyle name="Normal 8 7 4" xfId="9164" xr:uid="{EA2ADDDA-E9AC-4FF8-B08B-61B1D6489A46}"/>
    <cellStyle name="Normal 8 7 5" xfId="10365" xr:uid="{1CDCAC95-8EB3-421E-8957-92CFAC9DB131}"/>
    <cellStyle name="Normal 8 8" xfId="1362" xr:uid="{00000000-0005-0000-0000-00005F1E0000}"/>
    <cellStyle name="Normal 8 8 2" xfId="3592" xr:uid="{00000000-0005-0000-0000-0000601E0000}"/>
    <cellStyle name="Normal 8 8 2 2" xfId="7814" xr:uid="{00000000-0005-0000-0000-0000611E0000}"/>
    <cellStyle name="Normal 8 8 2 2 2" xfId="17140" xr:uid="{7FD9BC1E-A752-4099-AB8F-1336811EABDF}"/>
    <cellStyle name="Normal 8 8 2 3" xfId="12923" xr:uid="{484E7590-3F5D-4E31-81AA-0B285F6AF403}"/>
    <cellStyle name="Normal 8 8 3" xfId="5669" xr:uid="{00000000-0005-0000-0000-0000621E0000}"/>
    <cellStyle name="Normal 8 8 3 2" xfId="14995" xr:uid="{8D20DAAC-72F9-4158-BEE9-A10D01126841}"/>
    <cellStyle name="Normal 8 8 4" xfId="10778" xr:uid="{7E7BB5C0-8278-4354-9AC5-3F5A51998FD6}"/>
    <cellStyle name="Normal 8 9" xfId="1775" xr:uid="{00000000-0005-0000-0000-0000631E0000}"/>
    <cellStyle name="Normal 8 9 2" xfId="4005" xr:uid="{00000000-0005-0000-0000-0000641E0000}"/>
    <cellStyle name="Normal 8 9 2 2" xfId="8227" xr:uid="{00000000-0005-0000-0000-0000651E0000}"/>
    <cellStyle name="Normal 8 9 2 2 2" xfId="17553" xr:uid="{382803ED-CC49-4317-A3D6-3A028A696FF0}"/>
    <cellStyle name="Normal 8 9 2 3" xfId="13336" xr:uid="{E57EA2AD-CB66-47C1-AE95-592431BA0755}"/>
    <cellStyle name="Normal 8 9 3" xfId="6082" xr:uid="{00000000-0005-0000-0000-0000661E0000}"/>
    <cellStyle name="Normal 8 9 3 2" xfId="15408" xr:uid="{3075E398-68C3-403E-B4C6-D286804EF8BA}"/>
    <cellStyle name="Normal 8 9 4" xfId="11191" xr:uid="{B49A8251-6199-4749-BA4B-07FA0EBD45E1}"/>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1678BDFA-C647-4DE1-84E6-0F8E9AEF3BB9}"/>
    <cellStyle name="Normal 9 2 10 3" xfId="12049" xr:uid="{F907A125-3B98-4276-AC87-7CD09A393F92}"/>
    <cellStyle name="Normal 9 2 11" xfId="4875" xr:uid="{00000000-0005-0000-0000-00006B1E0000}"/>
    <cellStyle name="Normal 9 2 11 2" xfId="14201" xr:uid="{BCE9AD42-D31D-49FF-830E-CAE3D6661F15}"/>
    <cellStyle name="Normal 9 2 12" xfId="8754" xr:uid="{9024D06A-4C5F-4C89-BCDB-29B8C924FF52}"/>
    <cellStyle name="Normal 9 2 13" xfId="9984" xr:uid="{48B322DB-E5A5-40AB-9B9D-6928B275C6C4}"/>
    <cellStyle name="Normal 9 2 2" xfId="512" xr:uid="{00000000-0005-0000-0000-00006C1E0000}"/>
    <cellStyle name="Normal 9 2 2 10" xfId="4876" xr:uid="{00000000-0005-0000-0000-00006D1E0000}"/>
    <cellStyle name="Normal 9 2 2 10 2" xfId="14202" xr:uid="{F1B76454-ECC6-4D89-B575-565CDC48BE0A}"/>
    <cellStyle name="Normal 9 2 2 11" xfId="8785" xr:uid="{3048542E-ED39-45ED-9C91-0140D2CF60D9}"/>
    <cellStyle name="Normal 9 2 2 12" xfId="9985" xr:uid="{FB136C9C-24DE-49D7-8D9F-407A9003A77F}"/>
    <cellStyle name="Normal 9 2 2 2" xfId="513" xr:uid="{00000000-0005-0000-0000-00006E1E0000}"/>
    <cellStyle name="Normal 9 2 2 2 10" xfId="8839" xr:uid="{3B2DC7F4-4F49-4AE2-9279-EFD4857A149B}"/>
    <cellStyle name="Normal 9 2 2 2 11" xfId="9986" xr:uid="{422DED96-E98E-41E1-877B-AE09F8680BDA}"/>
    <cellStyle name="Normal 9 2 2 2 2" xfId="514" xr:uid="{00000000-0005-0000-0000-00006F1E0000}"/>
    <cellStyle name="Normal 9 2 2 2 2 10" xfId="9987" xr:uid="{874291C8-BC43-4B07-B47A-985E820860CB}"/>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6BE27BCE-3001-4CEB-B008-9AA4216169AA}"/>
    <cellStyle name="Normal 9 2 2 2 2 2 2 2 3" xfId="12546" xr:uid="{68BC28DE-CDF1-4BC5-9F3C-65CBA21D0D89}"/>
    <cellStyle name="Normal 9 2 2 2 2 2 2 3" xfId="5292" xr:uid="{00000000-0005-0000-0000-0000741E0000}"/>
    <cellStyle name="Normal 9 2 2 2 2 2 2 3 2" xfId="14618" xr:uid="{7BD7676D-A28B-469E-9178-F3849B2B0437}"/>
    <cellStyle name="Normal 9 2 2 2 2 2 2 4" xfId="9574" xr:uid="{00EB170D-8A20-4280-B781-E452C3590555}"/>
    <cellStyle name="Normal 9 2 2 2 2 2 2 5" xfId="10401" xr:uid="{EEA914E6-51EB-46B9-BAE3-7FCF341A1A5A}"/>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A55E27EB-AE1C-4DB9-B131-FB781A445BD9}"/>
    <cellStyle name="Normal 9 2 2 2 2 2 3 2 3" xfId="12959" xr:uid="{67E058EE-A997-4DB5-9028-F5CFF2E61D23}"/>
    <cellStyle name="Normal 9 2 2 2 2 2 3 3" xfId="5705" xr:uid="{00000000-0005-0000-0000-0000781E0000}"/>
    <cellStyle name="Normal 9 2 2 2 2 2 3 3 2" xfId="15031" xr:uid="{3649A5F4-9953-484B-9016-AAEF4BF50A7F}"/>
    <cellStyle name="Normal 9 2 2 2 2 2 3 4" xfId="10814" xr:uid="{91D45488-88E1-4F28-BE07-047EFE10EB01}"/>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870BF5C4-AE5B-4A49-B1B8-E341B5EE00F9}"/>
    <cellStyle name="Normal 9 2 2 2 2 2 4 2 3" xfId="13372" xr:uid="{0AB94494-2AF1-42EE-8B0B-CB9846242B61}"/>
    <cellStyle name="Normal 9 2 2 2 2 2 4 3" xfId="6118" xr:uid="{00000000-0005-0000-0000-00007C1E0000}"/>
    <cellStyle name="Normal 9 2 2 2 2 2 4 3 2" xfId="15444" xr:uid="{A4A8F462-1587-4DAA-B8A2-8F15221FD0C5}"/>
    <cellStyle name="Normal 9 2 2 2 2 2 4 4" xfId="11227" xr:uid="{040A4577-F367-4B56-A9B0-8C2968BBE637}"/>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72607C4F-FEF4-4681-9024-20527D4E1CC9}"/>
    <cellStyle name="Normal 9 2 2 2 2 2 5 2 3" xfId="13785" xr:uid="{8DE072F4-D27A-49F9-8583-B1F5B1A9F194}"/>
    <cellStyle name="Normal 9 2 2 2 2 2 5 3" xfId="6531" xr:uid="{00000000-0005-0000-0000-0000801E0000}"/>
    <cellStyle name="Normal 9 2 2 2 2 2 5 3 2" xfId="15857" xr:uid="{AAE16604-256A-4ED7-B167-86915BBD40B1}"/>
    <cellStyle name="Normal 9 2 2 2 2 2 5 4" xfId="11640" xr:uid="{B1CCAFBF-F0C6-49D2-8C17-FC2192EE2997}"/>
    <cellStyle name="Normal 9 2 2 2 2 2 6" xfId="2661" xr:uid="{00000000-0005-0000-0000-0000811E0000}"/>
    <cellStyle name="Normal 9 2 2 2 2 2 6 2" xfId="6944" xr:uid="{00000000-0005-0000-0000-0000821E0000}"/>
    <cellStyle name="Normal 9 2 2 2 2 2 6 2 2" xfId="16270" xr:uid="{F0869AAC-72E6-4BA9-BA5E-FEFBF0340EE9}"/>
    <cellStyle name="Normal 9 2 2 2 2 2 6 3" xfId="12053" xr:uid="{11D5CEC0-095B-4FE5-9C0F-01F18D5ED19C}"/>
    <cellStyle name="Normal 9 2 2 2 2 2 7" xfId="4879" xr:uid="{00000000-0005-0000-0000-0000831E0000}"/>
    <cellStyle name="Normal 9 2 2 2 2 2 7 2" xfId="14205" xr:uid="{D084F79B-A6E0-4B1A-B1E7-2229674EE21D}"/>
    <cellStyle name="Normal 9 2 2 2 2 2 8" xfId="9149" xr:uid="{6C0BEC1E-EE3B-4956-830C-8775C93DB46A}"/>
    <cellStyle name="Normal 9 2 2 2 2 2 9" xfId="9988" xr:uid="{B1522E9A-E5B0-47FC-A819-2C1211A4621F}"/>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3613238A-3CCF-4E32-BEBD-DC866FC0298F}"/>
    <cellStyle name="Normal 9 2 2 2 2 3 2 3" xfId="12545" xr:uid="{4E11AC05-C715-4D5D-B776-23698C8F5CED}"/>
    <cellStyle name="Normal 9 2 2 2 2 3 3" xfId="5291" xr:uid="{00000000-0005-0000-0000-0000871E0000}"/>
    <cellStyle name="Normal 9 2 2 2 2 3 3 2" xfId="14617" xr:uid="{7AD5580D-927A-4726-B9A7-6F1950CE6C71}"/>
    <cellStyle name="Normal 9 2 2 2 2 3 4" xfId="9367" xr:uid="{4A654E22-020A-4B0F-8753-639C44EA908A}"/>
    <cellStyle name="Normal 9 2 2 2 2 3 5" xfId="10400" xr:uid="{EEADA855-9DE1-49CC-BCB2-B1269D93B4DB}"/>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6DF2255B-43BF-4630-BA77-5FD52C3241E6}"/>
    <cellStyle name="Normal 9 2 2 2 2 4 2 3" xfId="12958" xr:uid="{A62A8C77-A90B-4963-AC54-A21912E42D89}"/>
    <cellStyle name="Normal 9 2 2 2 2 4 3" xfId="5704" xr:uid="{00000000-0005-0000-0000-00008B1E0000}"/>
    <cellStyle name="Normal 9 2 2 2 2 4 3 2" xfId="15030" xr:uid="{F3CEC04D-AEE7-48DC-BADD-F8ED792E964D}"/>
    <cellStyle name="Normal 9 2 2 2 2 4 4" xfId="10813" xr:uid="{B9F2CBCB-85AB-4BF9-938D-C49C2843F8B4}"/>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1C49324D-5256-48B2-BFCC-67667ABE029B}"/>
    <cellStyle name="Normal 9 2 2 2 2 5 2 3" xfId="13371" xr:uid="{8A09C81A-5684-4029-A8FE-18E233715A64}"/>
    <cellStyle name="Normal 9 2 2 2 2 5 3" xfId="6117" xr:uid="{00000000-0005-0000-0000-00008F1E0000}"/>
    <cellStyle name="Normal 9 2 2 2 2 5 3 2" xfId="15443" xr:uid="{85C20503-C42E-43E9-A743-6306A2D31C7B}"/>
    <cellStyle name="Normal 9 2 2 2 2 5 4" xfId="11226" xr:uid="{BA958EDA-D6CE-4B2D-9E0F-B0CAC9D73B33}"/>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EAAC1250-6644-4207-8C36-92EC93C08CAF}"/>
    <cellStyle name="Normal 9 2 2 2 2 6 2 3" xfId="13784" xr:uid="{2F9F7B09-9C4F-4A72-A8AA-870CF6CB4654}"/>
    <cellStyle name="Normal 9 2 2 2 2 6 3" xfId="6530" xr:uid="{00000000-0005-0000-0000-0000931E0000}"/>
    <cellStyle name="Normal 9 2 2 2 2 6 3 2" xfId="15856" xr:uid="{6565D9CF-4390-4DE4-9447-7186DA380BB1}"/>
    <cellStyle name="Normal 9 2 2 2 2 6 4" xfId="11639" xr:uid="{1E395D9D-2D02-41D8-9791-0AA0BEEA35F7}"/>
    <cellStyle name="Normal 9 2 2 2 2 7" xfId="2660" xr:uid="{00000000-0005-0000-0000-0000941E0000}"/>
    <cellStyle name="Normal 9 2 2 2 2 7 2" xfId="6943" xr:uid="{00000000-0005-0000-0000-0000951E0000}"/>
    <cellStyle name="Normal 9 2 2 2 2 7 2 2" xfId="16269" xr:uid="{1F3F3C12-0D74-4B96-AA91-219B5087137E}"/>
    <cellStyle name="Normal 9 2 2 2 2 7 3" xfId="12052" xr:uid="{0D6D6223-5953-4B92-A448-37CF73AEE014}"/>
    <cellStyle name="Normal 9 2 2 2 2 8" xfId="4878" xr:uid="{00000000-0005-0000-0000-0000961E0000}"/>
    <cellStyle name="Normal 9 2 2 2 2 8 2" xfId="14204" xr:uid="{352203E2-F842-4643-94B5-C7D0AAD263B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F64CF352-7730-42D5-B484-539B9BDEC44C}"/>
    <cellStyle name="Normal 9 2 2 2 3 2 2 3" xfId="12547" xr:uid="{6D9F7D07-5251-4E08-8494-D754068387B5}"/>
    <cellStyle name="Normal 9 2 2 2 3 2 3" xfId="5293" xr:uid="{00000000-0005-0000-0000-00009B1E0000}"/>
    <cellStyle name="Normal 9 2 2 2 3 2 3 2" xfId="14619" xr:uid="{855B72A4-241A-4193-BABD-3C1CB99AF4B4}"/>
    <cellStyle name="Normal 9 2 2 2 3 2 4" xfId="9471" xr:uid="{E472D827-532E-42C0-B781-9E63FEBCFCF5}"/>
    <cellStyle name="Normal 9 2 2 2 3 2 5" xfId="10402" xr:uid="{97F42E0C-26CA-442D-BB06-B5565C4446A1}"/>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300F0075-B3C0-4FA9-8403-9C174B3FAD97}"/>
    <cellStyle name="Normal 9 2 2 2 3 3 2 3" xfId="12960" xr:uid="{55A04282-7725-428C-8B4F-770BA61A29EA}"/>
    <cellStyle name="Normal 9 2 2 2 3 3 3" xfId="5706" xr:uid="{00000000-0005-0000-0000-00009F1E0000}"/>
    <cellStyle name="Normal 9 2 2 2 3 3 3 2" xfId="15032" xr:uid="{403485E4-5AF3-46ED-9353-71CA4767F0F9}"/>
    <cellStyle name="Normal 9 2 2 2 3 3 4" xfId="10815" xr:uid="{0029F876-FADF-4EAD-9B8F-BCD17407CDE6}"/>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D0F619A2-FCEC-4E2B-9DAF-C105C5CEF65A}"/>
    <cellStyle name="Normal 9 2 2 2 3 4 2 3" xfId="13373" xr:uid="{24C0E875-4AA5-4757-AD86-6D52B50C878F}"/>
    <cellStyle name="Normal 9 2 2 2 3 4 3" xfId="6119" xr:uid="{00000000-0005-0000-0000-0000A31E0000}"/>
    <cellStyle name="Normal 9 2 2 2 3 4 3 2" xfId="15445" xr:uid="{143B825F-A1A8-49B2-9DC5-36DE8A6A5C94}"/>
    <cellStyle name="Normal 9 2 2 2 3 4 4" xfId="11228" xr:uid="{CBB30D0C-C02E-4FEA-BCB1-DF8FA9E875CC}"/>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8D203505-90E8-4050-A857-086C36EC0E19}"/>
    <cellStyle name="Normal 9 2 2 2 3 5 2 3" xfId="13786" xr:uid="{F4FCA4E1-C4E3-482E-8E1A-C2848BBEA75F}"/>
    <cellStyle name="Normal 9 2 2 2 3 5 3" xfId="6532" xr:uid="{00000000-0005-0000-0000-0000A71E0000}"/>
    <cellStyle name="Normal 9 2 2 2 3 5 3 2" xfId="15858" xr:uid="{DDB862EB-C170-4A1F-B6D0-BDCC3EBE5AE4}"/>
    <cellStyle name="Normal 9 2 2 2 3 5 4" xfId="11641" xr:uid="{FABA7FD4-F81A-4866-8CE2-B39C4A0E10E9}"/>
    <cellStyle name="Normal 9 2 2 2 3 6" xfId="2662" xr:uid="{00000000-0005-0000-0000-0000A81E0000}"/>
    <cellStyle name="Normal 9 2 2 2 3 6 2" xfId="6945" xr:uid="{00000000-0005-0000-0000-0000A91E0000}"/>
    <cellStyle name="Normal 9 2 2 2 3 6 2 2" xfId="16271" xr:uid="{CA7F8F06-A2D3-46D3-B5E4-AF738079ECC2}"/>
    <cellStyle name="Normal 9 2 2 2 3 6 3" xfId="12054" xr:uid="{3ACAE973-374E-40C1-8660-5535F26C5BF1}"/>
    <cellStyle name="Normal 9 2 2 2 3 7" xfId="4880" xr:uid="{00000000-0005-0000-0000-0000AA1E0000}"/>
    <cellStyle name="Normal 9 2 2 2 3 7 2" xfId="14206" xr:uid="{9EAF1A74-EBCE-4ECD-9A01-1B10A050FF06}"/>
    <cellStyle name="Normal 9 2 2 2 3 8" xfId="9046" xr:uid="{6B7E07C7-E90B-4AE9-8FE8-76EF28E8FC85}"/>
    <cellStyle name="Normal 9 2 2 2 3 9" xfId="9989" xr:uid="{6E9FD916-BF1B-46F5-B958-91C322BE2228}"/>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5054BEA5-BAED-4F64-86AB-DB8C7490D31F}"/>
    <cellStyle name="Normal 9 2 2 2 4 2 3" xfId="12544" xr:uid="{10B59078-A544-4670-AF34-7D061FE0F0B6}"/>
    <cellStyle name="Normal 9 2 2 2 4 3" xfId="5290" xr:uid="{00000000-0005-0000-0000-0000AE1E0000}"/>
    <cellStyle name="Normal 9 2 2 2 4 3 2" xfId="14616" xr:uid="{06EB8815-ADC5-4D57-A5B5-8A9406BBC830}"/>
    <cellStyle name="Normal 9 2 2 2 4 4" xfId="9264" xr:uid="{0137E036-48D9-4B3B-9B73-0002A19DDE9E}"/>
    <cellStyle name="Normal 9 2 2 2 4 5" xfId="10399" xr:uid="{AB602A58-F75D-4C3F-8320-19DBFEDD1198}"/>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BE3770A6-AC0E-4F79-B7C0-FCE294B5BB3B}"/>
    <cellStyle name="Normal 9 2 2 2 5 2 3" xfId="12957" xr:uid="{F03FA1BC-E8AF-4DF1-99BA-18208FC82FA2}"/>
    <cellStyle name="Normal 9 2 2 2 5 3" xfId="5703" xr:uid="{00000000-0005-0000-0000-0000B21E0000}"/>
    <cellStyle name="Normal 9 2 2 2 5 3 2" xfId="15029" xr:uid="{8A1EF874-2672-48AE-B025-8BFE5AC74828}"/>
    <cellStyle name="Normal 9 2 2 2 5 4" xfId="10812" xr:uid="{5C489CF1-7DC3-46EA-9567-6CE2BB89AB65}"/>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21DE1705-114B-4F65-AD47-C6C42A18ACE2}"/>
    <cellStyle name="Normal 9 2 2 2 6 2 3" xfId="13370" xr:uid="{CDD64DBF-6ADA-4A2E-AC5A-E1322CB4BA33}"/>
    <cellStyle name="Normal 9 2 2 2 6 3" xfId="6116" xr:uid="{00000000-0005-0000-0000-0000B61E0000}"/>
    <cellStyle name="Normal 9 2 2 2 6 3 2" xfId="15442" xr:uid="{52194011-7C0B-497E-84D2-D43E14485F20}"/>
    <cellStyle name="Normal 9 2 2 2 6 4" xfId="11225" xr:uid="{5906A342-0183-4DFF-BAA8-7C2B8EF196FC}"/>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3C374099-472D-434F-8A02-0440DA6EB2AB}"/>
    <cellStyle name="Normal 9 2 2 2 7 2 3" xfId="13783" xr:uid="{E58BBEFA-20F6-4D39-BFE2-74550D49C672}"/>
    <cellStyle name="Normal 9 2 2 2 7 3" xfId="6529" xr:uid="{00000000-0005-0000-0000-0000BA1E0000}"/>
    <cellStyle name="Normal 9 2 2 2 7 3 2" xfId="15855" xr:uid="{BB55FD42-35E3-480D-8A87-6517A6FE8A23}"/>
    <cellStyle name="Normal 9 2 2 2 7 4" xfId="11638" xr:uid="{6DE51576-B713-4205-B664-EEAED4465F17}"/>
    <cellStyle name="Normal 9 2 2 2 8" xfId="2659" xr:uid="{00000000-0005-0000-0000-0000BB1E0000}"/>
    <cellStyle name="Normal 9 2 2 2 8 2" xfId="6942" xr:uid="{00000000-0005-0000-0000-0000BC1E0000}"/>
    <cellStyle name="Normal 9 2 2 2 8 2 2" xfId="16268" xr:uid="{B41A088D-C665-438D-ACAA-715CB670702A}"/>
    <cellStyle name="Normal 9 2 2 2 8 3" xfId="12051" xr:uid="{6C1C4D9A-0EE0-4715-96F8-8D7A7FACBC4D}"/>
    <cellStyle name="Normal 9 2 2 2 9" xfId="4877" xr:uid="{00000000-0005-0000-0000-0000BD1E0000}"/>
    <cellStyle name="Normal 9 2 2 2 9 2" xfId="14203" xr:uid="{04556C51-402F-4AD5-8160-3EA3B055C81B}"/>
    <cellStyle name="Normal 9 2 2 3" xfId="517" xr:uid="{00000000-0005-0000-0000-0000BE1E0000}"/>
    <cellStyle name="Normal 9 2 2 3 10" xfId="9990" xr:uid="{792F7AE8-9D88-42E1-8527-22553AC812A7}"/>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5EA5B4B4-BAD8-46F7-A05B-B5D8F648B352}"/>
    <cellStyle name="Normal 9 2 2 3 2 2 2 3" xfId="12549" xr:uid="{048DED0D-D0A6-4296-A3BE-C30F947C5540}"/>
    <cellStyle name="Normal 9 2 2 3 2 2 3" xfId="5295" xr:uid="{00000000-0005-0000-0000-0000C31E0000}"/>
    <cellStyle name="Normal 9 2 2 3 2 2 3 2" xfId="14621" xr:uid="{3CDCBCC1-8CAD-437A-9DBE-B96248CA3DBF}"/>
    <cellStyle name="Normal 9 2 2 3 2 2 4" xfId="9520" xr:uid="{57CFBD10-691F-4DF8-8020-B75E98FF60DD}"/>
    <cellStyle name="Normal 9 2 2 3 2 2 5" xfId="10404" xr:uid="{7455DEC8-12C3-412E-B938-655D60073F38}"/>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516E8CCC-4E09-43C4-932F-C583BCA1A639}"/>
    <cellStyle name="Normal 9 2 2 3 2 3 2 3" xfId="12962" xr:uid="{DDB72980-3011-49A7-B4FA-F60C3CB92E8D}"/>
    <cellStyle name="Normal 9 2 2 3 2 3 3" xfId="5708" xr:uid="{00000000-0005-0000-0000-0000C71E0000}"/>
    <cellStyle name="Normal 9 2 2 3 2 3 3 2" xfId="15034" xr:uid="{171B75D6-2BD9-4B71-9B75-B404564E9D67}"/>
    <cellStyle name="Normal 9 2 2 3 2 3 4" xfId="10817" xr:uid="{0A2AB83E-06A2-47CF-81B7-B67A6435D4BD}"/>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BFCF93B2-C42D-46CE-A335-4718D100C283}"/>
    <cellStyle name="Normal 9 2 2 3 2 4 2 3" xfId="13375" xr:uid="{3D21BC45-7109-4598-86B0-B5313FA02562}"/>
    <cellStyle name="Normal 9 2 2 3 2 4 3" xfId="6121" xr:uid="{00000000-0005-0000-0000-0000CB1E0000}"/>
    <cellStyle name="Normal 9 2 2 3 2 4 3 2" xfId="15447" xr:uid="{D4C11751-255B-48CD-9ED4-080422E01B49}"/>
    <cellStyle name="Normal 9 2 2 3 2 4 4" xfId="11230" xr:uid="{36CD9E06-BEE0-476C-9CF3-8897CC2727BB}"/>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26EF06FA-2C06-4AA5-B78C-66D734C68E7D}"/>
    <cellStyle name="Normal 9 2 2 3 2 5 2 3" xfId="13788" xr:uid="{5892201C-97F6-418B-97CA-180A967446B1}"/>
    <cellStyle name="Normal 9 2 2 3 2 5 3" xfId="6534" xr:uid="{00000000-0005-0000-0000-0000CF1E0000}"/>
    <cellStyle name="Normal 9 2 2 3 2 5 3 2" xfId="15860" xr:uid="{21B93E1D-BEC2-4BE9-AAC7-E9AA608F6090}"/>
    <cellStyle name="Normal 9 2 2 3 2 5 4" xfId="11643" xr:uid="{5E795169-2CFD-451D-B2B9-A336ED87CB2D}"/>
    <cellStyle name="Normal 9 2 2 3 2 6" xfId="2664" xr:uid="{00000000-0005-0000-0000-0000D01E0000}"/>
    <cellStyle name="Normal 9 2 2 3 2 6 2" xfId="6947" xr:uid="{00000000-0005-0000-0000-0000D11E0000}"/>
    <cellStyle name="Normal 9 2 2 3 2 6 2 2" xfId="16273" xr:uid="{12375A1E-EF02-4CDD-9174-1D8AD7F6A187}"/>
    <cellStyle name="Normal 9 2 2 3 2 6 3" xfId="12056" xr:uid="{444E4365-40B9-4645-94E0-ADB552682593}"/>
    <cellStyle name="Normal 9 2 2 3 2 7" xfId="4882" xr:uid="{00000000-0005-0000-0000-0000D21E0000}"/>
    <cellStyle name="Normal 9 2 2 3 2 7 2" xfId="14208" xr:uid="{7FB52547-A8F3-4185-B055-C96B05FBD32B}"/>
    <cellStyle name="Normal 9 2 2 3 2 8" xfId="9095" xr:uid="{D95088B7-D227-4E97-A9B9-DA61436DD386}"/>
    <cellStyle name="Normal 9 2 2 3 2 9" xfId="9991" xr:uid="{3798E9E0-145B-4642-9D36-EF3A03AA424A}"/>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0B2A1C46-2D7A-4B30-A816-D5A223099E5E}"/>
    <cellStyle name="Normal 9 2 2 3 3 2 3" xfId="12548" xr:uid="{7FD004B9-97D9-40F2-9292-BFC7A055F114}"/>
    <cellStyle name="Normal 9 2 2 3 3 3" xfId="5294" xr:uid="{00000000-0005-0000-0000-0000D61E0000}"/>
    <cellStyle name="Normal 9 2 2 3 3 3 2" xfId="14620" xr:uid="{7C502022-1073-48F9-8F84-2B8BF82C8D0D}"/>
    <cellStyle name="Normal 9 2 2 3 3 4" xfId="9313" xr:uid="{FDDC600D-FDDD-4FFC-9820-DFD7E0768F33}"/>
    <cellStyle name="Normal 9 2 2 3 3 5" xfId="10403" xr:uid="{F20C289A-37C1-42BF-9A46-368BDF718AB8}"/>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F1168FE6-07F3-4070-8A63-2586C0DAFE28}"/>
    <cellStyle name="Normal 9 2 2 3 4 2 3" xfId="12961" xr:uid="{366B625A-38A0-4C8C-951F-DD766F8A893B}"/>
    <cellStyle name="Normal 9 2 2 3 4 3" xfId="5707" xr:uid="{00000000-0005-0000-0000-0000DA1E0000}"/>
    <cellStyle name="Normal 9 2 2 3 4 3 2" xfId="15033" xr:uid="{081DA284-079E-4438-891B-67F3BE544AD1}"/>
    <cellStyle name="Normal 9 2 2 3 4 4" xfId="10816" xr:uid="{EF3E9947-41DE-4463-9528-B6B99398CEA9}"/>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5023244D-83DA-46E5-A96E-8FB186056849}"/>
    <cellStyle name="Normal 9 2 2 3 5 2 3" xfId="13374" xr:uid="{804FEEC8-4BE2-4381-8A82-1BF68752D5CF}"/>
    <cellStyle name="Normal 9 2 2 3 5 3" xfId="6120" xr:uid="{00000000-0005-0000-0000-0000DE1E0000}"/>
    <cellStyle name="Normal 9 2 2 3 5 3 2" xfId="15446" xr:uid="{81C8B281-444C-42B8-917A-E88FD592AE58}"/>
    <cellStyle name="Normal 9 2 2 3 5 4" xfId="11229" xr:uid="{43021310-F9C5-4CB9-B63F-3BBAEEDCFB9D}"/>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75D1CF89-D6BE-47CC-97EB-46A82D972FCB}"/>
    <cellStyle name="Normal 9 2 2 3 6 2 3" xfId="13787" xr:uid="{6497AA1E-250B-4531-8AB4-ACDA4972CA6A}"/>
    <cellStyle name="Normal 9 2 2 3 6 3" xfId="6533" xr:uid="{00000000-0005-0000-0000-0000E21E0000}"/>
    <cellStyle name="Normal 9 2 2 3 6 3 2" xfId="15859" xr:uid="{04C59A0D-9B50-413F-83A3-128B3D6CDBC4}"/>
    <cellStyle name="Normal 9 2 2 3 6 4" xfId="11642" xr:uid="{2E9FE491-39D8-48F4-BBB2-D94478C36723}"/>
    <cellStyle name="Normal 9 2 2 3 7" xfId="2663" xr:uid="{00000000-0005-0000-0000-0000E31E0000}"/>
    <cellStyle name="Normal 9 2 2 3 7 2" xfId="6946" xr:uid="{00000000-0005-0000-0000-0000E41E0000}"/>
    <cellStyle name="Normal 9 2 2 3 7 2 2" xfId="16272" xr:uid="{5AF52511-ECE2-4BBE-8DA8-7033644606FB}"/>
    <cellStyle name="Normal 9 2 2 3 7 3" xfId="12055" xr:uid="{E411AED9-0C66-4F04-9DA8-E97BFDE3AA25}"/>
    <cellStyle name="Normal 9 2 2 3 8" xfId="4881" xr:uid="{00000000-0005-0000-0000-0000E51E0000}"/>
    <cellStyle name="Normal 9 2 2 3 8 2" xfId="14207" xr:uid="{5CEBABFE-AF9F-44E9-852C-E3B456AFB398}"/>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15BF2F4D-1DD0-4AB3-82C0-25D5AC6F1E52}"/>
    <cellStyle name="Normal 9 2 2 4 2 2 3" xfId="12550" xr:uid="{7AB6FE2C-3DE1-4989-9C73-E4240C1D852B}"/>
    <cellStyle name="Normal 9 2 2 4 2 3" xfId="5296" xr:uid="{00000000-0005-0000-0000-0000EA1E0000}"/>
    <cellStyle name="Normal 9 2 2 4 2 3 2" xfId="14622" xr:uid="{4DB16746-EC33-4FCF-B694-091026CB49E6}"/>
    <cellStyle name="Normal 9 2 2 4 2 4" xfId="9417" xr:uid="{FDB8A679-B5B8-4E9B-808D-E68F6CA01958}"/>
    <cellStyle name="Normal 9 2 2 4 2 5" xfId="10405" xr:uid="{87D4271D-16B2-42C8-9D88-46C943EBD16F}"/>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129B3673-6934-4D36-9D26-B8F4899B89AF}"/>
    <cellStyle name="Normal 9 2 2 4 3 2 3" xfId="12963" xr:uid="{871636F9-8760-4EF7-B1FB-65D17284A83C}"/>
    <cellStyle name="Normal 9 2 2 4 3 3" xfId="5709" xr:uid="{00000000-0005-0000-0000-0000EE1E0000}"/>
    <cellStyle name="Normal 9 2 2 4 3 3 2" xfId="15035" xr:uid="{5F917605-10F6-41AE-8537-23D5BB9CD291}"/>
    <cellStyle name="Normal 9 2 2 4 3 4" xfId="10818" xr:uid="{BBF76F6A-4041-45CD-8DB1-ACE51C537752}"/>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AF715044-AFB9-437C-93C4-932FBA37D933}"/>
    <cellStyle name="Normal 9 2 2 4 4 2 3" xfId="13376" xr:uid="{17B61E20-C2BC-4D85-90CB-F4DDE30D1BC0}"/>
    <cellStyle name="Normal 9 2 2 4 4 3" xfId="6122" xr:uid="{00000000-0005-0000-0000-0000F21E0000}"/>
    <cellStyle name="Normal 9 2 2 4 4 3 2" xfId="15448" xr:uid="{ED3F2BE6-773D-423B-8BC0-7FBF9624E29D}"/>
    <cellStyle name="Normal 9 2 2 4 4 4" xfId="11231" xr:uid="{02E72E6A-DCD7-4159-8B0E-84EFEB04CAAA}"/>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7B65DA70-34CE-4B81-AC39-704484022B94}"/>
    <cellStyle name="Normal 9 2 2 4 5 2 3" xfId="13789" xr:uid="{38639404-C6CE-4A95-B2FE-5E3AD8F77143}"/>
    <cellStyle name="Normal 9 2 2 4 5 3" xfId="6535" xr:uid="{00000000-0005-0000-0000-0000F61E0000}"/>
    <cellStyle name="Normal 9 2 2 4 5 3 2" xfId="15861" xr:uid="{E599EF0E-FDE0-4D5F-B45F-64F4D23255A9}"/>
    <cellStyle name="Normal 9 2 2 4 5 4" xfId="11644" xr:uid="{F4D466ED-B2F3-4C26-B3EC-16855F5B1CA5}"/>
    <cellStyle name="Normal 9 2 2 4 6" xfId="2665" xr:uid="{00000000-0005-0000-0000-0000F71E0000}"/>
    <cellStyle name="Normal 9 2 2 4 6 2" xfId="6948" xr:uid="{00000000-0005-0000-0000-0000F81E0000}"/>
    <cellStyle name="Normal 9 2 2 4 6 2 2" xfId="16274" xr:uid="{9B4F0FCA-916F-4CA8-AC29-0DA7E13F110D}"/>
    <cellStyle name="Normal 9 2 2 4 6 3" xfId="12057" xr:uid="{A3A0784F-797C-4D45-BD27-54300A3F601B}"/>
    <cellStyle name="Normal 9 2 2 4 7" xfId="4883" xr:uid="{00000000-0005-0000-0000-0000F91E0000}"/>
    <cellStyle name="Normal 9 2 2 4 7 2" xfId="14209" xr:uid="{8C0E4E10-04B9-4B34-9601-A4D6661CB3B3}"/>
    <cellStyle name="Normal 9 2 2 4 8" xfId="8992" xr:uid="{8AFFF8AD-8552-4B33-AAFF-7DACAE25085E}"/>
    <cellStyle name="Normal 9 2 2 4 9" xfId="9992" xr:uid="{EFB80E16-E620-44F5-A149-47A6701EE20B}"/>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8BBD65CC-81A5-4DB1-9BED-D4EA6B86072C}"/>
    <cellStyle name="Normal 9 2 2 5 2 3" xfId="12543" xr:uid="{A994C16C-3019-4716-A419-078A95342138}"/>
    <cellStyle name="Normal 9 2 2 5 3" xfId="5289" xr:uid="{00000000-0005-0000-0000-0000FD1E0000}"/>
    <cellStyle name="Normal 9 2 2 5 3 2" xfId="14615" xr:uid="{7588AD13-D8C6-4CAC-AD6A-22FB511AFB42}"/>
    <cellStyle name="Normal 9 2 2 5 4" xfId="9209" xr:uid="{66E66B93-842C-41D8-A807-A065C03CFEBD}"/>
    <cellStyle name="Normal 9 2 2 5 5" xfId="10398" xr:uid="{6BDA5FE2-9EC3-4435-83CD-AB3D17B57BEA}"/>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96DB43B6-3C25-40B4-B82E-13BA211F87FF}"/>
    <cellStyle name="Normal 9 2 2 6 2 3" xfId="12956" xr:uid="{E37A305B-C2C9-4666-8AA7-39BD4BF2507F}"/>
    <cellStyle name="Normal 9 2 2 6 3" xfId="5702" xr:uid="{00000000-0005-0000-0000-0000011F0000}"/>
    <cellStyle name="Normal 9 2 2 6 3 2" xfId="15028" xr:uid="{1ED0BBC4-03FB-459C-9DF1-269A68861871}"/>
    <cellStyle name="Normal 9 2 2 6 4" xfId="10811" xr:uid="{2A41020D-1FF1-4222-90EC-141CEEFCB28E}"/>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4CB3F45C-547C-41F0-9F4B-2AA41740B932}"/>
    <cellStyle name="Normal 9 2 2 7 2 3" xfId="13369" xr:uid="{273D838D-EAD9-4981-8EFF-D76899533FE0}"/>
    <cellStyle name="Normal 9 2 2 7 3" xfId="6115" xr:uid="{00000000-0005-0000-0000-0000051F0000}"/>
    <cellStyle name="Normal 9 2 2 7 3 2" xfId="15441" xr:uid="{1A60A7A5-23C5-4821-9F13-5B5A29E320B0}"/>
    <cellStyle name="Normal 9 2 2 7 4" xfId="11224" xr:uid="{9D25001E-49CE-4174-B38E-674FF6511A97}"/>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1D352DFC-1144-4F42-A142-22DD2613C427}"/>
    <cellStyle name="Normal 9 2 2 8 2 3" xfId="13782" xr:uid="{63C7F79A-FD3C-4732-98CD-67758F0B1D1B}"/>
    <cellStyle name="Normal 9 2 2 8 3" xfId="6528" xr:uid="{00000000-0005-0000-0000-0000091F0000}"/>
    <cellStyle name="Normal 9 2 2 8 3 2" xfId="15854" xr:uid="{6357108B-9116-4391-A5CC-65A1FB16D1BE}"/>
    <cellStyle name="Normal 9 2 2 8 4" xfId="11637" xr:uid="{EA027305-47F6-4820-B1CC-0885E2F998C7}"/>
    <cellStyle name="Normal 9 2 2 9" xfId="2658" xr:uid="{00000000-0005-0000-0000-00000A1F0000}"/>
    <cellStyle name="Normal 9 2 2 9 2" xfId="6941" xr:uid="{00000000-0005-0000-0000-00000B1F0000}"/>
    <cellStyle name="Normal 9 2 2 9 2 2" xfId="16267" xr:uid="{664692A0-4E41-4845-BF7A-C60CB1AC13DE}"/>
    <cellStyle name="Normal 9 2 2 9 3" xfId="12050" xr:uid="{01851ED2-FF4A-4F13-8446-6E76FE4CDAFF}"/>
    <cellStyle name="Normal 9 2 3" xfId="520" xr:uid="{00000000-0005-0000-0000-00000C1F0000}"/>
    <cellStyle name="Normal 9 2 3 10" xfId="8838" xr:uid="{3F59BADF-95CF-4831-9CE1-8ACBDD585DF1}"/>
    <cellStyle name="Normal 9 2 3 11" xfId="9993" xr:uid="{7C6B5BA3-869F-43FA-B1A7-98A166A83AC8}"/>
    <cellStyle name="Normal 9 2 3 2" xfId="521" xr:uid="{00000000-0005-0000-0000-00000D1F0000}"/>
    <cellStyle name="Normal 9 2 3 2 10" xfId="9994" xr:uid="{066677EE-A75B-4738-84FE-EFF5FD3B88A9}"/>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75B61163-FA56-4FAA-8CDB-FF4C46EC0949}"/>
    <cellStyle name="Normal 9 2 3 2 2 2 2 3" xfId="12553" xr:uid="{4DD70523-BF50-4B97-A76B-99320F4567B8}"/>
    <cellStyle name="Normal 9 2 3 2 2 2 3" xfId="5299" xr:uid="{00000000-0005-0000-0000-0000121F0000}"/>
    <cellStyle name="Normal 9 2 3 2 2 2 3 2" xfId="14625" xr:uid="{7AF9365C-17E0-4CEA-9B97-4A6F26C57C2E}"/>
    <cellStyle name="Normal 9 2 3 2 2 2 4" xfId="9573" xr:uid="{376F8566-2407-40B8-9531-D3E757BE7A23}"/>
    <cellStyle name="Normal 9 2 3 2 2 2 5" xfId="10408" xr:uid="{46C03746-FCAA-495D-BC0D-A0F3EBAEB67C}"/>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88E20691-9533-4D7C-9737-69768ECFAFB9}"/>
    <cellStyle name="Normal 9 2 3 2 2 3 2 3" xfId="12966" xr:uid="{5A7F0A41-EAD2-4631-A35E-6008F9DA0F72}"/>
    <cellStyle name="Normal 9 2 3 2 2 3 3" xfId="5712" xr:uid="{00000000-0005-0000-0000-0000161F0000}"/>
    <cellStyle name="Normal 9 2 3 2 2 3 3 2" xfId="15038" xr:uid="{CC63EEAE-07AB-45C4-939F-19CCED3BBFA8}"/>
    <cellStyle name="Normal 9 2 3 2 2 3 4" xfId="10821" xr:uid="{7C833344-DA83-47BD-BBE0-4A9E68EB48F4}"/>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7FE8F17F-9DA3-4C5B-A60F-32DC44F8CDBE}"/>
    <cellStyle name="Normal 9 2 3 2 2 4 2 3" xfId="13379" xr:uid="{29570F59-B7F5-4D4A-BF88-919FB50983C1}"/>
    <cellStyle name="Normal 9 2 3 2 2 4 3" xfId="6125" xr:uid="{00000000-0005-0000-0000-00001A1F0000}"/>
    <cellStyle name="Normal 9 2 3 2 2 4 3 2" xfId="15451" xr:uid="{3FDDAB6D-3616-4A84-95AC-DB6D59E1F759}"/>
    <cellStyle name="Normal 9 2 3 2 2 4 4" xfId="11234" xr:uid="{4D8B8429-6392-437E-9881-D287ACFDF67E}"/>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DF4E1D65-D29B-4A8A-985D-726D845CA75B}"/>
    <cellStyle name="Normal 9 2 3 2 2 5 2 3" xfId="13792" xr:uid="{A200912F-480A-4238-B238-5FB429487437}"/>
    <cellStyle name="Normal 9 2 3 2 2 5 3" xfId="6538" xr:uid="{00000000-0005-0000-0000-00001E1F0000}"/>
    <cellStyle name="Normal 9 2 3 2 2 5 3 2" xfId="15864" xr:uid="{0AC65961-6032-4033-AE85-F06961F619FC}"/>
    <cellStyle name="Normal 9 2 3 2 2 5 4" xfId="11647" xr:uid="{A31E7EA2-22B8-4995-A771-DA1CE8C89231}"/>
    <cellStyle name="Normal 9 2 3 2 2 6" xfId="2668" xr:uid="{00000000-0005-0000-0000-00001F1F0000}"/>
    <cellStyle name="Normal 9 2 3 2 2 6 2" xfId="6951" xr:uid="{00000000-0005-0000-0000-0000201F0000}"/>
    <cellStyle name="Normal 9 2 3 2 2 6 2 2" xfId="16277" xr:uid="{C6B08892-D1CA-430D-B10D-499491C2FBE6}"/>
    <cellStyle name="Normal 9 2 3 2 2 6 3" xfId="12060" xr:uid="{F3F5CD9D-D5C3-487E-ACA7-14626BFEBE6D}"/>
    <cellStyle name="Normal 9 2 3 2 2 7" xfId="4886" xr:uid="{00000000-0005-0000-0000-0000211F0000}"/>
    <cellStyle name="Normal 9 2 3 2 2 7 2" xfId="14212" xr:uid="{504B4C9B-E432-4AEE-B7A6-30043B61F953}"/>
    <cellStyle name="Normal 9 2 3 2 2 8" xfId="9148" xr:uid="{E1A2F3F0-C8EA-47FA-BB37-18F117041A87}"/>
    <cellStyle name="Normal 9 2 3 2 2 9" xfId="9995" xr:uid="{176937FD-6E23-4B7D-A083-84E37D70610E}"/>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A8E7E196-214A-4727-91AF-4BA77123516E}"/>
    <cellStyle name="Normal 9 2 3 2 3 2 3" xfId="12552" xr:uid="{A8DB0479-2032-46EB-A493-1ED42883C449}"/>
    <cellStyle name="Normal 9 2 3 2 3 3" xfId="5298" xr:uid="{00000000-0005-0000-0000-0000251F0000}"/>
    <cellStyle name="Normal 9 2 3 2 3 3 2" xfId="14624" xr:uid="{35067A12-6125-4236-9281-DFB354069682}"/>
    <cellStyle name="Normal 9 2 3 2 3 4" xfId="9366" xr:uid="{136A6B94-9CAA-4F6C-B09D-7385900FCA38}"/>
    <cellStyle name="Normal 9 2 3 2 3 5" xfId="10407" xr:uid="{2F7C8B40-B223-4E0F-8417-E2D4F3BEC78F}"/>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954CC9BC-05B3-4B69-BC16-50B7DDDC23B4}"/>
    <cellStyle name="Normal 9 2 3 2 4 2 3" xfId="12965" xr:uid="{20A3193C-5D9E-467B-AEFA-7945B09EE635}"/>
    <cellStyle name="Normal 9 2 3 2 4 3" xfId="5711" xr:uid="{00000000-0005-0000-0000-0000291F0000}"/>
    <cellStyle name="Normal 9 2 3 2 4 3 2" xfId="15037" xr:uid="{B9F113F9-686C-43BF-873F-89F8E7383418}"/>
    <cellStyle name="Normal 9 2 3 2 4 4" xfId="10820" xr:uid="{BB09BA1D-6823-4611-9D97-9C5C7E2E83CF}"/>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1C517733-B1F2-495E-94DB-3098B40BC0C7}"/>
    <cellStyle name="Normal 9 2 3 2 5 2 3" xfId="13378" xr:uid="{42C9486C-1791-41BD-BCB4-C7E02C95C532}"/>
    <cellStyle name="Normal 9 2 3 2 5 3" xfId="6124" xr:uid="{00000000-0005-0000-0000-00002D1F0000}"/>
    <cellStyle name="Normal 9 2 3 2 5 3 2" xfId="15450" xr:uid="{A5CD9AF2-A311-46EF-B9CE-761C15193D0A}"/>
    <cellStyle name="Normal 9 2 3 2 5 4" xfId="11233" xr:uid="{FF5F5D2E-939B-477D-8167-71C1F33425E4}"/>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C308947E-FA20-4069-B939-6F60DF5C73C7}"/>
    <cellStyle name="Normal 9 2 3 2 6 2 3" xfId="13791" xr:uid="{17255688-4B32-44CE-AAA0-5D45A9E0BE46}"/>
    <cellStyle name="Normal 9 2 3 2 6 3" xfId="6537" xr:uid="{00000000-0005-0000-0000-0000311F0000}"/>
    <cellStyle name="Normal 9 2 3 2 6 3 2" xfId="15863" xr:uid="{92B04BF5-6721-4336-B813-541FC00C1BD5}"/>
    <cellStyle name="Normal 9 2 3 2 6 4" xfId="11646" xr:uid="{68E978EF-63BF-4287-8041-8DB2C3FE1617}"/>
    <cellStyle name="Normal 9 2 3 2 7" xfId="2667" xr:uid="{00000000-0005-0000-0000-0000321F0000}"/>
    <cellStyle name="Normal 9 2 3 2 7 2" xfId="6950" xr:uid="{00000000-0005-0000-0000-0000331F0000}"/>
    <cellStyle name="Normal 9 2 3 2 7 2 2" xfId="16276" xr:uid="{947349A5-DE95-4D58-BB95-8C39B5892DD0}"/>
    <cellStyle name="Normal 9 2 3 2 7 3" xfId="12059" xr:uid="{3C78A7ED-5001-4FCD-9827-5064F8DA5458}"/>
    <cellStyle name="Normal 9 2 3 2 8" xfId="4885" xr:uid="{00000000-0005-0000-0000-0000341F0000}"/>
    <cellStyle name="Normal 9 2 3 2 8 2" xfId="14211" xr:uid="{90029C23-2413-4EAF-86A2-093CB0DFB544}"/>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5082E412-886E-4613-B751-87C1A6359EA7}"/>
    <cellStyle name="Normal 9 2 3 3 2 2 3" xfId="12554" xr:uid="{722D13D3-05D6-46BA-84F1-54EEF45ECEED}"/>
    <cellStyle name="Normal 9 2 3 3 2 3" xfId="5300" xr:uid="{00000000-0005-0000-0000-0000391F0000}"/>
    <cellStyle name="Normal 9 2 3 3 2 3 2" xfId="14626" xr:uid="{6039E765-5BB7-4B92-A2B2-21BF028A4D75}"/>
    <cellStyle name="Normal 9 2 3 3 2 4" xfId="9470" xr:uid="{B46EA5E7-4A9D-405A-94B0-2C155F0DE1F1}"/>
    <cellStyle name="Normal 9 2 3 3 2 5" xfId="10409" xr:uid="{40C6783A-6876-47CF-B5AC-1FEEFED24E0A}"/>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68250FB3-5D57-43CB-8511-90B941C5CCDE}"/>
    <cellStyle name="Normal 9 2 3 3 3 2 3" xfId="12967" xr:uid="{A57303A2-9FE7-4850-A500-6B2B1726F8B5}"/>
    <cellStyle name="Normal 9 2 3 3 3 3" xfId="5713" xr:uid="{00000000-0005-0000-0000-00003D1F0000}"/>
    <cellStyle name="Normal 9 2 3 3 3 3 2" xfId="15039" xr:uid="{C4C45D8C-1F62-4127-A0B9-D958F0983E1E}"/>
    <cellStyle name="Normal 9 2 3 3 3 4" xfId="10822" xr:uid="{E78A4762-6AB3-4F65-A25E-DDE1FA0DC82B}"/>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E7E6469F-8496-4939-BEE1-7FF8A31658DA}"/>
    <cellStyle name="Normal 9 2 3 3 4 2 3" xfId="13380" xr:uid="{DE750FC7-3386-4C2B-B742-2EC1047C28A1}"/>
    <cellStyle name="Normal 9 2 3 3 4 3" xfId="6126" xr:uid="{00000000-0005-0000-0000-0000411F0000}"/>
    <cellStyle name="Normal 9 2 3 3 4 3 2" xfId="15452" xr:uid="{7E076932-CBF2-40A6-A06B-81CB55A5CE04}"/>
    <cellStyle name="Normal 9 2 3 3 4 4" xfId="11235" xr:uid="{08E5E29F-5456-4D20-9B36-61D88B25CFA3}"/>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BB2CA459-7D58-4ACD-BDBA-414FC2CC4449}"/>
    <cellStyle name="Normal 9 2 3 3 5 2 3" xfId="13793" xr:uid="{2AB6F6CF-2211-49AB-99D5-800D79AC2C2B}"/>
    <cellStyle name="Normal 9 2 3 3 5 3" xfId="6539" xr:uid="{00000000-0005-0000-0000-0000451F0000}"/>
    <cellStyle name="Normal 9 2 3 3 5 3 2" xfId="15865" xr:uid="{12507AB3-A229-4FF9-9A74-B259B88008D3}"/>
    <cellStyle name="Normal 9 2 3 3 5 4" xfId="11648" xr:uid="{A39B2894-1E2A-4D05-8AC2-5A7D3BE522B7}"/>
    <cellStyle name="Normal 9 2 3 3 6" xfId="2669" xr:uid="{00000000-0005-0000-0000-0000461F0000}"/>
    <cellStyle name="Normal 9 2 3 3 6 2" xfId="6952" xr:uid="{00000000-0005-0000-0000-0000471F0000}"/>
    <cellStyle name="Normal 9 2 3 3 6 2 2" xfId="16278" xr:uid="{912A14B1-FE6F-4E69-958D-07ACA950BEAA}"/>
    <cellStyle name="Normal 9 2 3 3 6 3" xfId="12061" xr:uid="{E9B5F4D2-5DF6-481B-825F-5AD069599DDC}"/>
    <cellStyle name="Normal 9 2 3 3 7" xfId="4887" xr:uid="{00000000-0005-0000-0000-0000481F0000}"/>
    <cellStyle name="Normal 9 2 3 3 7 2" xfId="14213" xr:uid="{3D5A9321-9FCE-4EFA-99F0-C47873770399}"/>
    <cellStyle name="Normal 9 2 3 3 8" xfId="9045" xr:uid="{CD23D75F-FCE1-471A-A55A-DAC6FB15D069}"/>
    <cellStyle name="Normal 9 2 3 3 9" xfId="9996" xr:uid="{D6DD66C0-BDAE-4497-8753-11C25497212C}"/>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4F458A26-86F4-4C3E-9D7E-F19867E2B899}"/>
    <cellStyle name="Normal 9 2 3 4 2 3" xfId="12551" xr:uid="{76ECD54D-D169-4F7B-9A31-17A23B20F282}"/>
    <cellStyle name="Normal 9 2 3 4 3" xfId="5297" xr:uid="{00000000-0005-0000-0000-00004C1F0000}"/>
    <cellStyle name="Normal 9 2 3 4 3 2" xfId="14623" xr:uid="{538F70AA-2D41-4886-B0F4-C43516F7762F}"/>
    <cellStyle name="Normal 9 2 3 4 4" xfId="9263" xr:uid="{8E7B719A-F76B-4A2B-A5A7-1A883FD6976F}"/>
    <cellStyle name="Normal 9 2 3 4 5" xfId="10406" xr:uid="{0402F5F9-876A-429C-908F-38FE0B39C329}"/>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73EC437B-7891-4996-9D4C-7142FDB65989}"/>
    <cellStyle name="Normal 9 2 3 5 2 3" xfId="12964" xr:uid="{2A043160-6B1C-4883-B02F-FD54C900F150}"/>
    <cellStyle name="Normal 9 2 3 5 3" xfId="5710" xr:uid="{00000000-0005-0000-0000-0000501F0000}"/>
    <cellStyle name="Normal 9 2 3 5 3 2" xfId="15036" xr:uid="{C124B75D-CDC6-4F8D-9E28-F9F7153EBE9F}"/>
    <cellStyle name="Normal 9 2 3 5 4" xfId="10819" xr:uid="{3ED121E8-2AE4-4B7B-8957-3B51EFE45CDA}"/>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7EA8124C-5645-4BA2-8901-AD122F82A7CF}"/>
    <cellStyle name="Normal 9 2 3 6 2 3" xfId="13377" xr:uid="{54802130-88D5-4524-BDC4-0633CC613E55}"/>
    <cellStyle name="Normal 9 2 3 6 3" xfId="6123" xr:uid="{00000000-0005-0000-0000-0000541F0000}"/>
    <cellStyle name="Normal 9 2 3 6 3 2" xfId="15449" xr:uid="{A8532DC0-6281-436E-9B3A-6F860B4C78D4}"/>
    <cellStyle name="Normal 9 2 3 6 4" xfId="11232" xr:uid="{05E32B01-A9A1-4FA4-A983-16EF78460961}"/>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3504FD5C-3433-4818-82DA-2113AD1BEC56}"/>
    <cellStyle name="Normal 9 2 3 7 2 3" xfId="13790" xr:uid="{83057668-FBE9-4D79-A19A-52F1CF803564}"/>
    <cellStyle name="Normal 9 2 3 7 3" xfId="6536" xr:uid="{00000000-0005-0000-0000-0000581F0000}"/>
    <cellStyle name="Normal 9 2 3 7 3 2" xfId="15862" xr:uid="{99533A8A-49A1-45E2-A80B-33A1FD8C677E}"/>
    <cellStyle name="Normal 9 2 3 7 4" xfId="11645" xr:uid="{5CF5EB9C-C994-442F-8986-0F916019AE1B}"/>
    <cellStyle name="Normal 9 2 3 8" xfId="2666" xr:uid="{00000000-0005-0000-0000-0000591F0000}"/>
    <cellStyle name="Normal 9 2 3 8 2" xfId="6949" xr:uid="{00000000-0005-0000-0000-00005A1F0000}"/>
    <cellStyle name="Normal 9 2 3 8 2 2" xfId="16275" xr:uid="{3891E775-C4E4-4983-9B92-E87D40E3D855}"/>
    <cellStyle name="Normal 9 2 3 8 3" xfId="12058" xr:uid="{84B95CCE-2272-42EE-9482-E2E72DD6D289}"/>
    <cellStyle name="Normal 9 2 3 9" xfId="4884" xr:uid="{00000000-0005-0000-0000-00005B1F0000}"/>
    <cellStyle name="Normal 9 2 3 9 2" xfId="14210" xr:uid="{A437F1FF-5387-43C5-8C1E-099FE2DBA4B8}"/>
    <cellStyle name="Normal 9 2 4" xfId="524" xr:uid="{00000000-0005-0000-0000-00005C1F0000}"/>
    <cellStyle name="Normal 9 2 4 10" xfId="9997" xr:uid="{DFBDB24C-A47D-4464-BAA6-61A23D01BD5C}"/>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72A52E92-B4D9-4EE3-9436-1EE573A5BED9}"/>
    <cellStyle name="Normal 9 2 4 2 2 2 3" xfId="12556" xr:uid="{CFA14521-7BE6-4C1E-BF73-0E73B7D8B4FC}"/>
    <cellStyle name="Normal 9 2 4 2 2 3" xfId="5302" xr:uid="{00000000-0005-0000-0000-0000611F0000}"/>
    <cellStyle name="Normal 9 2 4 2 2 3 2" xfId="14628" xr:uid="{30B9D65F-C6AF-469D-B4D1-16845F94E832}"/>
    <cellStyle name="Normal 9 2 4 2 2 4" xfId="9489" xr:uid="{4BA9DC16-58A7-4D6B-90A6-6BB0C51A0279}"/>
    <cellStyle name="Normal 9 2 4 2 2 5" xfId="10411" xr:uid="{8FAAFC84-A5F3-4396-97BD-1C29AFE69D7E}"/>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48EA1E7C-1282-4E43-A742-769B442C6E71}"/>
    <cellStyle name="Normal 9 2 4 2 3 2 3" xfId="12969" xr:uid="{85EB4249-F5DE-48C5-8E6A-F07E0F55616F}"/>
    <cellStyle name="Normal 9 2 4 2 3 3" xfId="5715" xr:uid="{00000000-0005-0000-0000-0000651F0000}"/>
    <cellStyle name="Normal 9 2 4 2 3 3 2" xfId="15041" xr:uid="{C8C10DFB-7D93-443B-8BDE-C83B07B4B41B}"/>
    <cellStyle name="Normal 9 2 4 2 3 4" xfId="10824" xr:uid="{5CE4B2EB-3BA5-48DF-93FE-6F4D015E2F68}"/>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416219AC-9141-4641-8CC3-50D06EC5A78A}"/>
    <cellStyle name="Normal 9 2 4 2 4 2 3" xfId="13382" xr:uid="{DA73F6C7-450F-4706-B5BB-70C67721B250}"/>
    <cellStyle name="Normal 9 2 4 2 4 3" xfId="6128" xr:uid="{00000000-0005-0000-0000-0000691F0000}"/>
    <cellStyle name="Normal 9 2 4 2 4 3 2" xfId="15454" xr:uid="{4F7931BF-2425-4DEA-935F-DC97E7822732}"/>
    <cellStyle name="Normal 9 2 4 2 4 4" xfId="11237" xr:uid="{3B28E345-6775-46E7-A284-E0F46D277726}"/>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DA652039-9F3D-41AE-B97E-1DD57792ACCD}"/>
    <cellStyle name="Normal 9 2 4 2 5 2 3" xfId="13795" xr:uid="{CD2FFAA4-4F0A-4FBA-8659-6408BEC3D3CB}"/>
    <cellStyle name="Normal 9 2 4 2 5 3" xfId="6541" xr:uid="{00000000-0005-0000-0000-00006D1F0000}"/>
    <cellStyle name="Normal 9 2 4 2 5 3 2" xfId="15867" xr:uid="{D5659BAE-21E9-4C5F-B0C9-3165743C968D}"/>
    <cellStyle name="Normal 9 2 4 2 5 4" xfId="11650" xr:uid="{6F57CD24-13FA-4645-BE82-587B0426DC14}"/>
    <cellStyle name="Normal 9 2 4 2 6" xfId="2671" xr:uid="{00000000-0005-0000-0000-00006E1F0000}"/>
    <cellStyle name="Normal 9 2 4 2 6 2" xfId="6954" xr:uid="{00000000-0005-0000-0000-00006F1F0000}"/>
    <cellStyle name="Normal 9 2 4 2 6 2 2" xfId="16280" xr:uid="{2CB6BB56-5EC4-4874-AC61-601DFA8A46EE}"/>
    <cellStyle name="Normal 9 2 4 2 6 3" xfId="12063" xr:uid="{72ACEB92-38CE-4FEA-BD93-24A3FCCFE2E7}"/>
    <cellStyle name="Normal 9 2 4 2 7" xfId="4889" xr:uid="{00000000-0005-0000-0000-0000701F0000}"/>
    <cellStyle name="Normal 9 2 4 2 7 2" xfId="14215" xr:uid="{CA8C838C-C21D-462F-9F71-6502C9769C25}"/>
    <cellStyle name="Normal 9 2 4 2 8" xfId="9064" xr:uid="{7D4090C3-C767-4FFF-8A1F-282B2C8BAE68}"/>
    <cellStyle name="Normal 9 2 4 2 9" xfId="9998" xr:uid="{6684FD7E-1047-4C21-8849-4617D9EB6422}"/>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98DC62FD-08FD-423F-9235-0BC4551B2D9D}"/>
    <cellStyle name="Normal 9 2 4 3 2 3" xfId="12555" xr:uid="{191BE1F7-3A64-43BC-9432-B2F5170D49B8}"/>
    <cellStyle name="Normal 9 2 4 3 3" xfId="5301" xr:uid="{00000000-0005-0000-0000-0000741F0000}"/>
    <cellStyle name="Normal 9 2 4 3 3 2" xfId="14627" xr:uid="{5A548B4A-C7AE-4FA3-AD95-447C7DE9AC57}"/>
    <cellStyle name="Normal 9 2 4 3 4" xfId="9282" xr:uid="{2471E5AC-3D06-4E90-9462-C54FACA9B22B}"/>
    <cellStyle name="Normal 9 2 4 3 5" xfId="10410" xr:uid="{79B9686A-C9BA-4E7D-9D36-31BEE02AA7BE}"/>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BF9B8873-4DD1-498D-B4B7-03CDCA20FB02}"/>
    <cellStyle name="Normal 9 2 4 4 2 3" xfId="12968" xr:uid="{59480CB4-D22E-44BD-AC81-31935CB78856}"/>
    <cellStyle name="Normal 9 2 4 4 3" xfId="5714" xr:uid="{00000000-0005-0000-0000-0000781F0000}"/>
    <cellStyle name="Normal 9 2 4 4 3 2" xfId="15040" xr:uid="{C340050B-D5BD-4C16-925B-72096B9EEBA4}"/>
    <cellStyle name="Normal 9 2 4 4 4" xfId="10823" xr:uid="{D8436151-A23F-4502-9946-7A3CEE8DFFDF}"/>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58808E7C-7B7C-4CCB-9D7F-3693ABCE95F5}"/>
    <cellStyle name="Normal 9 2 4 5 2 3" xfId="13381" xr:uid="{A534FD46-8144-4D80-884E-9C3517875ED7}"/>
    <cellStyle name="Normal 9 2 4 5 3" xfId="6127" xr:uid="{00000000-0005-0000-0000-00007C1F0000}"/>
    <cellStyle name="Normal 9 2 4 5 3 2" xfId="15453" xr:uid="{2A1B8BE1-5CE7-4065-9ED6-E6507A5FBA3A}"/>
    <cellStyle name="Normal 9 2 4 5 4" xfId="11236" xr:uid="{55763791-8407-4950-BC7B-B218A8B1498A}"/>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8ECDA707-37FD-45E0-9B05-5C8E4E55B313}"/>
    <cellStyle name="Normal 9 2 4 6 2 3" xfId="13794" xr:uid="{4C10B77E-BC5B-44AA-A3E7-02DAEEDBFCD3}"/>
    <cellStyle name="Normal 9 2 4 6 3" xfId="6540" xr:uid="{00000000-0005-0000-0000-0000801F0000}"/>
    <cellStyle name="Normal 9 2 4 6 3 2" xfId="15866" xr:uid="{FD4FAC5A-0073-4550-BD88-0F2FAB3B5A80}"/>
    <cellStyle name="Normal 9 2 4 6 4" xfId="11649" xr:uid="{1C07B119-4D20-467F-8F7F-BA1EC31F6CE3}"/>
    <cellStyle name="Normal 9 2 4 7" xfId="2670" xr:uid="{00000000-0005-0000-0000-0000811F0000}"/>
    <cellStyle name="Normal 9 2 4 7 2" xfId="6953" xr:uid="{00000000-0005-0000-0000-0000821F0000}"/>
    <cellStyle name="Normal 9 2 4 7 2 2" xfId="16279" xr:uid="{EC2908B2-0F39-4669-94A6-09E2A731E27E}"/>
    <cellStyle name="Normal 9 2 4 7 3" xfId="12062" xr:uid="{E1F91A55-039E-461C-B991-292045469E6B}"/>
    <cellStyle name="Normal 9 2 4 8" xfId="4888" xr:uid="{00000000-0005-0000-0000-0000831F0000}"/>
    <cellStyle name="Normal 9 2 4 8 2" xfId="14214" xr:uid="{B511C656-70F0-4292-85C0-E134A38004D2}"/>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31A55E06-29DF-412F-9228-5BB577CA022F}"/>
    <cellStyle name="Normal 9 2 5 2 2 3" xfId="12557" xr:uid="{4A3B3F7E-99EB-4A88-92D4-929A6F323656}"/>
    <cellStyle name="Normal 9 2 5 2 3" xfId="5303" xr:uid="{00000000-0005-0000-0000-0000881F0000}"/>
    <cellStyle name="Normal 9 2 5 2 3 2" xfId="14629" xr:uid="{84798CCE-D0AA-45BA-B63B-A369090BEFC9}"/>
    <cellStyle name="Normal 9 2 5 2 4" xfId="9398" xr:uid="{5B2A416E-986C-4898-8893-9EAFDDDBCDD4}"/>
    <cellStyle name="Normal 9 2 5 2 5" xfId="10412" xr:uid="{65BCC384-20B0-48AC-9F63-6FA832F31E1E}"/>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8695A1B2-EBAA-4FBC-B20E-D8F6E98A98C4}"/>
    <cellStyle name="Normal 9 2 5 3 2 3" xfId="12970" xr:uid="{95488326-5638-44D0-A72E-E3CBAEDB03AD}"/>
    <cellStyle name="Normal 9 2 5 3 3" xfId="5716" xr:uid="{00000000-0005-0000-0000-00008C1F0000}"/>
    <cellStyle name="Normal 9 2 5 3 3 2" xfId="15042" xr:uid="{37685888-D1BA-4438-9816-A79A024EF15D}"/>
    <cellStyle name="Normal 9 2 5 3 4" xfId="10825" xr:uid="{94616B6E-7952-47E3-A002-2672FC3F1363}"/>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1696A4DC-1DE2-4282-B39A-90EAD929A64A}"/>
    <cellStyle name="Normal 9 2 5 4 2 3" xfId="13383" xr:uid="{8E2A2518-D95F-4AB1-B4AE-94B69438EA3D}"/>
    <cellStyle name="Normal 9 2 5 4 3" xfId="6129" xr:uid="{00000000-0005-0000-0000-0000901F0000}"/>
    <cellStyle name="Normal 9 2 5 4 3 2" xfId="15455" xr:uid="{03F65BA2-5817-43EB-B883-CE381FF411ED}"/>
    <cellStyle name="Normal 9 2 5 4 4" xfId="11238" xr:uid="{A985F70D-52DA-48D6-9ED7-9585DD8C52D7}"/>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C89FB595-1DC5-4B6A-B5EC-4CD4FB7123E4}"/>
    <cellStyle name="Normal 9 2 5 5 2 3" xfId="13796" xr:uid="{FB302576-B3B3-485F-A308-9908C43DF4C0}"/>
    <cellStyle name="Normal 9 2 5 5 3" xfId="6542" xr:uid="{00000000-0005-0000-0000-0000941F0000}"/>
    <cellStyle name="Normal 9 2 5 5 3 2" xfId="15868" xr:uid="{2BA4E6A8-C80A-495C-9DC7-1961088E06BA}"/>
    <cellStyle name="Normal 9 2 5 5 4" xfId="11651" xr:uid="{72772E7C-DB5C-4266-8D94-BF8A9F6B558E}"/>
    <cellStyle name="Normal 9 2 5 6" xfId="2672" xr:uid="{00000000-0005-0000-0000-0000951F0000}"/>
    <cellStyle name="Normal 9 2 5 6 2" xfId="6955" xr:uid="{00000000-0005-0000-0000-0000961F0000}"/>
    <cellStyle name="Normal 9 2 5 6 2 2" xfId="16281" xr:uid="{366A86D9-9BF5-479E-B1BC-64004AAB62C8}"/>
    <cellStyle name="Normal 9 2 5 6 3" xfId="12064" xr:uid="{2B4BA444-70E6-4ADB-BA81-5AD55F12C567}"/>
    <cellStyle name="Normal 9 2 5 7" xfId="4890" xr:uid="{00000000-0005-0000-0000-0000971F0000}"/>
    <cellStyle name="Normal 9 2 5 7 2" xfId="14216" xr:uid="{833BC887-83A9-4804-8496-3E136015AD79}"/>
    <cellStyle name="Normal 9 2 5 8" xfId="8973" xr:uid="{BA9464C2-72F7-4B38-B1BD-6986FFA433D9}"/>
    <cellStyle name="Normal 9 2 5 9" xfId="9999" xr:uid="{B1FED3EA-8A22-42E3-A8B1-BC1FB69D5E4A}"/>
    <cellStyle name="Normal 9 2 6" xfId="978" xr:uid="{00000000-0005-0000-0000-0000981F0000}"/>
    <cellStyle name="Normal 9 2 6 2" xfId="3211" xr:uid="{00000000-0005-0000-0000-0000991F0000}"/>
    <cellStyle name="Normal 9 2 6 2 2" xfId="7433" xr:uid="{00000000-0005-0000-0000-00009A1F0000}"/>
    <cellStyle name="Normal 9 2 6 2 2 2" xfId="16759" xr:uid="{F6208774-870D-4B6E-8E64-4E73F3BA5D93}"/>
    <cellStyle name="Normal 9 2 6 2 3" xfId="12542" xr:uid="{5F8A6D0E-C32C-45ED-9131-25C103464A4D}"/>
    <cellStyle name="Normal 9 2 6 3" xfId="5288" xr:uid="{00000000-0005-0000-0000-00009B1F0000}"/>
    <cellStyle name="Normal 9 2 6 3 2" xfId="14614" xr:uid="{AC61ECA4-09A6-4E88-AEB6-E260A276F771}"/>
    <cellStyle name="Normal 9 2 6 4" xfId="9176" xr:uid="{F3933A08-5B20-47C9-B0FC-7B73F4B0BA7D}"/>
    <cellStyle name="Normal 9 2 6 5" xfId="10397" xr:uid="{EA954436-BD86-41DD-99DF-F781938652F8}"/>
    <cellStyle name="Normal 9 2 7" xfId="1394" xr:uid="{00000000-0005-0000-0000-00009C1F0000}"/>
    <cellStyle name="Normal 9 2 7 2" xfId="3624" xr:uid="{00000000-0005-0000-0000-00009D1F0000}"/>
    <cellStyle name="Normal 9 2 7 2 2" xfId="7846" xr:uid="{00000000-0005-0000-0000-00009E1F0000}"/>
    <cellStyle name="Normal 9 2 7 2 2 2" xfId="17172" xr:uid="{B0D32691-1798-4ECD-A46C-322791F79E3E}"/>
    <cellStyle name="Normal 9 2 7 2 3" xfId="12955" xr:uid="{5AADBD48-7EC1-4674-A79D-D55817F7F60F}"/>
    <cellStyle name="Normal 9 2 7 3" xfId="5701" xr:uid="{00000000-0005-0000-0000-00009F1F0000}"/>
    <cellStyle name="Normal 9 2 7 3 2" xfId="15027" xr:uid="{035B028D-88FE-400F-9478-C6E82314E48B}"/>
    <cellStyle name="Normal 9 2 7 4" xfId="10810" xr:uid="{A3FA1CA8-E295-4900-99F0-5FE50483C2F7}"/>
    <cellStyle name="Normal 9 2 8" xfId="1807" xr:uid="{00000000-0005-0000-0000-0000A01F0000}"/>
    <cellStyle name="Normal 9 2 8 2" xfId="4037" xr:uid="{00000000-0005-0000-0000-0000A11F0000}"/>
    <cellStyle name="Normal 9 2 8 2 2" xfId="8259" xr:uid="{00000000-0005-0000-0000-0000A21F0000}"/>
    <cellStyle name="Normal 9 2 8 2 2 2" xfId="17585" xr:uid="{FE8B7F58-C152-4112-A5F3-1CE462677C0B}"/>
    <cellStyle name="Normal 9 2 8 2 3" xfId="13368" xr:uid="{9516F7FC-60E8-4B37-87C0-D1116B89B6B3}"/>
    <cellStyle name="Normal 9 2 8 3" xfId="6114" xr:uid="{00000000-0005-0000-0000-0000A31F0000}"/>
    <cellStyle name="Normal 9 2 8 3 2" xfId="15440" xr:uid="{5A086A7B-FAD3-438C-95BA-F04F1405F050}"/>
    <cellStyle name="Normal 9 2 8 4" xfId="11223" xr:uid="{0B6737DE-0E26-4639-B124-7BF61CC58628}"/>
    <cellStyle name="Normal 9 2 9" xfId="2221" xr:uid="{00000000-0005-0000-0000-0000A41F0000}"/>
    <cellStyle name="Normal 9 2 9 2" xfId="4450" xr:uid="{00000000-0005-0000-0000-0000A51F0000}"/>
    <cellStyle name="Normal 9 2 9 2 2" xfId="8672" xr:uid="{00000000-0005-0000-0000-0000A61F0000}"/>
    <cellStyle name="Normal 9 2 9 2 2 2" xfId="17998" xr:uid="{AA5BD047-026A-4D3D-9718-941C99307AD0}"/>
    <cellStyle name="Normal 9 2 9 2 3" xfId="13781" xr:uid="{ADD7EA41-2996-41A4-81E2-4B0E0E849E0D}"/>
    <cellStyle name="Normal 9 2 9 3" xfId="6527" xr:uid="{00000000-0005-0000-0000-0000A71F0000}"/>
    <cellStyle name="Normal 9 2 9 3 2" xfId="15853" xr:uid="{5CC357D3-5448-4E67-9DA2-83DE376EA187}"/>
    <cellStyle name="Normal 9 2 9 4" xfId="11636" xr:uid="{B885C8CC-7AA2-4F6C-8286-D789DC73C6EF}"/>
    <cellStyle name="Normal 9 3" xfId="527" xr:uid="{00000000-0005-0000-0000-0000A81F0000}"/>
    <cellStyle name="Normal 9 3 10" xfId="4891" xr:uid="{00000000-0005-0000-0000-0000A91F0000}"/>
    <cellStyle name="Normal 9 3 10 2" xfId="14217" xr:uid="{2545FE99-CC73-4665-A477-8F9F60DCF2BF}"/>
    <cellStyle name="Normal 9 3 11" xfId="8777" xr:uid="{1F3D7E21-FC22-4F0C-9371-3D8250746BB7}"/>
    <cellStyle name="Normal 9 3 12" xfId="10000" xr:uid="{69107459-29A7-4393-94A1-902924166530}"/>
    <cellStyle name="Normal 9 3 2" xfId="528" xr:uid="{00000000-0005-0000-0000-0000AA1F0000}"/>
    <cellStyle name="Normal 9 3 2 10" xfId="8840" xr:uid="{94797BE2-1721-4871-A768-79D4D45F48BB}"/>
    <cellStyle name="Normal 9 3 2 11" xfId="10001" xr:uid="{20A0824E-998A-47C5-B578-384EF8D2ACAD}"/>
    <cellStyle name="Normal 9 3 2 2" xfId="529" xr:uid="{00000000-0005-0000-0000-0000AB1F0000}"/>
    <cellStyle name="Normal 9 3 2 2 10" xfId="10002" xr:uid="{0FD51C77-C5FB-4CD6-990A-4C255BCBAD61}"/>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54EFDFA1-83B7-4096-B60F-1F5DF827183E}"/>
    <cellStyle name="Normal 9 3 2 2 2 2 2 3" xfId="12561" xr:uid="{B2285CA5-2117-4A16-9DF4-C5155720C1BD}"/>
    <cellStyle name="Normal 9 3 2 2 2 2 3" xfId="5307" xr:uid="{00000000-0005-0000-0000-0000B01F0000}"/>
    <cellStyle name="Normal 9 3 2 2 2 2 3 2" xfId="14633" xr:uid="{AA69D541-740C-44A6-B56E-FCE86310BB0A}"/>
    <cellStyle name="Normal 9 3 2 2 2 2 4" xfId="9575" xr:uid="{DA05DE06-1987-4B8E-8439-C692853FF296}"/>
    <cellStyle name="Normal 9 3 2 2 2 2 5" xfId="10416" xr:uid="{FD1B35BC-9841-43F1-BFBC-A95D121197CA}"/>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0E312700-2889-4BC0-8214-7C590B6E0096}"/>
    <cellStyle name="Normal 9 3 2 2 2 3 2 3" xfId="12974" xr:uid="{08AB2401-ED68-4A8F-B51D-48C7FD4B99C4}"/>
    <cellStyle name="Normal 9 3 2 2 2 3 3" xfId="5720" xr:uid="{00000000-0005-0000-0000-0000B41F0000}"/>
    <cellStyle name="Normal 9 3 2 2 2 3 3 2" xfId="15046" xr:uid="{15074F28-5D46-42EF-9AA2-0C9E9690F710}"/>
    <cellStyle name="Normal 9 3 2 2 2 3 4" xfId="10829" xr:uid="{11C7EA40-2FE8-4970-B145-53498B34B2AC}"/>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4D25820C-0093-400E-855B-A22F457DBA0A}"/>
    <cellStyle name="Normal 9 3 2 2 2 4 2 3" xfId="13387" xr:uid="{9D116E6D-BAC6-41E9-91B3-D3D1AA7C3772}"/>
    <cellStyle name="Normal 9 3 2 2 2 4 3" xfId="6133" xr:uid="{00000000-0005-0000-0000-0000B81F0000}"/>
    <cellStyle name="Normal 9 3 2 2 2 4 3 2" xfId="15459" xr:uid="{3BE1C501-CB67-4C83-9A4F-20BECB262376}"/>
    <cellStyle name="Normal 9 3 2 2 2 4 4" xfId="11242" xr:uid="{4CA9330A-26CF-4913-8FAF-C712B16F7C2A}"/>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729F5EE4-BEFD-4E19-B7A4-BBF4F16F403C}"/>
    <cellStyle name="Normal 9 3 2 2 2 5 2 3" xfId="13800" xr:uid="{A02A0201-1977-403E-BB39-E8CB6BF863F9}"/>
    <cellStyle name="Normal 9 3 2 2 2 5 3" xfId="6546" xr:uid="{00000000-0005-0000-0000-0000BC1F0000}"/>
    <cellStyle name="Normal 9 3 2 2 2 5 3 2" xfId="15872" xr:uid="{0C2B1286-F1CE-496E-AB9F-1AEA25F60141}"/>
    <cellStyle name="Normal 9 3 2 2 2 5 4" xfId="11655" xr:uid="{1EFB09A8-B2CB-4EEC-8245-7AD71C6AB996}"/>
    <cellStyle name="Normal 9 3 2 2 2 6" xfId="2676" xr:uid="{00000000-0005-0000-0000-0000BD1F0000}"/>
    <cellStyle name="Normal 9 3 2 2 2 6 2" xfId="6959" xr:uid="{00000000-0005-0000-0000-0000BE1F0000}"/>
    <cellStyle name="Normal 9 3 2 2 2 6 2 2" xfId="16285" xr:uid="{ED0F4569-E686-4B4D-A5EC-D47D7288CE5F}"/>
    <cellStyle name="Normal 9 3 2 2 2 6 3" xfId="12068" xr:uid="{3CAF0808-F776-47A4-A6E5-2841AE118B83}"/>
    <cellStyle name="Normal 9 3 2 2 2 7" xfId="4894" xr:uid="{00000000-0005-0000-0000-0000BF1F0000}"/>
    <cellStyle name="Normal 9 3 2 2 2 7 2" xfId="14220" xr:uid="{FE1D8B0C-F7A6-4B87-9A59-4A8F3C2636EB}"/>
    <cellStyle name="Normal 9 3 2 2 2 8" xfId="9150" xr:uid="{F54F74BE-A583-4C94-A198-8E0D27AD7F4F}"/>
    <cellStyle name="Normal 9 3 2 2 2 9" xfId="10003" xr:uid="{8B24CF53-7DD9-4154-A21F-7BD1A3EEEA2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B5BF22E8-876A-40E6-BF1F-2708F2E395BE}"/>
    <cellStyle name="Normal 9 3 2 2 3 2 3" xfId="12560" xr:uid="{BD2E37B1-B31C-47E8-92FD-1D347C8AC026}"/>
    <cellStyle name="Normal 9 3 2 2 3 3" xfId="5306" xr:uid="{00000000-0005-0000-0000-0000C31F0000}"/>
    <cellStyle name="Normal 9 3 2 2 3 3 2" xfId="14632" xr:uid="{A4B1E494-D18C-48B8-A2E6-7F9F6F239B27}"/>
    <cellStyle name="Normal 9 3 2 2 3 4" xfId="9368" xr:uid="{B3189122-1774-442D-BD5B-8DA329618536}"/>
    <cellStyle name="Normal 9 3 2 2 3 5" xfId="10415" xr:uid="{EF3585B9-D2BD-403E-B5A2-A5A3354CC809}"/>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A737C9D9-F494-4E3D-8419-C22C01EDB3D1}"/>
    <cellStyle name="Normal 9 3 2 2 4 2 3" xfId="12973" xr:uid="{AFDF35DA-925C-446A-9F6A-21C23217F61A}"/>
    <cellStyle name="Normal 9 3 2 2 4 3" xfId="5719" xr:uid="{00000000-0005-0000-0000-0000C71F0000}"/>
    <cellStyle name="Normal 9 3 2 2 4 3 2" xfId="15045" xr:uid="{E346B042-EB01-4235-9666-140E261FF24D}"/>
    <cellStyle name="Normal 9 3 2 2 4 4" xfId="10828" xr:uid="{AF0190D7-6307-4D06-A8B2-349C83A00CD5}"/>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A4EE2663-211D-4F69-A98A-D5475BD74B83}"/>
    <cellStyle name="Normal 9 3 2 2 5 2 3" xfId="13386" xr:uid="{C9E721E2-2127-42DB-830C-CDBDB7C77B72}"/>
    <cellStyle name="Normal 9 3 2 2 5 3" xfId="6132" xr:uid="{00000000-0005-0000-0000-0000CB1F0000}"/>
    <cellStyle name="Normal 9 3 2 2 5 3 2" xfId="15458" xr:uid="{1DA323B2-5D98-42CE-A5AF-3D7DFCB8230F}"/>
    <cellStyle name="Normal 9 3 2 2 5 4" xfId="11241" xr:uid="{5CC369EF-3DEE-4F92-AD11-FA949FE12D4E}"/>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8FDA0A80-4E91-4466-A68E-AB372168C121}"/>
    <cellStyle name="Normal 9 3 2 2 6 2 3" xfId="13799" xr:uid="{1982D0A9-805F-4DD1-A13D-01E97C86B21E}"/>
    <cellStyle name="Normal 9 3 2 2 6 3" xfId="6545" xr:uid="{00000000-0005-0000-0000-0000CF1F0000}"/>
    <cellStyle name="Normal 9 3 2 2 6 3 2" xfId="15871" xr:uid="{023BF056-E9D1-4022-9F47-D32B065C8592}"/>
    <cellStyle name="Normal 9 3 2 2 6 4" xfId="11654" xr:uid="{95E972CD-0C2E-4FB0-9084-A756FAE6327F}"/>
    <cellStyle name="Normal 9 3 2 2 7" xfId="2675" xr:uid="{00000000-0005-0000-0000-0000D01F0000}"/>
    <cellStyle name="Normal 9 3 2 2 7 2" xfId="6958" xr:uid="{00000000-0005-0000-0000-0000D11F0000}"/>
    <cellStyle name="Normal 9 3 2 2 7 2 2" xfId="16284" xr:uid="{C9C78044-4279-46B0-B694-74794EF83B72}"/>
    <cellStyle name="Normal 9 3 2 2 7 3" xfId="12067" xr:uid="{DE2E7B7D-D70C-4D8A-AD86-76AF53BEDEA2}"/>
    <cellStyle name="Normal 9 3 2 2 8" xfId="4893" xr:uid="{00000000-0005-0000-0000-0000D21F0000}"/>
    <cellStyle name="Normal 9 3 2 2 8 2" xfId="14219" xr:uid="{DE2FAD46-7E69-4227-90EF-5B8B3003648F}"/>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25A9FADA-7A5C-4E86-AF6D-19C574F79497}"/>
    <cellStyle name="Normal 9 3 2 3 2 2 3" xfId="12562" xr:uid="{F959E9DD-57C3-4DDD-9D3B-4DEF36054927}"/>
    <cellStyle name="Normal 9 3 2 3 2 3" xfId="5308" xr:uid="{00000000-0005-0000-0000-0000D71F0000}"/>
    <cellStyle name="Normal 9 3 2 3 2 3 2" xfId="14634" xr:uid="{713DE508-64ED-476A-B077-71A29E640EA3}"/>
    <cellStyle name="Normal 9 3 2 3 2 4" xfId="9472" xr:uid="{427A8E71-9BC4-47C0-A855-6886AF96C97E}"/>
    <cellStyle name="Normal 9 3 2 3 2 5" xfId="10417" xr:uid="{C61CA88D-BCC9-4AD8-978D-D7C532296F8F}"/>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04A779B3-A076-48B9-98DA-BC3D3452EE23}"/>
    <cellStyle name="Normal 9 3 2 3 3 2 3" xfId="12975" xr:uid="{1B37252A-C1E1-4D8F-981E-6DD2A25B308D}"/>
    <cellStyle name="Normal 9 3 2 3 3 3" xfId="5721" xr:uid="{00000000-0005-0000-0000-0000DB1F0000}"/>
    <cellStyle name="Normal 9 3 2 3 3 3 2" xfId="15047" xr:uid="{B6406BB3-C4A0-4021-B217-041EFC84F5CB}"/>
    <cellStyle name="Normal 9 3 2 3 3 4" xfId="10830" xr:uid="{AF406287-0B7E-4599-AD03-C126AB25BFB5}"/>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BD776DB7-AA16-487D-9013-1FB8F4F6C1E8}"/>
    <cellStyle name="Normal 9 3 2 3 4 2 3" xfId="13388" xr:uid="{69224165-AD1A-47BE-9296-1AAB0F9837B9}"/>
    <cellStyle name="Normal 9 3 2 3 4 3" xfId="6134" xr:uid="{00000000-0005-0000-0000-0000DF1F0000}"/>
    <cellStyle name="Normal 9 3 2 3 4 3 2" xfId="15460" xr:uid="{8D4177F4-5FC7-4929-BFB5-1E7293A3F69C}"/>
    <cellStyle name="Normal 9 3 2 3 4 4" xfId="11243" xr:uid="{5729EBF1-7482-4125-A78B-BD3A849AF10B}"/>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33A958D2-7372-47A4-9960-096E74ADFB14}"/>
    <cellStyle name="Normal 9 3 2 3 5 2 3" xfId="13801" xr:uid="{009DFC7E-FF59-4315-BFBA-68708099E86B}"/>
    <cellStyle name="Normal 9 3 2 3 5 3" xfId="6547" xr:uid="{00000000-0005-0000-0000-0000E31F0000}"/>
    <cellStyle name="Normal 9 3 2 3 5 3 2" xfId="15873" xr:uid="{2EB2A6ED-3EA3-47B0-BBA6-BC54E89797AB}"/>
    <cellStyle name="Normal 9 3 2 3 5 4" xfId="11656" xr:uid="{82C7F733-A7F8-47EC-83B7-6450A74C34CD}"/>
    <cellStyle name="Normal 9 3 2 3 6" xfId="2677" xr:uid="{00000000-0005-0000-0000-0000E41F0000}"/>
    <cellStyle name="Normal 9 3 2 3 6 2" xfId="6960" xr:uid="{00000000-0005-0000-0000-0000E51F0000}"/>
    <cellStyle name="Normal 9 3 2 3 6 2 2" xfId="16286" xr:uid="{C28E8AB5-D4E0-440E-A557-CDCE85A00958}"/>
    <cellStyle name="Normal 9 3 2 3 6 3" xfId="12069" xr:uid="{4F311FDB-BF0B-4248-B1B0-F70F2861FB8C}"/>
    <cellStyle name="Normal 9 3 2 3 7" xfId="4895" xr:uid="{00000000-0005-0000-0000-0000E61F0000}"/>
    <cellStyle name="Normal 9 3 2 3 7 2" xfId="14221" xr:uid="{5C2D9426-8E47-4949-919A-EE40891FCD89}"/>
    <cellStyle name="Normal 9 3 2 3 8" xfId="9047" xr:uid="{4CBBBE80-D24B-484D-910E-0072EA0E95DD}"/>
    <cellStyle name="Normal 9 3 2 3 9" xfId="10004" xr:uid="{99EC491B-1737-4AB9-9EC1-8D37F919BF43}"/>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F3BB35D5-0B65-4DE8-94AE-C378EA6DC95D}"/>
    <cellStyle name="Normal 9 3 2 4 2 3" xfId="12559" xr:uid="{A9206D44-8502-48CF-9B67-EB8BCCC9694F}"/>
    <cellStyle name="Normal 9 3 2 4 3" xfId="5305" xr:uid="{00000000-0005-0000-0000-0000EA1F0000}"/>
    <cellStyle name="Normal 9 3 2 4 3 2" xfId="14631" xr:uid="{017F4D26-9E42-4E31-82C5-17367E5DE155}"/>
    <cellStyle name="Normal 9 3 2 4 4" xfId="9265" xr:uid="{BF00A9B8-67BA-48F6-8D48-0E4380D60577}"/>
    <cellStyle name="Normal 9 3 2 4 5" xfId="10414" xr:uid="{9AD8B149-DC7E-4FA8-BE0D-8070A481522A}"/>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FF199300-C635-465B-A8BE-6C55972A7DA8}"/>
    <cellStyle name="Normal 9 3 2 5 2 3" xfId="12972" xr:uid="{5F93E5F3-B338-4D1E-A1AC-03B430146DEC}"/>
    <cellStyle name="Normal 9 3 2 5 3" xfId="5718" xr:uid="{00000000-0005-0000-0000-0000EE1F0000}"/>
    <cellStyle name="Normal 9 3 2 5 3 2" xfId="15044" xr:uid="{81B38FC0-A7C8-4CEF-A074-5274EDA64EE7}"/>
    <cellStyle name="Normal 9 3 2 5 4" xfId="10827" xr:uid="{75AB9FB3-AFD4-4219-A11F-068163E68AEF}"/>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EE6FB5A1-C0B3-458B-9659-7609D8FDB957}"/>
    <cellStyle name="Normal 9 3 2 6 2 3" xfId="13385" xr:uid="{0F331F06-A5D5-4D65-8C8D-51FE54E7C497}"/>
    <cellStyle name="Normal 9 3 2 6 3" xfId="6131" xr:uid="{00000000-0005-0000-0000-0000F21F0000}"/>
    <cellStyle name="Normal 9 3 2 6 3 2" xfId="15457" xr:uid="{53B63B3D-B3D0-4F50-8F2C-F9ACFDC89017}"/>
    <cellStyle name="Normal 9 3 2 6 4" xfId="11240" xr:uid="{281CC47E-1DD0-407D-BAAB-70E7F67F66DB}"/>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B14F2290-98CB-4B8F-899E-E96E68A13FD3}"/>
    <cellStyle name="Normal 9 3 2 7 2 3" xfId="13798" xr:uid="{542DD854-2EB8-4D7E-835F-AA7D653A88E6}"/>
    <cellStyle name="Normal 9 3 2 7 3" xfId="6544" xr:uid="{00000000-0005-0000-0000-0000F61F0000}"/>
    <cellStyle name="Normal 9 3 2 7 3 2" xfId="15870" xr:uid="{A394ADF9-104A-4CA9-9997-A9E8AB74DF66}"/>
    <cellStyle name="Normal 9 3 2 7 4" xfId="11653" xr:uid="{D6EF35EC-1AE3-4C95-B34B-8C5FD5CDC97E}"/>
    <cellStyle name="Normal 9 3 2 8" xfId="2674" xr:uid="{00000000-0005-0000-0000-0000F71F0000}"/>
    <cellStyle name="Normal 9 3 2 8 2" xfId="6957" xr:uid="{00000000-0005-0000-0000-0000F81F0000}"/>
    <cellStyle name="Normal 9 3 2 8 2 2" xfId="16283" xr:uid="{28FFA3FE-CB28-455F-8B67-3EA18A9277AD}"/>
    <cellStyle name="Normal 9 3 2 8 3" xfId="12066" xr:uid="{0238FB0B-D2DC-453F-B0CB-D506F7B53CB7}"/>
    <cellStyle name="Normal 9 3 2 9" xfId="4892" xr:uid="{00000000-0005-0000-0000-0000F91F0000}"/>
    <cellStyle name="Normal 9 3 2 9 2" xfId="14218" xr:uid="{CBC67917-9597-4CFA-A390-D8106DD2A9CB}"/>
    <cellStyle name="Normal 9 3 3" xfId="532" xr:uid="{00000000-0005-0000-0000-0000FA1F0000}"/>
    <cellStyle name="Normal 9 3 3 10" xfId="10005" xr:uid="{EF2908F3-D6F9-461A-B9B8-82BB7966367B}"/>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47996040-7BC4-490D-90AD-58DA241C3320}"/>
    <cellStyle name="Normal 9 3 3 2 2 2 3" xfId="12564" xr:uid="{9EA71FB3-4336-4276-A671-80380EB5942D}"/>
    <cellStyle name="Normal 9 3 3 2 2 3" xfId="5310" xr:uid="{00000000-0005-0000-0000-0000FF1F0000}"/>
    <cellStyle name="Normal 9 3 3 2 2 3 2" xfId="14636" xr:uid="{070778EF-12A6-4A07-8E6B-A1F51ABF3C0E}"/>
    <cellStyle name="Normal 9 3 3 2 2 4" xfId="9512" xr:uid="{2D87B26D-94B2-43FF-B3AD-59DF0A117D21}"/>
    <cellStyle name="Normal 9 3 3 2 2 5" xfId="10419" xr:uid="{26E625BB-71B9-422D-A966-DD9EBC678359}"/>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235B95AA-7B08-49EA-B4F3-3267E8341A83}"/>
    <cellStyle name="Normal 9 3 3 2 3 2 3" xfId="12977" xr:uid="{9651B4F8-28F2-423C-BD2D-BE1C66DCAC0D}"/>
    <cellStyle name="Normal 9 3 3 2 3 3" xfId="5723" xr:uid="{00000000-0005-0000-0000-000003200000}"/>
    <cellStyle name="Normal 9 3 3 2 3 3 2" xfId="15049" xr:uid="{D92B7EAD-8A88-4BB1-8B0A-DAEC6207F5FA}"/>
    <cellStyle name="Normal 9 3 3 2 3 4" xfId="10832" xr:uid="{365C764E-0860-4650-B66B-901CD35B18B3}"/>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A2DE89C2-D856-4CD2-9B74-9EA27CB3BBD0}"/>
    <cellStyle name="Normal 9 3 3 2 4 2 3" xfId="13390" xr:uid="{B82AFDFE-D13B-4B8B-912C-430982FB3FEF}"/>
    <cellStyle name="Normal 9 3 3 2 4 3" xfId="6136" xr:uid="{00000000-0005-0000-0000-000007200000}"/>
    <cellStyle name="Normal 9 3 3 2 4 3 2" xfId="15462" xr:uid="{B7745C36-A915-4616-9C3A-F7F2BD140267}"/>
    <cellStyle name="Normal 9 3 3 2 4 4" xfId="11245" xr:uid="{45DF4E6A-1EA7-433F-A0CC-23E172546B28}"/>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1DE5C3DE-BB66-4A0C-B9AC-816A8DD81585}"/>
    <cellStyle name="Normal 9 3 3 2 5 2 3" xfId="13803" xr:uid="{60F7E879-3687-4A13-BF84-45EAD07DE60C}"/>
    <cellStyle name="Normal 9 3 3 2 5 3" xfId="6549" xr:uid="{00000000-0005-0000-0000-00000B200000}"/>
    <cellStyle name="Normal 9 3 3 2 5 3 2" xfId="15875" xr:uid="{90128208-A0CA-4C8E-B4C5-60E00F3B42AF}"/>
    <cellStyle name="Normal 9 3 3 2 5 4" xfId="11658" xr:uid="{3EB8041A-EEA7-46D4-981B-471BCC0E31EC}"/>
    <cellStyle name="Normal 9 3 3 2 6" xfId="2679" xr:uid="{00000000-0005-0000-0000-00000C200000}"/>
    <cellStyle name="Normal 9 3 3 2 6 2" xfId="6962" xr:uid="{00000000-0005-0000-0000-00000D200000}"/>
    <cellStyle name="Normal 9 3 3 2 6 2 2" xfId="16288" xr:uid="{2BC651DE-144B-49F6-A09E-8E98C472E12D}"/>
    <cellStyle name="Normal 9 3 3 2 6 3" xfId="12071" xr:uid="{3E841B70-C686-409C-833F-9E14DEE849E5}"/>
    <cellStyle name="Normal 9 3 3 2 7" xfId="4897" xr:uid="{00000000-0005-0000-0000-00000E200000}"/>
    <cellStyle name="Normal 9 3 3 2 7 2" xfId="14223" xr:uid="{32033AFA-82DC-49F6-BA6F-6F98C31E8A4E}"/>
    <cellStyle name="Normal 9 3 3 2 8" xfId="9087" xr:uid="{B1C8DB1F-59B6-4D6A-B3E7-0CFC4D29D9A9}"/>
    <cellStyle name="Normal 9 3 3 2 9" xfId="10006" xr:uid="{76D5EAC9-7F1F-47C9-B5AE-0335C903255B}"/>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20AD68AA-7E9D-426C-A9EC-60FE8EB6DE3D}"/>
    <cellStyle name="Normal 9 3 3 3 2 3" xfId="12563" xr:uid="{C81EC4E4-9703-4B6D-AD45-8852DA489D46}"/>
    <cellStyle name="Normal 9 3 3 3 3" xfId="5309" xr:uid="{00000000-0005-0000-0000-000012200000}"/>
    <cellStyle name="Normal 9 3 3 3 3 2" xfId="14635" xr:uid="{D8ED569C-73DD-453A-B0AB-A46051ECA264}"/>
    <cellStyle name="Normal 9 3 3 3 4" xfId="9305" xr:uid="{F54F3A88-B268-4905-B4D1-34B996B920C6}"/>
    <cellStyle name="Normal 9 3 3 3 5" xfId="10418" xr:uid="{97371810-87FC-490B-B87C-1D5A62AFEAC0}"/>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DB4A5A8E-BEB9-410A-94EB-8AF0AA3E865C}"/>
    <cellStyle name="Normal 9 3 3 4 2 3" xfId="12976" xr:uid="{FCBB5073-FFB7-46A0-A47D-B829C1D8B3D4}"/>
    <cellStyle name="Normal 9 3 3 4 3" xfId="5722" xr:uid="{00000000-0005-0000-0000-000016200000}"/>
    <cellStyle name="Normal 9 3 3 4 3 2" xfId="15048" xr:uid="{9C122DF8-240E-4D53-8328-11EB097BE34B}"/>
    <cellStyle name="Normal 9 3 3 4 4" xfId="10831" xr:uid="{DC9EC93F-7810-4B32-92BD-591A3CE58985}"/>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8E8DB751-4A3F-4F02-9CC3-17DD8514C31B}"/>
    <cellStyle name="Normal 9 3 3 5 2 3" xfId="13389" xr:uid="{10EBB193-BC98-4BC7-BC0C-A160CF0F3538}"/>
    <cellStyle name="Normal 9 3 3 5 3" xfId="6135" xr:uid="{00000000-0005-0000-0000-00001A200000}"/>
    <cellStyle name="Normal 9 3 3 5 3 2" xfId="15461" xr:uid="{D8567F2A-900E-4BE6-A504-2A6FFBA6072C}"/>
    <cellStyle name="Normal 9 3 3 5 4" xfId="11244" xr:uid="{6C9966F0-A59F-475D-B47F-D578C6ABDDB0}"/>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AF3ED924-B180-448C-A63B-E8ED728B18AA}"/>
    <cellStyle name="Normal 9 3 3 6 2 3" xfId="13802" xr:uid="{ECD567D7-DBD8-4A66-A216-6CEDBEA6A86D}"/>
    <cellStyle name="Normal 9 3 3 6 3" xfId="6548" xr:uid="{00000000-0005-0000-0000-00001E200000}"/>
    <cellStyle name="Normal 9 3 3 6 3 2" xfId="15874" xr:uid="{C53D5D06-FDCF-447E-A340-66B7B59A12B4}"/>
    <cellStyle name="Normal 9 3 3 6 4" xfId="11657" xr:uid="{1BDEB5D8-D5E7-4B5D-8622-672DB6443D15}"/>
    <cellStyle name="Normal 9 3 3 7" xfId="2678" xr:uid="{00000000-0005-0000-0000-00001F200000}"/>
    <cellStyle name="Normal 9 3 3 7 2" xfId="6961" xr:uid="{00000000-0005-0000-0000-000020200000}"/>
    <cellStyle name="Normal 9 3 3 7 2 2" xfId="16287" xr:uid="{6FE6F7F6-3568-4D86-9F38-D6D9FEE3FC51}"/>
    <cellStyle name="Normal 9 3 3 7 3" xfId="12070" xr:uid="{A5E22D32-21A9-4E95-B4D6-EFCCB7E4AC3A}"/>
    <cellStyle name="Normal 9 3 3 8" xfId="4896" xr:uid="{00000000-0005-0000-0000-000021200000}"/>
    <cellStyle name="Normal 9 3 3 8 2" xfId="14222" xr:uid="{B588A1D9-CF42-4452-B209-8FD025F4E74B}"/>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A7E71426-CACE-4517-8733-21BF5210CB1D}"/>
    <cellStyle name="Normal 9 3 4 2 2 3" xfId="12565" xr:uid="{81926052-F155-4F31-8657-DA2707B4F878}"/>
    <cellStyle name="Normal 9 3 4 2 3" xfId="5311" xr:uid="{00000000-0005-0000-0000-000026200000}"/>
    <cellStyle name="Normal 9 3 4 2 3 2" xfId="14637" xr:uid="{67245BEE-6DAE-4430-A70B-71E0CE526148}"/>
    <cellStyle name="Normal 9 3 4 2 4" xfId="9409" xr:uid="{F8EFC02C-357C-44AD-9BF7-6459F3C595DA}"/>
    <cellStyle name="Normal 9 3 4 2 5" xfId="10420" xr:uid="{61CAF778-F3C3-4AB6-8641-BC240AD6DDAF}"/>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DF3689F2-0D30-4B1C-A25E-63CBA1664E4E}"/>
    <cellStyle name="Normal 9 3 4 3 2 3" xfId="12978" xr:uid="{AA168292-F898-4231-9EF1-8CF3E29BC997}"/>
    <cellStyle name="Normal 9 3 4 3 3" xfId="5724" xr:uid="{00000000-0005-0000-0000-00002A200000}"/>
    <cellStyle name="Normal 9 3 4 3 3 2" xfId="15050" xr:uid="{E70BC6C2-3692-4E9D-AE61-F3D35DD119C2}"/>
    <cellStyle name="Normal 9 3 4 3 4" xfId="10833" xr:uid="{B7B8D575-2384-4F1B-B2BD-C6C14BDF4F55}"/>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07262BEA-FEF1-4C58-96B5-AEF40A00C35C}"/>
    <cellStyle name="Normal 9 3 4 4 2 3" xfId="13391" xr:uid="{8FF04D6F-32E5-4392-819D-A92115232E52}"/>
    <cellStyle name="Normal 9 3 4 4 3" xfId="6137" xr:uid="{00000000-0005-0000-0000-00002E200000}"/>
    <cellStyle name="Normal 9 3 4 4 3 2" xfId="15463" xr:uid="{416B0F85-EE97-4DB2-A3B6-7A91384FC698}"/>
    <cellStyle name="Normal 9 3 4 4 4" xfId="11246" xr:uid="{4BD87893-B27D-48FD-ADFE-1FCFA181168C}"/>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51237E21-A08D-4BA3-B619-4433ED419B71}"/>
    <cellStyle name="Normal 9 3 4 5 2 3" xfId="13804" xr:uid="{44EF20C8-2592-43C8-991F-0BA849E6F2E6}"/>
    <cellStyle name="Normal 9 3 4 5 3" xfId="6550" xr:uid="{00000000-0005-0000-0000-000032200000}"/>
    <cellStyle name="Normal 9 3 4 5 3 2" xfId="15876" xr:uid="{F8A2CD99-871D-42E8-8E32-83AD807CBA24}"/>
    <cellStyle name="Normal 9 3 4 5 4" xfId="11659" xr:uid="{A183CB6B-4F34-4EA7-B793-D5F660DCA7EA}"/>
    <cellStyle name="Normal 9 3 4 6" xfId="2680" xr:uid="{00000000-0005-0000-0000-000033200000}"/>
    <cellStyle name="Normal 9 3 4 6 2" xfId="6963" xr:uid="{00000000-0005-0000-0000-000034200000}"/>
    <cellStyle name="Normal 9 3 4 6 2 2" xfId="16289" xr:uid="{724C6FBA-184B-4F29-8B50-83A08329A832}"/>
    <cellStyle name="Normal 9 3 4 6 3" xfId="12072" xr:uid="{D48FDC43-C300-470C-9454-E11626FA6FBA}"/>
    <cellStyle name="Normal 9 3 4 7" xfId="4898" xr:uid="{00000000-0005-0000-0000-000035200000}"/>
    <cellStyle name="Normal 9 3 4 7 2" xfId="14224" xr:uid="{8D33006D-94FA-48A5-ADCB-5F2E26CAA31C}"/>
    <cellStyle name="Normal 9 3 4 8" xfId="8984" xr:uid="{A39B104A-EAEF-4D5B-B504-6104111E924B}"/>
    <cellStyle name="Normal 9 3 4 9" xfId="10007" xr:uid="{D87C8982-C8C2-42F8-95D5-A8603B292FFD}"/>
    <cellStyle name="Normal 9 3 5" xfId="994" xr:uid="{00000000-0005-0000-0000-000036200000}"/>
    <cellStyle name="Normal 9 3 5 2" xfId="3227" xr:uid="{00000000-0005-0000-0000-000037200000}"/>
    <cellStyle name="Normal 9 3 5 2 2" xfId="7449" xr:uid="{00000000-0005-0000-0000-000038200000}"/>
    <cellStyle name="Normal 9 3 5 2 2 2" xfId="16775" xr:uid="{5ABF37A1-FEDB-4444-B6EE-1EDA5D875D9C}"/>
    <cellStyle name="Normal 9 3 5 2 3" xfId="12558" xr:uid="{376A4F46-F867-4341-A59E-E7ACAB1CBDB6}"/>
    <cellStyle name="Normal 9 3 5 3" xfId="5304" xr:uid="{00000000-0005-0000-0000-000039200000}"/>
    <cellStyle name="Normal 9 3 5 3 2" xfId="14630" xr:uid="{BE2E4139-4ADF-438F-B17C-69BE5CA5126C}"/>
    <cellStyle name="Normal 9 3 5 4" xfId="9201" xr:uid="{46D523D7-8DEB-46FB-8F1C-8CE8C2FC3AD3}"/>
    <cellStyle name="Normal 9 3 5 5" xfId="10413" xr:uid="{6F84896B-9231-4BA0-8A5C-F6BAA0FB82F3}"/>
    <cellStyle name="Normal 9 3 6" xfId="1410" xr:uid="{00000000-0005-0000-0000-00003A200000}"/>
    <cellStyle name="Normal 9 3 6 2" xfId="3640" xr:uid="{00000000-0005-0000-0000-00003B200000}"/>
    <cellStyle name="Normal 9 3 6 2 2" xfId="7862" xr:uid="{00000000-0005-0000-0000-00003C200000}"/>
    <cellStyle name="Normal 9 3 6 2 2 2" xfId="17188" xr:uid="{81785000-E420-453A-AD90-E0CD7BB4F584}"/>
    <cellStyle name="Normal 9 3 6 2 3" xfId="12971" xr:uid="{17ADDF1F-1BC2-4A1F-877E-0DECA302D4FA}"/>
    <cellStyle name="Normal 9 3 6 3" xfId="5717" xr:uid="{00000000-0005-0000-0000-00003D200000}"/>
    <cellStyle name="Normal 9 3 6 3 2" xfId="15043" xr:uid="{0F048CE4-A7D2-4578-AD93-85851A4C7D13}"/>
    <cellStyle name="Normal 9 3 6 4" xfId="10826" xr:uid="{B30A844E-AA0F-4D3F-84F0-94784158C4C3}"/>
    <cellStyle name="Normal 9 3 7" xfId="1823" xr:uid="{00000000-0005-0000-0000-00003E200000}"/>
    <cellStyle name="Normal 9 3 7 2" xfId="4053" xr:uid="{00000000-0005-0000-0000-00003F200000}"/>
    <cellStyle name="Normal 9 3 7 2 2" xfId="8275" xr:uid="{00000000-0005-0000-0000-000040200000}"/>
    <cellStyle name="Normal 9 3 7 2 2 2" xfId="17601" xr:uid="{D077DE9A-B323-4A61-84FD-904B93BB9C5D}"/>
    <cellStyle name="Normal 9 3 7 2 3" xfId="13384" xr:uid="{3BFDE43E-6EF9-42F6-A89A-E3257DA0CC88}"/>
    <cellStyle name="Normal 9 3 7 3" xfId="6130" xr:uid="{00000000-0005-0000-0000-000041200000}"/>
    <cellStyle name="Normal 9 3 7 3 2" xfId="15456" xr:uid="{01037969-D38D-4A76-B6EF-48525C4FCAAC}"/>
    <cellStyle name="Normal 9 3 7 4" xfId="11239" xr:uid="{B6D005F4-3554-4CAA-80AA-180CFFEDA538}"/>
    <cellStyle name="Normal 9 3 8" xfId="2237" xr:uid="{00000000-0005-0000-0000-000042200000}"/>
    <cellStyle name="Normal 9 3 8 2" xfId="4466" xr:uid="{00000000-0005-0000-0000-000043200000}"/>
    <cellStyle name="Normal 9 3 8 2 2" xfId="8688" xr:uid="{00000000-0005-0000-0000-000044200000}"/>
    <cellStyle name="Normal 9 3 8 2 2 2" xfId="18014" xr:uid="{AAC67B17-013F-4BFB-A508-30F8CEE4E62E}"/>
    <cellStyle name="Normal 9 3 8 2 3" xfId="13797" xr:uid="{5611F8CF-B749-45C0-90B7-95169BF080C3}"/>
    <cellStyle name="Normal 9 3 8 3" xfId="6543" xr:uid="{00000000-0005-0000-0000-000045200000}"/>
    <cellStyle name="Normal 9 3 8 3 2" xfId="15869" xr:uid="{8785A5DB-2115-449B-AF8C-5005BDF4B758}"/>
    <cellStyle name="Normal 9 3 8 4" xfId="11652" xr:uid="{7FB7BB58-9961-4187-BA5E-445B5E36F3AD}"/>
    <cellStyle name="Normal 9 3 9" xfId="2673" xr:uid="{00000000-0005-0000-0000-000046200000}"/>
    <cellStyle name="Normal 9 3 9 2" xfId="6956" xr:uid="{00000000-0005-0000-0000-000047200000}"/>
    <cellStyle name="Normal 9 3 9 2 2" xfId="16282" xr:uid="{D2396A92-43E0-4229-8862-BC98F5EC8012}"/>
    <cellStyle name="Normal 9 3 9 3" xfId="12065" xr:uid="{A95B82B6-5DCA-4F46-B882-89F263E6312E}"/>
    <cellStyle name="Normal 9 4" xfId="535" xr:uid="{00000000-0005-0000-0000-000048200000}"/>
    <cellStyle name="Normal 9 4 2" xfId="1002" xr:uid="{00000000-0005-0000-0000-000049200000}"/>
    <cellStyle name="Normal 9 5" xfId="536" xr:uid="{00000000-0005-0000-0000-00004A200000}"/>
    <cellStyle name="Normal 9 5 10" xfId="10008" xr:uid="{B55578B4-6B23-4824-B068-2F5C7A1DFEF6}"/>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A099A771-B4E1-4FA9-B369-FE18287315C1}"/>
    <cellStyle name="Normal 9 5 2 2 2 3" xfId="12567" xr:uid="{DB5605A4-69C1-4EAD-A440-6F13638CE7AD}"/>
    <cellStyle name="Normal 9 5 2 2 3" xfId="5313" xr:uid="{00000000-0005-0000-0000-00004F200000}"/>
    <cellStyle name="Normal 9 5 2 2 3 2" xfId="14639" xr:uid="{DA16B70C-95F3-42AB-8EE4-4895054CD258}"/>
    <cellStyle name="Normal 9 5 2 2 4" xfId="9480" xr:uid="{BC9702BE-C2B3-450A-99DF-6FFE7C7A82FD}"/>
    <cellStyle name="Normal 9 5 2 2 5" xfId="10422" xr:uid="{2C52F80C-0FDC-4A76-AD6D-BA8F22F1BFB3}"/>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AAD9FA62-5361-407D-8D56-EE10A076FF3D}"/>
    <cellStyle name="Normal 9 5 2 3 2 3" xfId="12980" xr:uid="{5608B5D9-AE3F-4A73-9EA1-AEA0F8BB0852}"/>
    <cellStyle name="Normal 9 5 2 3 3" xfId="5726" xr:uid="{00000000-0005-0000-0000-000053200000}"/>
    <cellStyle name="Normal 9 5 2 3 3 2" xfId="15052" xr:uid="{2B549505-5EA2-4BA1-A72B-72901EA4B03D}"/>
    <cellStyle name="Normal 9 5 2 3 4" xfId="10835" xr:uid="{13B902D4-B241-4CA5-86FF-87AC90D317CD}"/>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AA33D3CC-F942-449F-81EE-66734864A89F}"/>
    <cellStyle name="Normal 9 5 2 4 2 3" xfId="13393" xr:uid="{E7009E62-40B5-44DF-B1CE-C44AD774E715}"/>
    <cellStyle name="Normal 9 5 2 4 3" xfId="6139" xr:uid="{00000000-0005-0000-0000-000057200000}"/>
    <cellStyle name="Normal 9 5 2 4 3 2" xfId="15465" xr:uid="{C93D7109-0A72-402E-A920-57158F7B1F06}"/>
    <cellStyle name="Normal 9 5 2 4 4" xfId="11248" xr:uid="{251FEB0B-B296-4D28-861F-0A66C00A9515}"/>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ED0676F7-D1E0-464A-8B33-FF01AB341514}"/>
    <cellStyle name="Normal 9 5 2 5 2 3" xfId="13806" xr:uid="{3029B3B8-C0FD-4D62-AD8E-206AA5EBD3C8}"/>
    <cellStyle name="Normal 9 5 2 5 3" xfId="6552" xr:uid="{00000000-0005-0000-0000-00005B200000}"/>
    <cellStyle name="Normal 9 5 2 5 3 2" xfId="15878" xr:uid="{C9DB9FAF-EE56-4713-8631-1159F34B694C}"/>
    <cellStyle name="Normal 9 5 2 5 4" xfId="11661" xr:uid="{0F0F31BD-60F9-4939-B9CB-52ABDCE04E2D}"/>
    <cellStyle name="Normal 9 5 2 6" xfId="2682" xr:uid="{00000000-0005-0000-0000-00005C200000}"/>
    <cellStyle name="Normal 9 5 2 6 2" xfId="6965" xr:uid="{00000000-0005-0000-0000-00005D200000}"/>
    <cellStyle name="Normal 9 5 2 6 2 2" xfId="16291" xr:uid="{EB1A3789-6910-4DFF-B10F-3029FDC09E7F}"/>
    <cellStyle name="Normal 9 5 2 6 3" xfId="12074" xr:uid="{8D7100EA-8AD4-4FDB-807C-34B3511708A0}"/>
    <cellStyle name="Normal 9 5 2 7" xfId="4900" xr:uid="{00000000-0005-0000-0000-00005E200000}"/>
    <cellStyle name="Normal 9 5 2 7 2" xfId="14226" xr:uid="{71634621-C02F-4091-9D92-C543055C2678}"/>
    <cellStyle name="Normal 9 5 2 8" xfId="9055" xr:uid="{3DD071E2-A4B3-45E3-9F20-3C2D5AEE5CB2}"/>
    <cellStyle name="Normal 9 5 2 9" xfId="10009" xr:uid="{48E7BDE3-D552-4725-A847-94CFB9428AE1}"/>
    <cellStyle name="Normal 9 5 3" xfId="1003" xr:uid="{00000000-0005-0000-0000-00005F200000}"/>
    <cellStyle name="Normal 9 5 3 2" xfId="3235" xr:uid="{00000000-0005-0000-0000-000060200000}"/>
    <cellStyle name="Normal 9 5 3 2 2" xfId="7457" xr:uid="{00000000-0005-0000-0000-000061200000}"/>
    <cellStyle name="Normal 9 5 3 2 2 2" xfId="16783" xr:uid="{9935DB79-BA39-4B4E-BAC1-650849252B72}"/>
    <cellStyle name="Normal 9 5 3 2 3" xfId="12566" xr:uid="{4CA6060D-6201-4A3B-92D8-B2644263869F}"/>
    <cellStyle name="Normal 9 5 3 3" xfId="5312" xr:uid="{00000000-0005-0000-0000-000062200000}"/>
    <cellStyle name="Normal 9 5 3 3 2" xfId="14638" xr:uid="{EEEE87AE-A366-4D67-9C5F-EC7085D0C3FD}"/>
    <cellStyle name="Normal 9 5 3 4" xfId="9273" xr:uid="{AE6CB61B-02C5-436E-A328-3B2AC8AC9E53}"/>
    <cellStyle name="Normal 9 5 3 5" xfId="10421" xr:uid="{B78F2B1C-657E-4E97-B6FC-413839018E97}"/>
    <cellStyle name="Normal 9 5 4" xfId="1418" xr:uid="{00000000-0005-0000-0000-000063200000}"/>
    <cellStyle name="Normal 9 5 4 2" xfId="3648" xr:uid="{00000000-0005-0000-0000-000064200000}"/>
    <cellStyle name="Normal 9 5 4 2 2" xfId="7870" xr:uid="{00000000-0005-0000-0000-000065200000}"/>
    <cellStyle name="Normal 9 5 4 2 2 2" xfId="17196" xr:uid="{69B3C55A-F187-4957-8CEC-F43CAB6F20D6}"/>
    <cellStyle name="Normal 9 5 4 2 3" xfId="12979" xr:uid="{620C9FD5-A668-4E00-9BC3-CA6D41CA599E}"/>
    <cellStyle name="Normal 9 5 4 3" xfId="5725" xr:uid="{00000000-0005-0000-0000-000066200000}"/>
    <cellStyle name="Normal 9 5 4 3 2" xfId="15051" xr:uid="{14EC379A-4A10-4890-BB36-6F2623180093}"/>
    <cellStyle name="Normal 9 5 4 4" xfId="10834" xr:uid="{C8E164D9-B0EB-4CB5-B74F-396747D79CA9}"/>
    <cellStyle name="Normal 9 5 5" xfId="1831" xr:uid="{00000000-0005-0000-0000-000067200000}"/>
    <cellStyle name="Normal 9 5 5 2" xfId="4061" xr:uid="{00000000-0005-0000-0000-000068200000}"/>
    <cellStyle name="Normal 9 5 5 2 2" xfId="8283" xr:uid="{00000000-0005-0000-0000-000069200000}"/>
    <cellStyle name="Normal 9 5 5 2 2 2" xfId="17609" xr:uid="{C9F39211-E344-4F12-BDD8-A641CEB37CCC}"/>
    <cellStyle name="Normal 9 5 5 2 3" xfId="13392" xr:uid="{C0FC2293-6DA4-40F6-B244-2B4C81EE09A4}"/>
    <cellStyle name="Normal 9 5 5 3" xfId="6138" xr:uid="{00000000-0005-0000-0000-00006A200000}"/>
    <cellStyle name="Normal 9 5 5 3 2" xfId="15464" xr:uid="{6C2C4D19-ED44-470E-B5E0-374151045B11}"/>
    <cellStyle name="Normal 9 5 5 4" xfId="11247" xr:uid="{54DEAE78-3FB2-48AA-9626-CD387F9FD3E2}"/>
    <cellStyle name="Normal 9 5 6" xfId="2245" xr:uid="{00000000-0005-0000-0000-00006B200000}"/>
    <cellStyle name="Normal 9 5 6 2" xfId="4474" xr:uid="{00000000-0005-0000-0000-00006C200000}"/>
    <cellStyle name="Normal 9 5 6 2 2" xfId="8696" xr:uid="{00000000-0005-0000-0000-00006D200000}"/>
    <cellStyle name="Normal 9 5 6 2 2 2" xfId="18022" xr:uid="{2F506023-B546-4792-BDEE-6364B8560BFE}"/>
    <cellStyle name="Normal 9 5 6 2 3" xfId="13805" xr:uid="{C692F91D-936F-403E-A4BD-AA49976FE7C2}"/>
    <cellStyle name="Normal 9 5 6 3" xfId="6551" xr:uid="{00000000-0005-0000-0000-00006E200000}"/>
    <cellStyle name="Normal 9 5 6 3 2" xfId="15877" xr:uid="{22019E02-8793-42F9-9756-016A1609A803}"/>
    <cellStyle name="Normal 9 5 6 4" xfId="11660" xr:uid="{E048521D-7EE0-40CC-A205-D12DC1412069}"/>
    <cellStyle name="Normal 9 5 7" xfId="2681" xr:uid="{00000000-0005-0000-0000-00006F200000}"/>
    <cellStyle name="Normal 9 5 7 2" xfId="6964" xr:uid="{00000000-0005-0000-0000-000070200000}"/>
    <cellStyle name="Normal 9 5 7 2 2" xfId="16290" xr:uid="{D5B4C89C-1DFE-4C5F-8742-5EDCFEC82222}"/>
    <cellStyle name="Normal 9 5 7 3" xfId="12073" xr:uid="{F071A0A6-CFE2-4B58-8286-022AC59B6376}"/>
    <cellStyle name="Normal 9 5 8" xfId="4899" xr:uid="{00000000-0005-0000-0000-000071200000}"/>
    <cellStyle name="Normal 9 5 8 2" xfId="14225" xr:uid="{B6751D34-9449-450E-8EFA-CCC1AE22D076}"/>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EB5E784B-728E-421C-9394-74BC4CE41A54}"/>
    <cellStyle name="Normal 9 6 2 2 3" xfId="12568" xr:uid="{DF53A95C-DBCE-4B4E-96B4-A4F0B54F81A9}"/>
    <cellStyle name="Normal 9 6 2 3" xfId="5314" xr:uid="{00000000-0005-0000-0000-000076200000}"/>
    <cellStyle name="Normal 9 6 2 3 2" xfId="14640" xr:uid="{A044454C-5210-4B51-81ED-8DAED30FAC5A}"/>
    <cellStyle name="Normal 9 6 2 4" xfId="9389" xr:uid="{2A0458F6-466A-4C3B-BA39-FF09FD770FDD}"/>
    <cellStyle name="Normal 9 6 2 5" xfId="10423" xr:uid="{1252538B-18AE-4B85-9EFF-DE8DADE775EB}"/>
    <cellStyle name="Normal 9 6 3" xfId="1420" xr:uid="{00000000-0005-0000-0000-000077200000}"/>
    <cellStyle name="Normal 9 6 3 2" xfId="3650" xr:uid="{00000000-0005-0000-0000-000078200000}"/>
    <cellStyle name="Normal 9 6 3 2 2" xfId="7872" xr:uid="{00000000-0005-0000-0000-000079200000}"/>
    <cellStyle name="Normal 9 6 3 2 2 2" xfId="17198" xr:uid="{BB699140-AECF-45B1-B792-A3374E26547C}"/>
    <cellStyle name="Normal 9 6 3 2 3" xfId="12981" xr:uid="{340AEFAF-300C-405E-83D7-B6EACAFEE03F}"/>
    <cellStyle name="Normal 9 6 3 3" xfId="5727" xr:uid="{00000000-0005-0000-0000-00007A200000}"/>
    <cellStyle name="Normal 9 6 3 3 2" xfId="15053" xr:uid="{C4E4A076-8BE9-4E50-865F-0707AF9FC940}"/>
    <cellStyle name="Normal 9 6 3 4" xfId="10836" xr:uid="{6AC7AE61-673E-46FD-82FF-305733DB561A}"/>
    <cellStyle name="Normal 9 6 4" xfId="1833" xr:uid="{00000000-0005-0000-0000-00007B200000}"/>
    <cellStyle name="Normal 9 6 4 2" xfId="4063" xr:uid="{00000000-0005-0000-0000-00007C200000}"/>
    <cellStyle name="Normal 9 6 4 2 2" xfId="8285" xr:uid="{00000000-0005-0000-0000-00007D200000}"/>
    <cellStyle name="Normal 9 6 4 2 2 2" xfId="17611" xr:uid="{742125C6-0FE7-45A7-9653-7EF2F76BCB24}"/>
    <cellStyle name="Normal 9 6 4 2 3" xfId="13394" xr:uid="{AD81922E-455A-48EC-86FA-AAFB629DCDC6}"/>
    <cellStyle name="Normal 9 6 4 3" xfId="6140" xr:uid="{00000000-0005-0000-0000-00007E200000}"/>
    <cellStyle name="Normal 9 6 4 3 2" xfId="15466" xr:uid="{DFAB508D-0592-4671-A3FE-3D7A456919A6}"/>
    <cellStyle name="Normal 9 6 4 4" xfId="11249" xr:uid="{6ECFE513-5629-4644-8E3A-F0E5877EECFA}"/>
    <cellStyle name="Normal 9 6 5" xfId="2247" xr:uid="{00000000-0005-0000-0000-00007F200000}"/>
    <cellStyle name="Normal 9 6 5 2" xfId="4476" xr:uid="{00000000-0005-0000-0000-000080200000}"/>
    <cellStyle name="Normal 9 6 5 2 2" xfId="8698" xr:uid="{00000000-0005-0000-0000-000081200000}"/>
    <cellStyle name="Normal 9 6 5 2 2 2" xfId="18024" xr:uid="{259F3C47-33E9-4E67-A74B-7067CFE4D95F}"/>
    <cellStyle name="Normal 9 6 5 2 3" xfId="13807" xr:uid="{B3F08109-94A3-4FF3-BE4C-D8692D3917C1}"/>
    <cellStyle name="Normal 9 6 5 3" xfId="6553" xr:uid="{00000000-0005-0000-0000-000082200000}"/>
    <cellStyle name="Normal 9 6 5 3 2" xfId="15879" xr:uid="{6D7EBA36-7C38-4BC1-B029-E2719C04536B}"/>
    <cellStyle name="Normal 9 6 5 4" xfId="11662" xr:uid="{9F6B2FA5-C1DF-4A57-8693-8272BBDD2C74}"/>
    <cellStyle name="Normal 9 6 6" xfId="2683" xr:uid="{00000000-0005-0000-0000-000083200000}"/>
    <cellStyle name="Normal 9 6 6 2" xfId="6966" xr:uid="{00000000-0005-0000-0000-000084200000}"/>
    <cellStyle name="Normal 9 6 6 2 2" xfId="16292" xr:uid="{297A8FEE-9E35-4722-83AB-A01CF8E9432F}"/>
    <cellStyle name="Normal 9 6 6 3" xfId="12075" xr:uid="{34984605-CE96-4151-8C37-F9F3CE24BE27}"/>
    <cellStyle name="Normal 9 6 7" xfId="4901" xr:uid="{00000000-0005-0000-0000-000085200000}"/>
    <cellStyle name="Normal 9 6 7 2" xfId="14227" xr:uid="{F8208163-C606-421B-B43A-7ED818DE9CE9}"/>
    <cellStyle name="Normal 9 6 8" xfId="8964" xr:uid="{9BBC9C46-7A3A-4BC9-9542-DC33DFA165C2}"/>
    <cellStyle name="Normal 9 6 9" xfId="10010" xr:uid="{48BC7CAD-9B9E-4E52-B097-D74051CEA988}"/>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8C02D34F-E4B1-4C01-BD28-E7C17E118686}"/>
    <cellStyle name="Note 2 2 10 3" xfId="12156" xr:uid="{9FDC6882-4E82-4B5B-86D0-9ABB8EBF73C0}"/>
    <cellStyle name="Note 2 2 11" xfId="4902" xr:uid="{00000000-0005-0000-0000-000094200000}"/>
    <cellStyle name="Note 2 2 11 2" xfId="14228" xr:uid="{5BFB12A9-6349-482B-A5D5-34F502EAAFB4}"/>
    <cellStyle name="Note 2 2 12" xfId="8841" xr:uid="{E94E1FD8-31C4-4718-9658-C7A587CBF323}"/>
    <cellStyle name="Note 2 2 13" xfId="10011" xr:uid="{9B01B08D-6C90-4F90-8B5C-CA802A747E47}"/>
    <cellStyle name="Note 2 2 2" xfId="546" xr:uid="{00000000-0005-0000-0000-000095200000}"/>
    <cellStyle name="Note 2 2 2 10" xfId="4903" xr:uid="{00000000-0005-0000-0000-000096200000}"/>
    <cellStyle name="Note 2 2 2 10 2" xfId="14229" xr:uid="{B78C847E-C6FD-4C93-922A-BE0204EC89A5}"/>
    <cellStyle name="Note 2 2 2 11" xfId="8944" xr:uid="{B75A3404-A4A3-41D6-B6C3-54560C6DD592}"/>
    <cellStyle name="Note 2 2 2 12" xfId="10012" xr:uid="{BFF59B49-AA2C-4B08-9E81-467495C6E285}"/>
    <cellStyle name="Note 2 2 2 2" xfId="547" xr:uid="{00000000-0005-0000-0000-000097200000}"/>
    <cellStyle name="Note 2 2 2 2 10" xfId="9151" xr:uid="{DE810DD8-00EC-4339-9CFC-C84D5E182971}"/>
    <cellStyle name="Note 2 2 2 2 11" xfId="10013" xr:uid="{A6F09044-A9FA-4F3B-ACCB-926D4F6656AD}"/>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8174B91A-2C47-4BA4-AF0A-04E8021E44D6}"/>
    <cellStyle name="Note 2 2 2 2 2 2 3" xfId="12571" xr:uid="{6E609806-C936-4D22-8B1D-27829E2A791C}"/>
    <cellStyle name="Note 2 2 2 2 2 3" xfId="5317" xr:uid="{00000000-0005-0000-0000-00009B200000}"/>
    <cellStyle name="Note 2 2 2 2 2 3 2" xfId="14643" xr:uid="{50746F63-5EEE-4E4A-B345-127C9B5CE55D}"/>
    <cellStyle name="Note 2 2 2 2 2 4" xfId="9576" xr:uid="{375E296C-598F-454E-B7C4-9E851CE02ED2}"/>
    <cellStyle name="Note 2 2 2 2 2 5" xfId="10426" xr:uid="{DAB82EC4-3168-4B58-9A4B-FC216B2BA940}"/>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8282D647-3F41-4DF7-B5D0-3D55BA06F4C4}"/>
    <cellStyle name="Note 2 2 2 2 3 2 3" xfId="12984" xr:uid="{07AC8844-6374-4880-B230-6AAB91BE4596}"/>
    <cellStyle name="Note 2 2 2 2 3 3" xfId="5730" xr:uid="{00000000-0005-0000-0000-00009F200000}"/>
    <cellStyle name="Note 2 2 2 2 3 3 2" xfId="15056" xr:uid="{B1FC2DA1-D5B8-4417-8D29-239B01C5F07C}"/>
    <cellStyle name="Note 2 2 2 2 3 4" xfId="10839" xr:uid="{232989E5-5604-45A6-A744-780BD9978C83}"/>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536559B8-B0B9-448F-A6A9-BBA04583425C}"/>
    <cellStyle name="Note 2 2 2 2 4 2 3" xfId="13397" xr:uid="{ABB17693-D5EC-4976-89F5-F5F466BC7D99}"/>
    <cellStyle name="Note 2 2 2 2 4 3" xfId="6143" xr:uid="{00000000-0005-0000-0000-0000A3200000}"/>
    <cellStyle name="Note 2 2 2 2 4 3 2" xfId="15469" xr:uid="{21971D69-7BCC-4F75-9A2F-1F16344C0FC0}"/>
    <cellStyle name="Note 2 2 2 2 4 4" xfId="11252" xr:uid="{213DFAD7-415E-4190-84CC-D58A39C7CA7E}"/>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60FF68FA-A8FF-445E-8B68-05017C104844}"/>
    <cellStyle name="Note 2 2 2 2 5 2 3" xfId="13810" xr:uid="{6C3BD559-76B5-41DA-92E8-E98771B12D93}"/>
    <cellStyle name="Note 2 2 2 2 5 3" xfId="6556" xr:uid="{00000000-0005-0000-0000-0000A7200000}"/>
    <cellStyle name="Note 2 2 2 2 5 3 2" xfId="15882" xr:uid="{54870AF9-FB78-4972-90CF-088AF5EFAAF9}"/>
    <cellStyle name="Note 2 2 2 2 5 4" xfId="11665" xr:uid="{90880072-472D-4F39-BE62-F1FA0678ED7F}"/>
    <cellStyle name="Note 2 2 2 2 6" xfId="2686" xr:uid="{00000000-0005-0000-0000-0000A8200000}"/>
    <cellStyle name="Note 2 2 2 2 6 2" xfId="6969" xr:uid="{00000000-0005-0000-0000-0000A9200000}"/>
    <cellStyle name="Note 2 2 2 2 6 2 2" xfId="16295" xr:uid="{E89139CE-A724-4657-B0B6-F98F1818DB4B}"/>
    <cellStyle name="Note 2 2 2 2 6 3" xfId="12078" xr:uid="{49DAD932-9AB8-4D69-91E1-D15BEC0F0BB2}"/>
    <cellStyle name="Note 2 2 2 2 7" xfId="2745" xr:uid="{00000000-0005-0000-0000-0000AA200000}"/>
    <cellStyle name="Note 2 2 2 2 8" xfId="2826" xr:uid="{00000000-0005-0000-0000-0000AB200000}"/>
    <cellStyle name="Note 2 2 2 2 8 2" xfId="7049" xr:uid="{00000000-0005-0000-0000-0000AC200000}"/>
    <cellStyle name="Note 2 2 2 2 8 2 2" xfId="16375" xr:uid="{AC2AE7D8-F4F3-4879-8E2B-7FE5C4139EAC}"/>
    <cellStyle name="Note 2 2 2 2 8 3" xfId="12158" xr:uid="{8C79A7A6-7240-4166-B2A1-E0C26D7B1CE6}"/>
    <cellStyle name="Note 2 2 2 2 9" xfId="4904" xr:uid="{00000000-0005-0000-0000-0000AD200000}"/>
    <cellStyle name="Note 2 2 2 2 9 2" xfId="14230" xr:uid="{C3B6B726-9ACD-4DD3-B48A-A8D6F4558A86}"/>
    <cellStyle name="Note 2 2 2 3" xfId="1007" xr:uid="{00000000-0005-0000-0000-0000AE200000}"/>
    <cellStyle name="Note 2 2 2 3 2" xfId="3239" xr:uid="{00000000-0005-0000-0000-0000AF200000}"/>
    <cellStyle name="Note 2 2 2 3 2 2" xfId="7461" xr:uid="{00000000-0005-0000-0000-0000B0200000}"/>
    <cellStyle name="Note 2 2 2 3 2 2 2" xfId="16787" xr:uid="{9104A7A1-6425-4BBC-8B34-78D236B3F0C3}"/>
    <cellStyle name="Note 2 2 2 3 2 3" xfId="12570" xr:uid="{E4526031-E5B3-44D7-B47D-62F40E3CE07E}"/>
    <cellStyle name="Note 2 2 2 3 3" xfId="5316" xr:uid="{00000000-0005-0000-0000-0000B1200000}"/>
    <cellStyle name="Note 2 2 2 3 3 2" xfId="14642" xr:uid="{BF431F34-1EE8-4DAE-9028-C7FFC8236357}"/>
    <cellStyle name="Note 2 2 2 3 4" xfId="9369" xr:uid="{37FCA23B-964B-404F-A343-B489211FDCDC}"/>
    <cellStyle name="Note 2 2 2 3 5" xfId="10425" xr:uid="{37989970-1DC9-4186-9E7F-4EBC463B3B9B}"/>
    <cellStyle name="Note 2 2 2 4" xfId="1422" xr:uid="{00000000-0005-0000-0000-0000B2200000}"/>
    <cellStyle name="Note 2 2 2 4 2" xfId="3652" xr:uid="{00000000-0005-0000-0000-0000B3200000}"/>
    <cellStyle name="Note 2 2 2 4 2 2" xfId="7874" xr:uid="{00000000-0005-0000-0000-0000B4200000}"/>
    <cellStyle name="Note 2 2 2 4 2 2 2" xfId="17200" xr:uid="{9A3F4ED0-267B-4E13-A6C5-38DADE5F825A}"/>
    <cellStyle name="Note 2 2 2 4 2 3" xfId="12983" xr:uid="{78682C62-29E8-4526-864D-55ADB66573B8}"/>
    <cellStyle name="Note 2 2 2 4 3" xfId="5729" xr:uid="{00000000-0005-0000-0000-0000B5200000}"/>
    <cellStyle name="Note 2 2 2 4 3 2" xfId="15055" xr:uid="{589DA23B-A1F4-4D13-A2FF-9E8CFE280343}"/>
    <cellStyle name="Note 2 2 2 4 4" xfId="10838" xr:uid="{DF3ABD14-C05C-473C-8A1E-1C7DA03B0F8A}"/>
    <cellStyle name="Note 2 2 2 5" xfId="1836" xr:uid="{00000000-0005-0000-0000-0000B6200000}"/>
    <cellStyle name="Note 2 2 2 5 2" xfId="4065" xr:uid="{00000000-0005-0000-0000-0000B7200000}"/>
    <cellStyle name="Note 2 2 2 5 2 2" xfId="8287" xr:uid="{00000000-0005-0000-0000-0000B8200000}"/>
    <cellStyle name="Note 2 2 2 5 2 2 2" xfId="17613" xr:uid="{8D9905BA-448A-49C2-9A49-E590CD7D39AE}"/>
    <cellStyle name="Note 2 2 2 5 2 3" xfId="13396" xr:uid="{35A9141F-A119-4115-B9B8-FE23FBE9CB23}"/>
    <cellStyle name="Note 2 2 2 5 3" xfId="6142" xr:uid="{00000000-0005-0000-0000-0000B9200000}"/>
    <cellStyle name="Note 2 2 2 5 3 2" xfId="15468" xr:uid="{76AE032A-F259-407C-8578-0ED238080792}"/>
    <cellStyle name="Note 2 2 2 5 4" xfId="11251" xr:uid="{933F22AA-9E9D-40A2-B5B2-7E76E019AC93}"/>
    <cellStyle name="Note 2 2 2 6" xfId="2249" xr:uid="{00000000-0005-0000-0000-0000BA200000}"/>
    <cellStyle name="Note 2 2 2 6 2" xfId="4478" xr:uid="{00000000-0005-0000-0000-0000BB200000}"/>
    <cellStyle name="Note 2 2 2 6 2 2" xfId="8700" xr:uid="{00000000-0005-0000-0000-0000BC200000}"/>
    <cellStyle name="Note 2 2 2 6 2 2 2" xfId="18026" xr:uid="{C3F2A810-4C3A-457B-9A5C-9B2BB9B340D0}"/>
    <cellStyle name="Note 2 2 2 6 2 3" xfId="13809" xr:uid="{27542A2F-6002-410D-B393-7381E35F8C02}"/>
    <cellStyle name="Note 2 2 2 6 3" xfId="6555" xr:uid="{00000000-0005-0000-0000-0000BD200000}"/>
    <cellStyle name="Note 2 2 2 6 3 2" xfId="15881" xr:uid="{56536EB9-5D7F-4A1B-893E-737AB7F3263B}"/>
    <cellStyle name="Note 2 2 2 6 4" xfId="11664" xr:uid="{EC1ED5C3-09F1-4918-884C-0D81322ED33A}"/>
    <cellStyle name="Note 2 2 2 7" xfId="2685" xr:uid="{00000000-0005-0000-0000-0000BE200000}"/>
    <cellStyle name="Note 2 2 2 7 2" xfId="6968" xr:uid="{00000000-0005-0000-0000-0000BF200000}"/>
    <cellStyle name="Note 2 2 2 7 2 2" xfId="16294" xr:uid="{B014A9C1-9C5C-4521-92F5-F748B96B2F63}"/>
    <cellStyle name="Note 2 2 2 7 3" xfId="12077" xr:uid="{2E85A7BB-7AC4-44ED-810B-42CBA9A0B1B5}"/>
    <cellStyle name="Note 2 2 2 8" xfId="2744" xr:uid="{00000000-0005-0000-0000-0000C0200000}"/>
    <cellStyle name="Note 2 2 2 9" xfId="2825" xr:uid="{00000000-0005-0000-0000-0000C1200000}"/>
    <cellStyle name="Note 2 2 2 9 2" xfId="7048" xr:uid="{00000000-0005-0000-0000-0000C2200000}"/>
    <cellStyle name="Note 2 2 2 9 2 2" xfId="16374" xr:uid="{E3ADE9E7-FD37-4CA6-84A1-043C48BB54B4}"/>
    <cellStyle name="Note 2 2 2 9 3" xfId="12157" xr:uid="{AB5D48C3-4A9C-479C-A63D-B3D5EE340DFD}"/>
    <cellStyle name="Note 2 2 3" xfId="548" xr:uid="{00000000-0005-0000-0000-0000C3200000}"/>
    <cellStyle name="Note 2 2 3 10" xfId="9048" xr:uid="{894401FF-B7D8-49E8-91E6-A1C42DD04D54}"/>
    <cellStyle name="Note 2 2 3 11" xfId="10014" xr:uid="{00B66D6C-20AE-4675-B78B-9A3F39DABBD6}"/>
    <cellStyle name="Note 2 2 3 2" xfId="1009" xr:uid="{00000000-0005-0000-0000-0000C4200000}"/>
    <cellStyle name="Note 2 2 3 2 2" xfId="3241" xr:uid="{00000000-0005-0000-0000-0000C5200000}"/>
    <cellStyle name="Note 2 2 3 2 2 2" xfId="7463" xr:uid="{00000000-0005-0000-0000-0000C6200000}"/>
    <cellStyle name="Note 2 2 3 2 2 2 2" xfId="16789" xr:uid="{D46A5097-6D6C-450D-A314-3F152F96CE21}"/>
    <cellStyle name="Note 2 2 3 2 2 3" xfId="12572" xr:uid="{23A6831B-C159-452C-B3B1-38C1A2F9132A}"/>
    <cellStyle name="Note 2 2 3 2 3" xfId="5318" xr:uid="{00000000-0005-0000-0000-0000C7200000}"/>
    <cellStyle name="Note 2 2 3 2 3 2" xfId="14644" xr:uid="{463EFD33-FC0E-42EE-A57E-D980A3B29F08}"/>
    <cellStyle name="Note 2 2 3 2 4" xfId="9473" xr:uid="{7711F4E0-385B-44CD-ACEA-5E9D7E4CD8DC}"/>
    <cellStyle name="Note 2 2 3 2 5" xfId="10427" xr:uid="{C22D95A9-68D0-485D-AA2F-4622791943C4}"/>
    <cellStyle name="Note 2 2 3 3" xfId="1424" xr:uid="{00000000-0005-0000-0000-0000C8200000}"/>
    <cellStyle name="Note 2 2 3 3 2" xfId="3654" xr:uid="{00000000-0005-0000-0000-0000C9200000}"/>
    <cellStyle name="Note 2 2 3 3 2 2" xfId="7876" xr:uid="{00000000-0005-0000-0000-0000CA200000}"/>
    <cellStyle name="Note 2 2 3 3 2 2 2" xfId="17202" xr:uid="{C1984753-92A4-49AC-BCE0-254E74139B81}"/>
    <cellStyle name="Note 2 2 3 3 2 3" xfId="12985" xr:uid="{5F240C8E-0B06-4D02-8744-7A7710E21EFB}"/>
    <cellStyle name="Note 2 2 3 3 3" xfId="5731" xr:uid="{00000000-0005-0000-0000-0000CB200000}"/>
    <cellStyle name="Note 2 2 3 3 3 2" xfId="15057" xr:uid="{18D72503-F9E5-47E8-912E-77A109144510}"/>
    <cellStyle name="Note 2 2 3 3 4" xfId="10840" xr:uid="{428043C5-9134-42FB-9A84-2DD2B085007C}"/>
    <cellStyle name="Note 2 2 3 4" xfId="1838" xr:uid="{00000000-0005-0000-0000-0000CC200000}"/>
    <cellStyle name="Note 2 2 3 4 2" xfId="4067" xr:uid="{00000000-0005-0000-0000-0000CD200000}"/>
    <cellStyle name="Note 2 2 3 4 2 2" xfId="8289" xr:uid="{00000000-0005-0000-0000-0000CE200000}"/>
    <cellStyle name="Note 2 2 3 4 2 2 2" xfId="17615" xr:uid="{C39C6F78-2467-4E53-A0E9-F9AB702A2DAF}"/>
    <cellStyle name="Note 2 2 3 4 2 3" xfId="13398" xr:uid="{0CD4DC63-6A12-47FF-8F80-8A50D9EB6F0E}"/>
    <cellStyle name="Note 2 2 3 4 3" xfId="6144" xr:uid="{00000000-0005-0000-0000-0000CF200000}"/>
    <cellStyle name="Note 2 2 3 4 3 2" xfId="15470" xr:uid="{9863ACFE-8DA7-4D91-8028-7D711D045154}"/>
    <cellStyle name="Note 2 2 3 4 4" xfId="11253" xr:uid="{A974108D-6E0B-4913-99C4-7EB1B7108FC2}"/>
    <cellStyle name="Note 2 2 3 5" xfId="2251" xr:uid="{00000000-0005-0000-0000-0000D0200000}"/>
    <cellStyle name="Note 2 2 3 5 2" xfId="4480" xr:uid="{00000000-0005-0000-0000-0000D1200000}"/>
    <cellStyle name="Note 2 2 3 5 2 2" xfId="8702" xr:uid="{00000000-0005-0000-0000-0000D2200000}"/>
    <cellStyle name="Note 2 2 3 5 2 2 2" xfId="18028" xr:uid="{02AFC09D-042D-49DF-B71C-F1E1DD431A75}"/>
    <cellStyle name="Note 2 2 3 5 2 3" xfId="13811" xr:uid="{31DF2A9F-E7EA-4F6F-B489-E47AC5570C49}"/>
    <cellStyle name="Note 2 2 3 5 3" xfId="6557" xr:uid="{00000000-0005-0000-0000-0000D3200000}"/>
    <cellStyle name="Note 2 2 3 5 3 2" xfId="15883" xr:uid="{D46AAC05-91FE-4D79-A180-268A6922E48F}"/>
    <cellStyle name="Note 2 2 3 5 4" xfId="11666" xr:uid="{B6A62F66-C0FF-4B3F-B8D5-BF1E80C2A2FE}"/>
    <cellStyle name="Note 2 2 3 6" xfId="2687" xr:uid="{00000000-0005-0000-0000-0000D4200000}"/>
    <cellStyle name="Note 2 2 3 6 2" xfId="6970" xr:uid="{00000000-0005-0000-0000-0000D5200000}"/>
    <cellStyle name="Note 2 2 3 6 2 2" xfId="16296" xr:uid="{C5D5479F-194E-49C4-B8AA-4F1BA6F12C28}"/>
    <cellStyle name="Note 2 2 3 6 3" xfId="12079" xr:uid="{E2504F87-3364-4C75-86A5-4E9F79277647}"/>
    <cellStyle name="Note 2 2 3 7" xfId="2746" xr:uid="{00000000-0005-0000-0000-0000D6200000}"/>
    <cellStyle name="Note 2 2 3 8" xfId="2827" xr:uid="{00000000-0005-0000-0000-0000D7200000}"/>
    <cellStyle name="Note 2 2 3 8 2" xfId="7050" xr:uid="{00000000-0005-0000-0000-0000D8200000}"/>
    <cellStyle name="Note 2 2 3 8 2 2" xfId="16376" xr:uid="{276A2484-53A7-45D7-90D3-02C8F2BCDB43}"/>
    <cellStyle name="Note 2 2 3 8 3" xfId="12159" xr:uid="{7C24F65C-2BEF-431F-8ADC-ECDE207731D0}"/>
    <cellStyle name="Note 2 2 3 9" xfId="4905" xr:uid="{00000000-0005-0000-0000-0000D9200000}"/>
    <cellStyle name="Note 2 2 3 9 2" xfId="14231" xr:uid="{A0096BBB-F9D4-4957-86D3-1D8A8FE32D22}"/>
    <cellStyle name="Note 2 2 4" xfId="1006" xr:uid="{00000000-0005-0000-0000-0000DA200000}"/>
    <cellStyle name="Note 2 2 4 2" xfId="3238" xr:uid="{00000000-0005-0000-0000-0000DB200000}"/>
    <cellStyle name="Note 2 2 4 2 2" xfId="7460" xr:uid="{00000000-0005-0000-0000-0000DC200000}"/>
    <cellStyle name="Note 2 2 4 2 2 2" xfId="16786" xr:uid="{16BF6058-3BB3-4177-8FEF-2229C3606DFD}"/>
    <cellStyle name="Note 2 2 4 2 3" xfId="12569" xr:uid="{E8F9D183-02BA-4FD7-8250-16CD0FA5AE9B}"/>
    <cellStyle name="Note 2 2 4 3" xfId="5315" xr:uid="{00000000-0005-0000-0000-0000DD200000}"/>
    <cellStyle name="Note 2 2 4 3 2" xfId="14641" xr:uid="{9F21DC09-EB46-4A19-A510-6F3810321C86}"/>
    <cellStyle name="Note 2 2 4 4" xfId="9266" xr:uid="{8B6F7B8D-50FA-47DA-836F-17B0F9492E54}"/>
    <cellStyle name="Note 2 2 4 5" xfId="10424" xr:uid="{23D8203A-66AE-425C-88DE-40999590342F}"/>
    <cellStyle name="Note 2 2 5" xfId="1421" xr:uid="{00000000-0005-0000-0000-0000DE200000}"/>
    <cellStyle name="Note 2 2 5 2" xfId="3651" xr:uid="{00000000-0005-0000-0000-0000DF200000}"/>
    <cellStyle name="Note 2 2 5 2 2" xfId="7873" xr:uid="{00000000-0005-0000-0000-0000E0200000}"/>
    <cellStyle name="Note 2 2 5 2 2 2" xfId="17199" xr:uid="{B7788B11-1CAB-4978-A177-298C4E38F455}"/>
    <cellStyle name="Note 2 2 5 2 3" xfId="12982" xr:uid="{762EE6F7-4A1C-4F2F-9991-A7552A96A205}"/>
    <cellStyle name="Note 2 2 5 3" xfId="5728" xr:uid="{00000000-0005-0000-0000-0000E1200000}"/>
    <cellStyle name="Note 2 2 5 3 2" xfId="15054" xr:uid="{493E0857-5408-442D-88F4-B41B070040F6}"/>
    <cellStyle name="Note 2 2 5 4" xfId="10837" xr:uid="{1355A1CD-720E-4764-96D9-2471EA68BCFA}"/>
    <cellStyle name="Note 2 2 6" xfId="1835" xr:uid="{00000000-0005-0000-0000-0000E2200000}"/>
    <cellStyle name="Note 2 2 6 2" xfId="4064" xr:uid="{00000000-0005-0000-0000-0000E3200000}"/>
    <cellStyle name="Note 2 2 6 2 2" xfId="8286" xr:uid="{00000000-0005-0000-0000-0000E4200000}"/>
    <cellStyle name="Note 2 2 6 2 2 2" xfId="17612" xr:uid="{7F8E7024-2BC7-4EAB-AD6C-A42C69F9EED1}"/>
    <cellStyle name="Note 2 2 6 2 3" xfId="13395" xr:uid="{48AAEE76-3030-4898-98D1-00E7AE98DA9A}"/>
    <cellStyle name="Note 2 2 6 3" xfId="6141" xr:uid="{00000000-0005-0000-0000-0000E5200000}"/>
    <cellStyle name="Note 2 2 6 3 2" xfId="15467" xr:uid="{D41AE83C-1075-40EE-B70D-112507546823}"/>
    <cellStyle name="Note 2 2 6 4" xfId="11250" xr:uid="{A26564C0-5A50-4694-AFAF-CA1DDC7395D8}"/>
    <cellStyle name="Note 2 2 7" xfId="2248" xr:uid="{00000000-0005-0000-0000-0000E6200000}"/>
    <cellStyle name="Note 2 2 7 2" xfId="4477" xr:uid="{00000000-0005-0000-0000-0000E7200000}"/>
    <cellStyle name="Note 2 2 7 2 2" xfId="8699" xr:uid="{00000000-0005-0000-0000-0000E8200000}"/>
    <cellStyle name="Note 2 2 7 2 2 2" xfId="18025" xr:uid="{DC6AFC61-66BA-4113-9C7F-5CBF8E9A0359}"/>
    <cellStyle name="Note 2 2 7 2 3" xfId="13808" xr:uid="{49DBD294-FD51-4080-ADDA-9E8BB0F7D761}"/>
    <cellStyle name="Note 2 2 7 3" xfId="6554" xr:uid="{00000000-0005-0000-0000-0000E9200000}"/>
    <cellStyle name="Note 2 2 7 3 2" xfId="15880" xr:uid="{52E113A0-0991-4E63-AA2E-271D0D44FC92}"/>
    <cellStyle name="Note 2 2 7 4" xfId="11663" xr:uid="{A194EEA2-02DD-4B78-929F-B2C3AF3C69B9}"/>
    <cellStyle name="Note 2 2 8" xfId="2684" xr:uid="{00000000-0005-0000-0000-0000EA200000}"/>
    <cellStyle name="Note 2 2 8 2" xfId="6967" xr:uid="{00000000-0005-0000-0000-0000EB200000}"/>
    <cellStyle name="Note 2 2 8 2 2" xfId="16293" xr:uid="{C20F4DF8-8DA2-4481-AFB4-B4AC82A6FC23}"/>
    <cellStyle name="Note 2 2 8 3" xfId="12076" xr:uid="{1212D345-FE1F-4280-B5C6-F74A01C3890C}"/>
    <cellStyle name="Note 2 2 9" xfId="2743" xr:uid="{00000000-0005-0000-0000-0000EC200000}"/>
    <cellStyle name="Note 2 3" xfId="549" xr:uid="{00000000-0005-0000-0000-0000ED200000}"/>
    <cellStyle name="Note 2 3 10" xfId="4906" xr:uid="{00000000-0005-0000-0000-0000EE200000}"/>
    <cellStyle name="Note 2 3 10 2" xfId="14232" xr:uid="{E35BEE7A-C079-49B5-867E-575B6A31A0E3}"/>
    <cellStyle name="Note 2 3 11" xfId="8894" xr:uid="{2BFFE8D0-DA42-4876-8895-58F80713E965}"/>
    <cellStyle name="Note 2 3 12" xfId="10015" xr:uid="{CBFB5ECE-2321-4911-B363-E5F5A5282049}"/>
    <cellStyle name="Note 2 3 2" xfId="550" xr:uid="{00000000-0005-0000-0000-0000EF200000}"/>
    <cellStyle name="Note 2 3 2 10" xfId="9101" xr:uid="{1822EEA2-225E-465E-B4CD-D4615440EC62}"/>
    <cellStyle name="Note 2 3 2 11" xfId="10016" xr:uid="{66AEBBA6-C35F-4CC3-9B6D-3331EA50FFFE}"/>
    <cellStyle name="Note 2 3 2 2" xfId="1011" xr:uid="{00000000-0005-0000-0000-0000F0200000}"/>
    <cellStyle name="Note 2 3 2 2 2" xfId="3243" xr:uid="{00000000-0005-0000-0000-0000F1200000}"/>
    <cellStyle name="Note 2 3 2 2 2 2" xfId="7465" xr:uid="{00000000-0005-0000-0000-0000F2200000}"/>
    <cellStyle name="Note 2 3 2 2 2 2 2" xfId="16791" xr:uid="{2875D75F-DD16-49D8-B457-FC2425FCB204}"/>
    <cellStyle name="Note 2 3 2 2 2 3" xfId="12574" xr:uid="{EBB93356-582E-4B88-AEF0-0FDC29B334F0}"/>
    <cellStyle name="Note 2 3 2 2 3" xfId="5320" xr:uid="{00000000-0005-0000-0000-0000F3200000}"/>
    <cellStyle name="Note 2 3 2 2 3 2" xfId="14646" xr:uid="{B4FA8787-5994-481E-B5F0-D9139A3B7BC3}"/>
    <cellStyle name="Note 2 3 2 2 4" xfId="9526" xr:uid="{1C428179-0C82-4F5D-9FE4-E11D597F9E89}"/>
    <cellStyle name="Note 2 3 2 2 5" xfId="10429" xr:uid="{8FBE1EAB-E039-45BD-98D9-F01427FE7D28}"/>
    <cellStyle name="Note 2 3 2 3" xfId="1426" xr:uid="{00000000-0005-0000-0000-0000F4200000}"/>
    <cellStyle name="Note 2 3 2 3 2" xfId="3656" xr:uid="{00000000-0005-0000-0000-0000F5200000}"/>
    <cellStyle name="Note 2 3 2 3 2 2" xfId="7878" xr:uid="{00000000-0005-0000-0000-0000F6200000}"/>
    <cellStyle name="Note 2 3 2 3 2 2 2" xfId="17204" xr:uid="{3CEF4F82-C378-47F6-9A17-A9707FCC5731}"/>
    <cellStyle name="Note 2 3 2 3 2 3" xfId="12987" xr:uid="{CE4425CE-C26D-42F5-A163-6D04B12072B3}"/>
    <cellStyle name="Note 2 3 2 3 3" xfId="5733" xr:uid="{00000000-0005-0000-0000-0000F7200000}"/>
    <cellStyle name="Note 2 3 2 3 3 2" xfId="15059" xr:uid="{A68A6A0F-4711-4D65-B392-296AB4A98952}"/>
    <cellStyle name="Note 2 3 2 3 4" xfId="10842" xr:uid="{21266200-EAF5-4CF3-A81D-3A2FA890A7D8}"/>
    <cellStyle name="Note 2 3 2 4" xfId="1840" xr:uid="{00000000-0005-0000-0000-0000F8200000}"/>
    <cellStyle name="Note 2 3 2 4 2" xfId="4069" xr:uid="{00000000-0005-0000-0000-0000F9200000}"/>
    <cellStyle name="Note 2 3 2 4 2 2" xfId="8291" xr:uid="{00000000-0005-0000-0000-0000FA200000}"/>
    <cellStyle name="Note 2 3 2 4 2 2 2" xfId="17617" xr:uid="{78118CBD-009D-4B47-B332-25CAEC22E15A}"/>
    <cellStyle name="Note 2 3 2 4 2 3" xfId="13400" xr:uid="{3210DC9A-2887-4454-B4A7-23141F593EFB}"/>
    <cellStyle name="Note 2 3 2 4 3" xfId="6146" xr:uid="{00000000-0005-0000-0000-0000FB200000}"/>
    <cellStyle name="Note 2 3 2 4 3 2" xfId="15472" xr:uid="{E9D12B10-00A1-4D97-97E6-AB530F4F177E}"/>
    <cellStyle name="Note 2 3 2 4 4" xfId="11255" xr:uid="{BF42892C-0B8D-4248-A129-092243214130}"/>
    <cellStyle name="Note 2 3 2 5" xfId="2253" xr:uid="{00000000-0005-0000-0000-0000FC200000}"/>
    <cellStyle name="Note 2 3 2 5 2" xfId="4482" xr:uid="{00000000-0005-0000-0000-0000FD200000}"/>
    <cellStyle name="Note 2 3 2 5 2 2" xfId="8704" xr:uid="{00000000-0005-0000-0000-0000FE200000}"/>
    <cellStyle name="Note 2 3 2 5 2 2 2" xfId="18030" xr:uid="{169FB472-8CA1-486C-9A46-6BF57293BB9B}"/>
    <cellStyle name="Note 2 3 2 5 2 3" xfId="13813" xr:uid="{5C4406F0-3A2A-487A-B917-F4647203CE6E}"/>
    <cellStyle name="Note 2 3 2 5 3" xfId="6559" xr:uid="{00000000-0005-0000-0000-0000FF200000}"/>
    <cellStyle name="Note 2 3 2 5 3 2" xfId="15885" xr:uid="{168DDCCD-36D2-4D9E-BDBD-83D33493FE63}"/>
    <cellStyle name="Note 2 3 2 5 4" xfId="11668" xr:uid="{6BD20515-7D83-495D-AE39-FA14ED3629FC}"/>
    <cellStyle name="Note 2 3 2 6" xfId="2689" xr:uid="{00000000-0005-0000-0000-000000210000}"/>
    <cellStyle name="Note 2 3 2 6 2" xfId="6972" xr:uid="{00000000-0005-0000-0000-000001210000}"/>
    <cellStyle name="Note 2 3 2 6 2 2" xfId="16298" xr:uid="{13AA3704-0FB7-49AA-8E93-FB1924E5151A}"/>
    <cellStyle name="Note 2 3 2 6 3" xfId="12081" xr:uid="{3F07E273-733B-4876-83AE-8880CBB3C00B}"/>
    <cellStyle name="Note 2 3 2 7" xfId="2748" xr:uid="{00000000-0005-0000-0000-000002210000}"/>
    <cellStyle name="Note 2 3 2 8" xfId="2829" xr:uid="{00000000-0005-0000-0000-000003210000}"/>
    <cellStyle name="Note 2 3 2 8 2" xfId="7052" xr:uid="{00000000-0005-0000-0000-000004210000}"/>
    <cellStyle name="Note 2 3 2 8 2 2" xfId="16378" xr:uid="{E0B94757-1BF0-491D-9134-87A181098BBF}"/>
    <cellStyle name="Note 2 3 2 8 3" xfId="12161" xr:uid="{174F9048-24D1-4A23-895D-ACBF87B0FBB4}"/>
    <cellStyle name="Note 2 3 2 9" xfId="4907" xr:uid="{00000000-0005-0000-0000-000005210000}"/>
    <cellStyle name="Note 2 3 2 9 2" xfId="14233" xr:uid="{4EC9341C-5950-490D-9ED5-4B4C79770450}"/>
    <cellStyle name="Note 2 3 3" xfId="1010" xr:uid="{00000000-0005-0000-0000-000006210000}"/>
    <cellStyle name="Note 2 3 3 2" xfId="3242" xr:uid="{00000000-0005-0000-0000-000007210000}"/>
    <cellStyle name="Note 2 3 3 2 2" xfId="7464" xr:uid="{00000000-0005-0000-0000-000008210000}"/>
    <cellStyle name="Note 2 3 3 2 2 2" xfId="16790" xr:uid="{0B2D4FA1-505C-4EF3-9491-054FCE4024A5}"/>
    <cellStyle name="Note 2 3 3 2 3" xfId="12573" xr:uid="{610BC878-0150-49AD-A10A-8D1E53713749}"/>
    <cellStyle name="Note 2 3 3 3" xfId="5319" xr:uid="{00000000-0005-0000-0000-000009210000}"/>
    <cellStyle name="Note 2 3 3 3 2" xfId="14645" xr:uid="{FDE67159-85B1-4599-BAFC-E7EB0617A294}"/>
    <cellStyle name="Note 2 3 3 4" xfId="9319" xr:uid="{06E4A3C6-5CAA-4424-B4C3-41162F21AE7D}"/>
    <cellStyle name="Note 2 3 3 5" xfId="10428" xr:uid="{C79A80ED-AE66-4D16-95EB-95A884BC6117}"/>
    <cellStyle name="Note 2 3 4" xfId="1425" xr:uid="{00000000-0005-0000-0000-00000A210000}"/>
    <cellStyle name="Note 2 3 4 2" xfId="3655" xr:uid="{00000000-0005-0000-0000-00000B210000}"/>
    <cellStyle name="Note 2 3 4 2 2" xfId="7877" xr:uid="{00000000-0005-0000-0000-00000C210000}"/>
    <cellStyle name="Note 2 3 4 2 2 2" xfId="17203" xr:uid="{88C0C7AB-CD2C-44B7-9FA2-F06945B3D049}"/>
    <cellStyle name="Note 2 3 4 2 3" xfId="12986" xr:uid="{9791E088-5AB8-477F-8233-A963BDC03C3C}"/>
    <cellStyle name="Note 2 3 4 3" xfId="5732" xr:uid="{00000000-0005-0000-0000-00000D210000}"/>
    <cellStyle name="Note 2 3 4 3 2" xfId="15058" xr:uid="{70C68A53-3CC6-455D-A4A0-5294A8D2F92F}"/>
    <cellStyle name="Note 2 3 4 4" xfId="10841" xr:uid="{ABBF66EB-3503-4CD2-9AC2-F3269A526CCE}"/>
    <cellStyle name="Note 2 3 5" xfId="1839" xr:uid="{00000000-0005-0000-0000-00000E210000}"/>
    <cellStyle name="Note 2 3 5 2" xfId="4068" xr:uid="{00000000-0005-0000-0000-00000F210000}"/>
    <cellStyle name="Note 2 3 5 2 2" xfId="8290" xr:uid="{00000000-0005-0000-0000-000010210000}"/>
    <cellStyle name="Note 2 3 5 2 2 2" xfId="17616" xr:uid="{D555B219-746C-4ACC-8FDB-D26A43AE12F9}"/>
    <cellStyle name="Note 2 3 5 2 3" xfId="13399" xr:uid="{8F651A88-2386-4771-B84D-B5C0FF6335A2}"/>
    <cellStyle name="Note 2 3 5 3" xfId="6145" xr:uid="{00000000-0005-0000-0000-000011210000}"/>
    <cellStyle name="Note 2 3 5 3 2" xfId="15471" xr:uid="{7211551C-E380-41BF-A700-680EF164B4F4}"/>
    <cellStyle name="Note 2 3 5 4" xfId="11254" xr:uid="{AA510AF4-4354-4B54-A32B-63A09609DE68}"/>
    <cellStyle name="Note 2 3 6" xfId="2252" xr:uid="{00000000-0005-0000-0000-000012210000}"/>
    <cellStyle name="Note 2 3 6 2" xfId="4481" xr:uid="{00000000-0005-0000-0000-000013210000}"/>
    <cellStyle name="Note 2 3 6 2 2" xfId="8703" xr:uid="{00000000-0005-0000-0000-000014210000}"/>
    <cellStyle name="Note 2 3 6 2 2 2" xfId="18029" xr:uid="{726DB2F1-4954-4DF8-8CDA-EBEABFF41AF8}"/>
    <cellStyle name="Note 2 3 6 2 3" xfId="13812" xr:uid="{C8E37E0F-E8B7-4D54-9D8F-DB2370EA16F7}"/>
    <cellStyle name="Note 2 3 6 3" xfId="6558" xr:uid="{00000000-0005-0000-0000-000015210000}"/>
    <cellStyle name="Note 2 3 6 3 2" xfId="15884" xr:uid="{C22D3513-4CE9-4BCF-9582-00D70612360E}"/>
    <cellStyle name="Note 2 3 6 4" xfId="11667" xr:uid="{EDBFD51F-D52E-4B46-A5A5-902FB390EBDD}"/>
    <cellStyle name="Note 2 3 7" xfId="2688" xr:uid="{00000000-0005-0000-0000-000016210000}"/>
    <cellStyle name="Note 2 3 7 2" xfId="6971" xr:uid="{00000000-0005-0000-0000-000017210000}"/>
    <cellStyle name="Note 2 3 7 2 2" xfId="16297" xr:uid="{D61E0163-6169-462E-9A53-4E5CC38BE2F8}"/>
    <cellStyle name="Note 2 3 7 3" xfId="12080" xr:uid="{A7A22994-D2D7-4683-8BB6-CDCADCACB845}"/>
    <cellStyle name="Note 2 3 8" xfId="2747" xr:uid="{00000000-0005-0000-0000-000018210000}"/>
    <cellStyle name="Note 2 3 9" xfId="2828" xr:uid="{00000000-0005-0000-0000-000019210000}"/>
    <cellStyle name="Note 2 3 9 2" xfId="7051" xr:uid="{00000000-0005-0000-0000-00001A210000}"/>
    <cellStyle name="Note 2 3 9 2 2" xfId="16377" xr:uid="{218CAEC9-4684-4F45-B8DC-B7179E6B3263}"/>
    <cellStyle name="Note 2 3 9 3" xfId="12160" xr:uid="{AD36CE72-2580-4454-AD2C-5F88C1328460}"/>
    <cellStyle name="Note 2 4" xfId="551" xr:uid="{00000000-0005-0000-0000-00001B210000}"/>
    <cellStyle name="Note 2 4 10" xfId="8998" xr:uid="{AC87C288-14A9-4FB3-A26C-1706964E6651}"/>
    <cellStyle name="Note 2 4 11" xfId="10017" xr:uid="{130862A1-319A-4CD8-ADA1-C1E8061A12B8}"/>
    <cellStyle name="Note 2 4 2" xfId="1012" xr:uid="{00000000-0005-0000-0000-00001C210000}"/>
    <cellStyle name="Note 2 4 2 2" xfId="3244" xr:uid="{00000000-0005-0000-0000-00001D210000}"/>
    <cellStyle name="Note 2 4 2 2 2" xfId="7466" xr:uid="{00000000-0005-0000-0000-00001E210000}"/>
    <cellStyle name="Note 2 4 2 2 2 2" xfId="16792" xr:uid="{1CDF42D8-EC76-4B22-9ECC-A079E93B056E}"/>
    <cellStyle name="Note 2 4 2 2 3" xfId="12575" xr:uid="{464EB96E-A902-4CDF-9AFA-E66DC64E17D2}"/>
    <cellStyle name="Note 2 4 2 3" xfId="5321" xr:uid="{00000000-0005-0000-0000-00001F210000}"/>
    <cellStyle name="Note 2 4 2 3 2" xfId="14647" xr:uid="{9CEBF79B-381A-42E5-BADA-8D46042E1FEA}"/>
    <cellStyle name="Note 2 4 2 4" xfId="9423" xr:uid="{43B93802-BE55-43D9-BEBC-4095E3C1FF74}"/>
    <cellStyle name="Note 2 4 2 5" xfId="10430" xr:uid="{8C8E9FB2-214B-4B0E-83C9-E04F2ECD66EA}"/>
    <cellStyle name="Note 2 4 3" xfId="1427" xr:uid="{00000000-0005-0000-0000-000020210000}"/>
    <cellStyle name="Note 2 4 3 2" xfId="3657" xr:uid="{00000000-0005-0000-0000-000021210000}"/>
    <cellStyle name="Note 2 4 3 2 2" xfId="7879" xr:uid="{00000000-0005-0000-0000-000022210000}"/>
    <cellStyle name="Note 2 4 3 2 2 2" xfId="17205" xr:uid="{9FEB9F3C-C2E7-4F57-A89C-7BF89BA19A28}"/>
    <cellStyle name="Note 2 4 3 2 3" xfId="12988" xr:uid="{9BC3B51D-84CA-4552-B436-2886B9920790}"/>
    <cellStyle name="Note 2 4 3 3" xfId="5734" xr:uid="{00000000-0005-0000-0000-000023210000}"/>
    <cellStyle name="Note 2 4 3 3 2" xfId="15060" xr:uid="{6D6DE3F5-7F00-4215-BA96-D3D5ACA3A7E6}"/>
    <cellStyle name="Note 2 4 3 4" xfId="10843" xr:uid="{71578E06-7AF7-42FD-8281-F22131B85182}"/>
    <cellStyle name="Note 2 4 4" xfId="1841" xr:uid="{00000000-0005-0000-0000-000024210000}"/>
    <cellStyle name="Note 2 4 4 2" xfId="4070" xr:uid="{00000000-0005-0000-0000-000025210000}"/>
    <cellStyle name="Note 2 4 4 2 2" xfId="8292" xr:uid="{00000000-0005-0000-0000-000026210000}"/>
    <cellStyle name="Note 2 4 4 2 2 2" xfId="17618" xr:uid="{F53F197D-F15B-4DCD-BD2A-49A0598DAA85}"/>
    <cellStyle name="Note 2 4 4 2 3" xfId="13401" xr:uid="{025192CB-F961-4AD6-A678-03BAE621DC51}"/>
    <cellStyle name="Note 2 4 4 3" xfId="6147" xr:uid="{00000000-0005-0000-0000-000027210000}"/>
    <cellStyle name="Note 2 4 4 3 2" xfId="15473" xr:uid="{D8B7CDD5-5D64-4A5C-8E31-5EC00F2A364D}"/>
    <cellStyle name="Note 2 4 4 4" xfId="11256" xr:uid="{7559753B-0DF5-4B0C-849E-8F75E5BBB65F}"/>
    <cellStyle name="Note 2 4 5" xfId="2254" xr:uid="{00000000-0005-0000-0000-000028210000}"/>
    <cellStyle name="Note 2 4 5 2" xfId="4483" xr:uid="{00000000-0005-0000-0000-000029210000}"/>
    <cellStyle name="Note 2 4 5 2 2" xfId="8705" xr:uid="{00000000-0005-0000-0000-00002A210000}"/>
    <cellStyle name="Note 2 4 5 2 2 2" xfId="18031" xr:uid="{437ED363-4D67-48E9-B589-4D6465DD9284}"/>
    <cellStyle name="Note 2 4 5 2 3" xfId="13814" xr:uid="{F5827F14-5825-4DBB-B8CC-A1A2B7920DB8}"/>
    <cellStyle name="Note 2 4 5 3" xfId="6560" xr:uid="{00000000-0005-0000-0000-00002B210000}"/>
    <cellStyle name="Note 2 4 5 3 2" xfId="15886" xr:uid="{7E150442-DC11-4783-AECC-85433D062B34}"/>
    <cellStyle name="Note 2 4 5 4" xfId="11669" xr:uid="{5CA0C415-70D9-44A0-8920-EF20013FAD1E}"/>
    <cellStyle name="Note 2 4 6" xfId="2690" xr:uid="{00000000-0005-0000-0000-00002C210000}"/>
    <cellStyle name="Note 2 4 6 2" xfId="6973" xr:uid="{00000000-0005-0000-0000-00002D210000}"/>
    <cellStyle name="Note 2 4 6 2 2" xfId="16299" xr:uid="{DCDF8B53-4A71-4EC3-8C69-6807C522E79B}"/>
    <cellStyle name="Note 2 4 6 3" xfId="12082" xr:uid="{592E5879-442A-4061-B6E0-EF1CED6CC41B}"/>
    <cellStyle name="Note 2 4 7" xfId="2749" xr:uid="{00000000-0005-0000-0000-00002E210000}"/>
    <cellStyle name="Note 2 4 8" xfId="2830" xr:uid="{00000000-0005-0000-0000-00002F210000}"/>
    <cellStyle name="Note 2 4 8 2" xfId="7053" xr:uid="{00000000-0005-0000-0000-000030210000}"/>
    <cellStyle name="Note 2 4 8 2 2" xfId="16379" xr:uid="{46CDE00E-8813-4454-9744-CCC6D3B1FA3E}"/>
    <cellStyle name="Note 2 4 8 3" xfId="12162" xr:uid="{4B62B804-1190-4BFF-85B6-451B54CF6D85}"/>
    <cellStyle name="Note 2 4 9" xfId="4908" xr:uid="{00000000-0005-0000-0000-000031210000}"/>
    <cellStyle name="Note 2 4 9 2" xfId="14234" xr:uid="{9C20102D-2274-4EDC-ADE4-EC5013454C47}"/>
    <cellStyle name="Note 2 5" xfId="552" xr:uid="{00000000-0005-0000-0000-000032210000}"/>
    <cellStyle name="Note 2 5 10" xfId="9215" xr:uid="{69947D86-0683-476F-9E74-96CA08091560}"/>
    <cellStyle name="Note 2 5 11" xfId="10018" xr:uid="{AA7B1891-B418-4034-AAB6-6B7760164DCB}"/>
    <cellStyle name="Note 2 5 2" xfId="1013" xr:uid="{00000000-0005-0000-0000-000033210000}"/>
    <cellStyle name="Note 2 5 2 2" xfId="3245" xr:uid="{00000000-0005-0000-0000-000034210000}"/>
    <cellStyle name="Note 2 5 2 2 2" xfId="7467" xr:uid="{00000000-0005-0000-0000-000035210000}"/>
    <cellStyle name="Note 2 5 2 2 2 2" xfId="16793" xr:uid="{1376AACA-CB1B-4F5F-ABA9-90AC5B404C7E}"/>
    <cellStyle name="Note 2 5 2 2 3" xfId="12576" xr:uid="{FEC2B0DB-D22F-40F5-AB7A-F2B85ED93A49}"/>
    <cellStyle name="Note 2 5 2 3" xfId="5322" xr:uid="{00000000-0005-0000-0000-000036210000}"/>
    <cellStyle name="Note 2 5 2 3 2" xfId="14648" xr:uid="{C407BE3E-9EB5-4D2A-A596-A340E3661A6E}"/>
    <cellStyle name="Note 2 5 2 4" xfId="9610" xr:uid="{26530D10-1DF8-4FA4-8FC9-4C945AA92A94}"/>
    <cellStyle name="Note 2 5 2 5" xfId="10431" xr:uid="{3F5B0CB2-AD30-4005-90A0-085F962DA885}"/>
    <cellStyle name="Note 2 5 3" xfId="1428" xr:uid="{00000000-0005-0000-0000-000037210000}"/>
    <cellStyle name="Note 2 5 3 2" xfId="3658" xr:uid="{00000000-0005-0000-0000-000038210000}"/>
    <cellStyle name="Note 2 5 3 2 2" xfId="7880" xr:uid="{00000000-0005-0000-0000-000039210000}"/>
    <cellStyle name="Note 2 5 3 2 2 2" xfId="17206" xr:uid="{F15114B5-6C34-4F75-9E69-BD9A7704C519}"/>
    <cellStyle name="Note 2 5 3 2 3" xfId="12989" xr:uid="{A38E63BF-36DE-492E-A23C-519C2856D253}"/>
    <cellStyle name="Note 2 5 3 3" xfId="5735" xr:uid="{00000000-0005-0000-0000-00003A210000}"/>
    <cellStyle name="Note 2 5 3 3 2" xfId="15061" xr:uid="{C9982B5E-FFB4-44D3-A578-8F4B02DE8AD6}"/>
    <cellStyle name="Note 2 5 3 4" xfId="10844" xr:uid="{BE199F83-AA22-4322-B377-51F9EF276B83}"/>
    <cellStyle name="Note 2 5 4" xfId="1842" xr:uid="{00000000-0005-0000-0000-00003B210000}"/>
    <cellStyle name="Note 2 5 4 2" xfId="4071" xr:uid="{00000000-0005-0000-0000-00003C210000}"/>
    <cellStyle name="Note 2 5 4 2 2" xfId="8293" xr:uid="{00000000-0005-0000-0000-00003D210000}"/>
    <cellStyle name="Note 2 5 4 2 2 2" xfId="17619" xr:uid="{5FB8F058-5850-499C-93E4-CE5002569F9C}"/>
    <cellStyle name="Note 2 5 4 2 3" xfId="13402" xr:uid="{4C57D29A-B979-44D5-899E-AFE81EFCCC41}"/>
    <cellStyle name="Note 2 5 4 3" xfId="6148" xr:uid="{00000000-0005-0000-0000-00003E210000}"/>
    <cellStyle name="Note 2 5 4 3 2" xfId="15474" xr:uid="{31DD978C-27EE-4B02-BAE5-F8F1CECD9F21}"/>
    <cellStyle name="Note 2 5 4 4" xfId="11257" xr:uid="{779B2E23-BC08-4E2A-81B7-9F6326E9B3FD}"/>
    <cellStyle name="Note 2 5 5" xfId="2255" xr:uid="{00000000-0005-0000-0000-00003F210000}"/>
    <cellStyle name="Note 2 5 5 2" xfId="4484" xr:uid="{00000000-0005-0000-0000-000040210000}"/>
    <cellStyle name="Note 2 5 5 2 2" xfId="8706" xr:uid="{00000000-0005-0000-0000-000041210000}"/>
    <cellStyle name="Note 2 5 5 2 2 2" xfId="18032" xr:uid="{00AADECD-E753-4F4E-833C-C8DCF191BE88}"/>
    <cellStyle name="Note 2 5 5 2 3" xfId="13815" xr:uid="{3EAEF72E-9401-412F-9167-1FFC913945A0}"/>
    <cellStyle name="Note 2 5 5 3" xfId="6561" xr:uid="{00000000-0005-0000-0000-000042210000}"/>
    <cellStyle name="Note 2 5 5 3 2" xfId="15887" xr:uid="{09B80C72-BC69-40B7-AC32-D2406E11503C}"/>
    <cellStyle name="Note 2 5 5 4" xfId="11670" xr:uid="{0FFAB33C-E15E-4D9D-A969-F8371D4211BD}"/>
    <cellStyle name="Note 2 5 6" xfId="2691" xr:uid="{00000000-0005-0000-0000-000043210000}"/>
    <cellStyle name="Note 2 5 6 2" xfId="6974" xr:uid="{00000000-0005-0000-0000-000044210000}"/>
    <cellStyle name="Note 2 5 6 2 2" xfId="16300" xr:uid="{D313970D-72B5-4AE6-A6C2-7CAB98BB3A16}"/>
    <cellStyle name="Note 2 5 6 3" xfId="12083" xr:uid="{4CD42B65-FA2E-4A37-BE98-878DE4F8E868}"/>
    <cellStyle name="Note 2 5 7" xfId="2750" xr:uid="{00000000-0005-0000-0000-000045210000}"/>
    <cellStyle name="Note 2 5 8" xfId="2831" xr:uid="{00000000-0005-0000-0000-000046210000}"/>
    <cellStyle name="Note 2 5 8 2" xfId="7054" xr:uid="{00000000-0005-0000-0000-000047210000}"/>
    <cellStyle name="Note 2 5 8 2 2" xfId="16380" xr:uid="{5B930C0A-5657-4DD3-B49F-687398848D18}"/>
    <cellStyle name="Note 2 5 8 3" xfId="12163" xr:uid="{A5ED6E60-0478-4B57-AE65-2746ACE9CCF9}"/>
    <cellStyle name="Note 2 5 9" xfId="4909" xr:uid="{00000000-0005-0000-0000-000048210000}"/>
    <cellStyle name="Note 2 5 9 2" xfId="14235" xr:uid="{A05C6349-3E7A-488E-A397-65BABBC895DC}"/>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C272B2C8-F507-4AE6-9E6E-0024CEFB1C7D}"/>
    <cellStyle name="Note 3 2 10 3" xfId="12164" xr:uid="{8F431220-26B1-41B0-BED2-3EDB02D7D962}"/>
    <cellStyle name="Note 3 2 11" xfId="4910" xr:uid="{00000000-0005-0000-0000-00004D210000}"/>
    <cellStyle name="Note 3 2 11 2" xfId="14236" xr:uid="{AA0FC22A-C92B-4728-8564-2F7CBF319467}"/>
    <cellStyle name="Note 3 2 12" xfId="8842" xr:uid="{646587AC-B7A9-43E2-AC1E-1B77745805D8}"/>
    <cellStyle name="Note 3 2 13" xfId="10019" xr:uid="{D16FA16F-E09D-40A5-8A44-22D28A9D3238}"/>
    <cellStyle name="Note 3 2 2" xfId="555" xr:uid="{00000000-0005-0000-0000-00004E210000}"/>
    <cellStyle name="Note 3 2 2 10" xfId="4911" xr:uid="{00000000-0005-0000-0000-00004F210000}"/>
    <cellStyle name="Note 3 2 2 10 2" xfId="14237" xr:uid="{A34F7E0B-5742-43D7-964D-6587C5D780E8}"/>
    <cellStyle name="Note 3 2 2 11" xfId="8945" xr:uid="{D320AF38-4F47-4266-9CB9-3BD7E15BFDAE}"/>
    <cellStyle name="Note 3 2 2 12" xfId="10020" xr:uid="{5436838C-D79D-4D44-8A20-9FD2F33FBDB6}"/>
    <cellStyle name="Note 3 2 2 2" xfId="556" xr:uid="{00000000-0005-0000-0000-000050210000}"/>
    <cellStyle name="Note 3 2 2 2 10" xfId="9152" xr:uid="{24874F5B-4700-44ED-9556-84C4E89A274D}"/>
    <cellStyle name="Note 3 2 2 2 11" xfId="10021" xr:uid="{2E37BA95-5380-400C-B163-72AA900CF09D}"/>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3EDFFE19-930E-4FC8-B119-FF50956AE26C}"/>
    <cellStyle name="Note 3 2 2 2 2 2 3" xfId="12579" xr:uid="{DB8632AE-0F10-481F-95A0-609A0C79BBCB}"/>
    <cellStyle name="Note 3 2 2 2 2 3" xfId="5325" xr:uid="{00000000-0005-0000-0000-000054210000}"/>
    <cellStyle name="Note 3 2 2 2 2 3 2" xfId="14651" xr:uid="{3E7D6252-8F64-4B0F-BA13-BD85E99B45A0}"/>
    <cellStyle name="Note 3 2 2 2 2 4" xfId="9577" xr:uid="{7C0C89D7-CA14-4942-89B2-D584AC810EDC}"/>
    <cellStyle name="Note 3 2 2 2 2 5" xfId="10434" xr:uid="{42BA093D-BFA7-42C2-B78E-349C8738CE3B}"/>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B363B42B-4BD2-4AAF-AF36-E8B3D880F709}"/>
    <cellStyle name="Note 3 2 2 2 3 2 3" xfId="12992" xr:uid="{DFD70CB7-0BBB-4ABD-813E-5A91BF570687}"/>
    <cellStyle name="Note 3 2 2 2 3 3" xfId="5738" xr:uid="{00000000-0005-0000-0000-000058210000}"/>
    <cellStyle name="Note 3 2 2 2 3 3 2" xfId="15064" xr:uid="{C584375C-CDC0-42BE-9AF1-34B039D329FD}"/>
    <cellStyle name="Note 3 2 2 2 3 4" xfId="10847" xr:uid="{CAAE0724-2F79-4DDD-86DD-7B2E82D96581}"/>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BA3BEF14-400D-4649-B266-57D05E5F4F52}"/>
    <cellStyle name="Note 3 2 2 2 4 2 3" xfId="13405" xr:uid="{0ED2FD98-1011-432D-B432-995D697F2541}"/>
    <cellStyle name="Note 3 2 2 2 4 3" xfId="6151" xr:uid="{00000000-0005-0000-0000-00005C210000}"/>
    <cellStyle name="Note 3 2 2 2 4 3 2" xfId="15477" xr:uid="{BCF4EFCD-021F-4F82-9325-3B789A7F35D5}"/>
    <cellStyle name="Note 3 2 2 2 4 4" xfId="11260" xr:uid="{27E9FD51-2F3A-49EF-ABA7-FDF61175F0A1}"/>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53896932-8BDB-480E-A0FA-095488BFF90B}"/>
    <cellStyle name="Note 3 2 2 2 5 2 3" xfId="13818" xr:uid="{2FFF709D-AEFE-4CCD-B16F-79E7EB4148D1}"/>
    <cellStyle name="Note 3 2 2 2 5 3" xfId="6564" xr:uid="{00000000-0005-0000-0000-000060210000}"/>
    <cellStyle name="Note 3 2 2 2 5 3 2" xfId="15890" xr:uid="{C0C08120-4ADF-4845-AE60-AB119B7B3296}"/>
    <cellStyle name="Note 3 2 2 2 5 4" xfId="11673" xr:uid="{5BC40809-68CD-4550-82EB-E235AFF323A9}"/>
    <cellStyle name="Note 3 2 2 2 6" xfId="2694" xr:uid="{00000000-0005-0000-0000-000061210000}"/>
    <cellStyle name="Note 3 2 2 2 6 2" xfId="6977" xr:uid="{00000000-0005-0000-0000-000062210000}"/>
    <cellStyle name="Note 3 2 2 2 6 2 2" xfId="16303" xr:uid="{51B66E39-8201-43F6-B50F-9F1A9ED43E4D}"/>
    <cellStyle name="Note 3 2 2 2 6 3" xfId="12086" xr:uid="{5D358A6A-30F3-4EE7-AEEA-7F27F02EDA46}"/>
    <cellStyle name="Note 3 2 2 2 7" xfId="2753" xr:uid="{00000000-0005-0000-0000-000063210000}"/>
    <cellStyle name="Note 3 2 2 2 8" xfId="2834" xr:uid="{00000000-0005-0000-0000-000064210000}"/>
    <cellStyle name="Note 3 2 2 2 8 2" xfId="7057" xr:uid="{00000000-0005-0000-0000-000065210000}"/>
    <cellStyle name="Note 3 2 2 2 8 2 2" xfId="16383" xr:uid="{8BD109F0-0C03-43E0-86DF-C0DCE126DD48}"/>
    <cellStyle name="Note 3 2 2 2 8 3" xfId="12166" xr:uid="{16D0206A-0EA2-4CC1-BE2A-F09BB47D28F3}"/>
    <cellStyle name="Note 3 2 2 2 9" xfId="4912" xr:uid="{00000000-0005-0000-0000-000066210000}"/>
    <cellStyle name="Note 3 2 2 2 9 2" xfId="14238" xr:uid="{DDC7BB5B-0AA3-4D39-8087-93B7AB2A816B}"/>
    <cellStyle name="Note 3 2 2 3" xfId="1015" xr:uid="{00000000-0005-0000-0000-000067210000}"/>
    <cellStyle name="Note 3 2 2 3 2" xfId="3247" xr:uid="{00000000-0005-0000-0000-000068210000}"/>
    <cellStyle name="Note 3 2 2 3 2 2" xfId="7469" xr:uid="{00000000-0005-0000-0000-000069210000}"/>
    <cellStyle name="Note 3 2 2 3 2 2 2" xfId="16795" xr:uid="{746C7E81-7296-43CB-BACB-C10864DD639A}"/>
    <cellStyle name="Note 3 2 2 3 2 3" xfId="12578" xr:uid="{AF366079-FD6F-4F61-B2A9-5FD98AF21251}"/>
    <cellStyle name="Note 3 2 2 3 3" xfId="5324" xr:uid="{00000000-0005-0000-0000-00006A210000}"/>
    <cellStyle name="Note 3 2 2 3 3 2" xfId="14650" xr:uid="{90CC44BC-FB49-411C-9E6F-A2B57AFDED88}"/>
    <cellStyle name="Note 3 2 2 3 4" xfId="9370" xr:uid="{7A803908-679B-4EF0-9BD4-89724B1FB321}"/>
    <cellStyle name="Note 3 2 2 3 5" xfId="10433" xr:uid="{0A4A4A4C-B8D2-4F9A-98AA-0AD4659B1158}"/>
    <cellStyle name="Note 3 2 2 4" xfId="1430" xr:uid="{00000000-0005-0000-0000-00006B210000}"/>
    <cellStyle name="Note 3 2 2 4 2" xfId="3660" xr:uid="{00000000-0005-0000-0000-00006C210000}"/>
    <cellStyle name="Note 3 2 2 4 2 2" xfId="7882" xr:uid="{00000000-0005-0000-0000-00006D210000}"/>
    <cellStyle name="Note 3 2 2 4 2 2 2" xfId="17208" xr:uid="{297862F1-F23D-4B2B-80C3-009E45DD976E}"/>
    <cellStyle name="Note 3 2 2 4 2 3" xfId="12991" xr:uid="{539C666E-B254-4624-B9D4-0E19E987CB7A}"/>
    <cellStyle name="Note 3 2 2 4 3" xfId="5737" xr:uid="{00000000-0005-0000-0000-00006E210000}"/>
    <cellStyle name="Note 3 2 2 4 3 2" xfId="15063" xr:uid="{E9192475-F720-4FA4-95BE-A195AECEC9E0}"/>
    <cellStyle name="Note 3 2 2 4 4" xfId="10846" xr:uid="{6E28B33C-18CE-4EDC-BD81-3CD43CB3F484}"/>
    <cellStyle name="Note 3 2 2 5" xfId="1844" xr:uid="{00000000-0005-0000-0000-00006F210000}"/>
    <cellStyle name="Note 3 2 2 5 2" xfId="4073" xr:uid="{00000000-0005-0000-0000-000070210000}"/>
    <cellStyle name="Note 3 2 2 5 2 2" xfId="8295" xr:uid="{00000000-0005-0000-0000-000071210000}"/>
    <cellStyle name="Note 3 2 2 5 2 2 2" xfId="17621" xr:uid="{6750CFA5-2AEE-452C-ACB7-D2D269A3F44C}"/>
    <cellStyle name="Note 3 2 2 5 2 3" xfId="13404" xr:uid="{D2DEB9DC-48F2-44E7-AA17-FA9DEE9F867A}"/>
    <cellStyle name="Note 3 2 2 5 3" xfId="6150" xr:uid="{00000000-0005-0000-0000-000072210000}"/>
    <cellStyle name="Note 3 2 2 5 3 2" xfId="15476" xr:uid="{A802D001-7FE9-4299-B56E-30DCDC6841D1}"/>
    <cellStyle name="Note 3 2 2 5 4" xfId="11259" xr:uid="{44FCD7ED-2397-451C-B83B-26F768062A8A}"/>
    <cellStyle name="Note 3 2 2 6" xfId="2257" xr:uid="{00000000-0005-0000-0000-000073210000}"/>
    <cellStyle name="Note 3 2 2 6 2" xfId="4486" xr:uid="{00000000-0005-0000-0000-000074210000}"/>
    <cellStyle name="Note 3 2 2 6 2 2" xfId="8708" xr:uid="{00000000-0005-0000-0000-000075210000}"/>
    <cellStyle name="Note 3 2 2 6 2 2 2" xfId="18034" xr:uid="{574D466C-04C0-4C3C-935B-865350C9FE51}"/>
    <cellStyle name="Note 3 2 2 6 2 3" xfId="13817" xr:uid="{F17A7E77-7460-41D0-A6BB-35D6F3360072}"/>
    <cellStyle name="Note 3 2 2 6 3" xfId="6563" xr:uid="{00000000-0005-0000-0000-000076210000}"/>
    <cellStyle name="Note 3 2 2 6 3 2" xfId="15889" xr:uid="{0485AA73-343F-410E-A6DA-EBFCF3B0C1D9}"/>
    <cellStyle name="Note 3 2 2 6 4" xfId="11672" xr:uid="{9158D731-D6FC-4E43-8373-CB0280C855FA}"/>
    <cellStyle name="Note 3 2 2 7" xfId="2693" xr:uid="{00000000-0005-0000-0000-000077210000}"/>
    <cellStyle name="Note 3 2 2 7 2" xfId="6976" xr:uid="{00000000-0005-0000-0000-000078210000}"/>
    <cellStyle name="Note 3 2 2 7 2 2" xfId="16302" xr:uid="{241E1060-187B-4B26-8EB3-76F6AC39B29E}"/>
    <cellStyle name="Note 3 2 2 7 3" xfId="12085" xr:uid="{F143AE30-0D69-4773-B766-CA856ACCDF89}"/>
    <cellStyle name="Note 3 2 2 8" xfId="2752" xr:uid="{00000000-0005-0000-0000-000079210000}"/>
    <cellStyle name="Note 3 2 2 9" xfId="2833" xr:uid="{00000000-0005-0000-0000-00007A210000}"/>
    <cellStyle name="Note 3 2 2 9 2" xfId="7056" xr:uid="{00000000-0005-0000-0000-00007B210000}"/>
    <cellStyle name="Note 3 2 2 9 2 2" xfId="16382" xr:uid="{5A833580-5C8C-401A-9B08-EE0A5C2558FD}"/>
    <cellStyle name="Note 3 2 2 9 3" xfId="12165" xr:uid="{330F64E5-092C-46FA-BCEA-B66F61EA5ED7}"/>
    <cellStyle name="Note 3 2 3" xfId="557" xr:uid="{00000000-0005-0000-0000-00007C210000}"/>
    <cellStyle name="Note 3 2 3 10" xfId="9049" xr:uid="{98DA21AE-8EED-4AF2-A5D5-94394E9C9EFE}"/>
    <cellStyle name="Note 3 2 3 11" xfId="10022" xr:uid="{95228990-11B7-4D7B-95D1-9B6FBB9CED22}"/>
    <cellStyle name="Note 3 2 3 2" xfId="1017" xr:uid="{00000000-0005-0000-0000-00007D210000}"/>
    <cellStyle name="Note 3 2 3 2 2" xfId="3249" xr:uid="{00000000-0005-0000-0000-00007E210000}"/>
    <cellStyle name="Note 3 2 3 2 2 2" xfId="7471" xr:uid="{00000000-0005-0000-0000-00007F210000}"/>
    <cellStyle name="Note 3 2 3 2 2 2 2" xfId="16797" xr:uid="{AF25971E-759C-42B0-BF52-61982B057EE5}"/>
    <cellStyle name="Note 3 2 3 2 2 3" xfId="12580" xr:uid="{71BB07DD-D244-4DA1-BECD-5821BFE94A05}"/>
    <cellStyle name="Note 3 2 3 2 3" xfId="5326" xr:uid="{00000000-0005-0000-0000-000080210000}"/>
    <cellStyle name="Note 3 2 3 2 3 2" xfId="14652" xr:uid="{3CBBB89C-FDF1-42B5-805F-ABF3F3AF6792}"/>
    <cellStyle name="Note 3 2 3 2 4" xfId="9474" xr:uid="{8827394E-7DCF-4E58-BF45-94E8587F7D91}"/>
    <cellStyle name="Note 3 2 3 2 5" xfId="10435" xr:uid="{0F5F0CD7-3EA1-444D-881C-5F6032E126D1}"/>
    <cellStyle name="Note 3 2 3 3" xfId="1432" xr:uid="{00000000-0005-0000-0000-000081210000}"/>
    <cellStyle name="Note 3 2 3 3 2" xfId="3662" xr:uid="{00000000-0005-0000-0000-000082210000}"/>
    <cellStyle name="Note 3 2 3 3 2 2" xfId="7884" xr:uid="{00000000-0005-0000-0000-000083210000}"/>
    <cellStyle name="Note 3 2 3 3 2 2 2" xfId="17210" xr:uid="{F96B5D2A-DF83-4744-80E5-B3935971BEE2}"/>
    <cellStyle name="Note 3 2 3 3 2 3" xfId="12993" xr:uid="{3E6C184E-9F8F-4A9A-A8CB-12AAC4F8C479}"/>
    <cellStyle name="Note 3 2 3 3 3" xfId="5739" xr:uid="{00000000-0005-0000-0000-000084210000}"/>
    <cellStyle name="Note 3 2 3 3 3 2" xfId="15065" xr:uid="{06B7CA3F-9745-4FD3-B846-272F5845CEA8}"/>
    <cellStyle name="Note 3 2 3 3 4" xfId="10848" xr:uid="{1B737DAB-7BB1-473D-A1BD-A96E7ABCF015}"/>
    <cellStyle name="Note 3 2 3 4" xfId="1846" xr:uid="{00000000-0005-0000-0000-000085210000}"/>
    <cellStyle name="Note 3 2 3 4 2" xfId="4075" xr:uid="{00000000-0005-0000-0000-000086210000}"/>
    <cellStyle name="Note 3 2 3 4 2 2" xfId="8297" xr:uid="{00000000-0005-0000-0000-000087210000}"/>
    <cellStyle name="Note 3 2 3 4 2 2 2" xfId="17623" xr:uid="{BE32F524-27F7-48AD-8DAD-FA70AB99965E}"/>
    <cellStyle name="Note 3 2 3 4 2 3" xfId="13406" xr:uid="{32D2621E-93E6-4323-80CD-B67426281C56}"/>
    <cellStyle name="Note 3 2 3 4 3" xfId="6152" xr:uid="{00000000-0005-0000-0000-000088210000}"/>
    <cellStyle name="Note 3 2 3 4 3 2" xfId="15478" xr:uid="{200F96C6-DBD8-4F7C-BA56-4AFC224A7FB0}"/>
    <cellStyle name="Note 3 2 3 4 4" xfId="11261" xr:uid="{69F98ED5-9D3E-499F-9FC7-74C3009098F8}"/>
    <cellStyle name="Note 3 2 3 5" xfId="2259" xr:uid="{00000000-0005-0000-0000-000089210000}"/>
    <cellStyle name="Note 3 2 3 5 2" xfId="4488" xr:uid="{00000000-0005-0000-0000-00008A210000}"/>
    <cellStyle name="Note 3 2 3 5 2 2" xfId="8710" xr:uid="{00000000-0005-0000-0000-00008B210000}"/>
    <cellStyle name="Note 3 2 3 5 2 2 2" xfId="18036" xr:uid="{FFDFB2A3-E782-45C5-B124-A4B794AF8BC5}"/>
    <cellStyle name="Note 3 2 3 5 2 3" xfId="13819" xr:uid="{C683E06B-AF34-4183-8E6F-2D346AD830D8}"/>
    <cellStyle name="Note 3 2 3 5 3" xfId="6565" xr:uid="{00000000-0005-0000-0000-00008C210000}"/>
    <cellStyle name="Note 3 2 3 5 3 2" xfId="15891" xr:uid="{1622DCE3-3850-4659-BDB4-934BDE0EFEC9}"/>
    <cellStyle name="Note 3 2 3 5 4" xfId="11674" xr:uid="{E87DC247-9164-4F6C-A3C2-DA8C8F7991F1}"/>
    <cellStyle name="Note 3 2 3 6" xfId="2695" xr:uid="{00000000-0005-0000-0000-00008D210000}"/>
    <cellStyle name="Note 3 2 3 6 2" xfId="6978" xr:uid="{00000000-0005-0000-0000-00008E210000}"/>
    <cellStyle name="Note 3 2 3 6 2 2" xfId="16304" xr:uid="{20890712-845F-4CA2-87B8-BE87D11D035B}"/>
    <cellStyle name="Note 3 2 3 6 3" xfId="12087" xr:uid="{C1795012-0B95-470E-80FF-9DE72F330AF1}"/>
    <cellStyle name="Note 3 2 3 7" xfId="2754" xr:uid="{00000000-0005-0000-0000-00008F210000}"/>
    <cellStyle name="Note 3 2 3 8" xfId="2835" xr:uid="{00000000-0005-0000-0000-000090210000}"/>
    <cellStyle name="Note 3 2 3 8 2" xfId="7058" xr:uid="{00000000-0005-0000-0000-000091210000}"/>
    <cellStyle name="Note 3 2 3 8 2 2" xfId="16384" xr:uid="{C14B16F1-86C2-454C-BD1B-38C17C324F7A}"/>
    <cellStyle name="Note 3 2 3 8 3" xfId="12167" xr:uid="{B9890DBB-1490-40F1-9D06-382DCCC7F35C}"/>
    <cellStyle name="Note 3 2 3 9" xfId="4913" xr:uid="{00000000-0005-0000-0000-000092210000}"/>
    <cellStyle name="Note 3 2 3 9 2" xfId="14239" xr:uid="{F2206299-D635-4D02-8A6F-D014E48F23E6}"/>
    <cellStyle name="Note 3 2 4" xfId="1014" xr:uid="{00000000-0005-0000-0000-000093210000}"/>
    <cellStyle name="Note 3 2 4 2" xfId="3246" xr:uid="{00000000-0005-0000-0000-000094210000}"/>
    <cellStyle name="Note 3 2 4 2 2" xfId="7468" xr:uid="{00000000-0005-0000-0000-000095210000}"/>
    <cellStyle name="Note 3 2 4 2 2 2" xfId="16794" xr:uid="{0805E593-B6A2-4C28-AC99-3DA836DAE26A}"/>
    <cellStyle name="Note 3 2 4 2 3" xfId="12577" xr:uid="{27C9AEBD-CD3B-43A5-BA0F-F85E87254898}"/>
    <cellStyle name="Note 3 2 4 3" xfId="5323" xr:uid="{00000000-0005-0000-0000-000096210000}"/>
    <cellStyle name="Note 3 2 4 3 2" xfId="14649" xr:uid="{D43760E2-9AF8-4FA1-9CCC-AB65E042D226}"/>
    <cellStyle name="Note 3 2 4 4" xfId="9267" xr:uid="{1291CED5-E18E-4F1A-8856-A132B18F5C81}"/>
    <cellStyle name="Note 3 2 4 5" xfId="10432" xr:uid="{991CEEA7-D3F7-4085-810F-6038232CEC38}"/>
    <cellStyle name="Note 3 2 5" xfId="1429" xr:uid="{00000000-0005-0000-0000-000097210000}"/>
    <cellStyle name="Note 3 2 5 2" xfId="3659" xr:uid="{00000000-0005-0000-0000-000098210000}"/>
    <cellStyle name="Note 3 2 5 2 2" xfId="7881" xr:uid="{00000000-0005-0000-0000-000099210000}"/>
    <cellStyle name="Note 3 2 5 2 2 2" xfId="17207" xr:uid="{663BFF61-D3E8-41AD-B108-7D7B601298B3}"/>
    <cellStyle name="Note 3 2 5 2 3" xfId="12990" xr:uid="{DDD85074-400B-43DE-815C-34EC053F1A58}"/>
    <cellStyle name="Note 3 2 5 3" xfId="5736" xr:uid="{00000000-0005-0000-0000-00009A210000}"/>
    <cellStyle name="Note 3 2 5 3 2" xfId="15062" xr:uid="{61C7FC88-32FE-4F0E-B04B-6A441EE3344F}"/>
    <cellStyle name="Note 3 2 5 4" xfId="10845" xr:uid="{9444E0AB-297E-4F87-9965-30F5B467A2EF}"/>
    <cellStyle name="Note 3 2 6" xfId="1843" xr:uid="{00000000-0005-0000-0000-00009B210000}"/>
    <cellStyle name="Note 3 2 6 2" xfId="4072" xr:uid="{00000000-0005-0000-0000-00009C210000}"/>
    <cellStyle name="Note 3 2 6 2 2" xfId="8294" xr:uid="{00000000-0005-0000-0000-00009D210000}"/>
    <cellStyle name="Note 3 2 6 2 2 2" xfId="17620" xr:uid="{E4931362-475D-4CD7-827A-B8523CA33016}"/>
    <cellStyle name="Note 3 2 6 2 3" xfId="13403" xr:uid="{F0A93356-3673-45AB-BE5E-1A748AED619E}"/>
    <cellStyle name="Note 3 2 6 3" xfId="6149" xr:uid="{00000000-0005-0000-0000-00009E210000}"/>
    <cellStyle name="Note 3 2 6 3 2" xfId="15475" xr:uid="{FD5FEBFA-95BB-46C2-86BA-B4119C146661}"/>
    <cellStyle name="Note 3 2 6 4" xfId="11258" xr:uid="{1AF32D3D-535D-44A1-8554-9D070DE89117}"/>
    <cellStyle name="Note 3 2 7" xfId="2256" xr:uid="{00000000-0005-0000-0000-00009F210000}"/>
    <cellStyle name="Note 3 2 7 2" xfId="4485" xr:uid="{00000000-0005-0000-0000-0000A0210000}"/>
    <cellStyle name="Note 3 2 7 2 2" xfId="8707" xr:uid="{00000000-0005-0000-0000-0000A1210000}"/>
    <cellStyle name="Note 3 2 7 2 2 2" xfId="18033" xr:uid="{59673FC4-074F-4353-8A68-7484CC92C0D9}"/>
    <cellStyle name="Note 3 2 7 2 3" xfId="13816" xr:uid="{AD92B15D-6FC1-4237-B701-3AA924DCEA50}"/>
    <cellStyle name="Note 3 2 7 3" xfId="6562" xr:uid="{00000000-0005-0000-0000-0000A2210000}"/>
    <cellStyle name="Note 3 2 7 3 2" xfId="15888" xr:uid="{DC7BE363-DAAD-4200-9629-2E5B18C8AC3D}"/>
    <cellStyle name="Note 3 2 7 4" xfId="11671" xr:uid="{9DD9CA62-09C9-4A23-B893-CA99272DE6D9}"/>
    <cellStyle name="Note 3 2 8" xfId="2692" xr:uid="{00000000-0005-0000-0000-0000A3210000}"/>
    <cellStyle name="Note 3 2 8 2" xfId="6975" xr:uid="{00000000-0005-0000-0000-0000A4210000}"/>
    <cellStyle name="Note 3 2 8 2 2" xfId="16301" xr:uid="{98289D38-2DA5-4B3F-AD81-8903FFC2DABE}"/>
    <cellStyle name="Note 3 2 8 3" xfId="12084" xr:uid="{16310772-65A0-4BD8-826C-8F6072DFA4EB}"/>
    <cellStyle name="Note 3 2 9" xfId="2751" xr:uid="{00000000-0005-0000-0000-0000A5210000}"/>
    <cellStyle name="Note 3 3" xfId="558" xr:uid="{00000000-0005-0000-0000-0000A6210000}"/>
    <cellStyle name="Note 3 3 10" xfId="4914" xr:uid="{00000000-0005-0000-0000-0000A7210000}"/>
    <cellStyle name="Note 3 3 10 2" xfId="14240" xr:uid="{82C356F6-F93D-4219-BD78-A5B0226CC46B}"/>
    <cellStyle name="Note 3 3 11" xfId="8892" xr:uid="{8511F94A-7472-4DD0-A9AB-40754FEE5F47}"/>
    <cellStyle name="Note 3 3 12" xfId="10023" xr:uid="{DEB7FADC-C53C-42A1-B28E-2E2F520F21EA}"/>
    <cellStyle name="Note 3 3 2" xfId="559" xr:uid="{00000000-0005-0000-0000-0000A8210000}"/>
    <cellStyle name="Note 3 3 2 10" xfId="9099" xr:uid="{29F3AC20-D296-4B59-BA53-0A5C025B0569}"/>
    <cellStyle name="Note 3 3 2 11" xfId="10024" xr:uid="{025FED0E-473D-4AC3-BFF4-D79274938480}"/>
    <cellStyle name="Note 3 3 2 2" xfId="1019" xr:uid="{00000000-0005-0000-0000-0000A9210000}"/>
    <cellStyle name="Note 3 3 2 2 2" xfId="3251" xr:uid="{00000000-0005-0000-0000-0000AA210000}"/>
    <cellStyle name="Note 3 3 2 2 2 2" xfId="7473" xr:uid="{00000000-0005-0000-0000-0000AB210000}"/>
    <cellStyle name="Note 3 3 2 2 2 2 2" xfId="16799" xr:uid="{C1044A8B-7409-4A56-A73D-EE5DA958D236}"/>
    <cellStyle name="Note 3 3 2 2 2 3" xfId="12582" xr:uid="{3687EC75-DC43-494D-BCEC-DC3B82249EEC}"/>
    <cellStyle name="Note 3 3 2 2 3" xfId="5328" xr:uid="{00000000-0005-0000-0000-0000AC210000}"/>
    <cellStyle name="Note 3 3 2 2 3 2" xfId="14654" xr:uid="{E60D553A-60FF-4222-B4DA-B31533D0C460}"/>
    <cellStyle name="Note 3 3 2 2 4" xfId="9524" xr:uid="{D03F5DE7-D9AB-48C0-A1E3-0A929D2C18C5}"/>
    <cellStyle name="Note 3 3 2 2 5" xfId="10437" xr:uid="{97BC1EAC-FFE6-41C8-A7D8-FDA42D0A0C22}"/>
    <cellStyle name="Note 3 3 2 3" xfId="1434" xr:uid="{00000000-0005-0000-0000-0000AD210000}"/>
    <cellStyle name="Note 3 3 2 3 2" xfId="3664" xr:uid="{00000000-0005-0000-0000-0000AE210000}"/>
    <cellStyle name="Note 3 3 2 3 2 2" xfId="7886" xr:uid="{00000000-0005-0000-0000-0000AF210000}"/>
    <cellStyle name="Note 3 3 2 3 2 2 2" xfId="17212" xr:uid="{D576C89B-4CC0-41A3-8320-2B112677319F}"/>
    <cellStyle name="Note 3 3 2 3 2 3" xfId="12995" xr:uid="{F00ACFC3-9DCC-47C3-B1DC-AD7A17E07B97}"/>
    <cellStyle name="Note 3 3 2 3 3" xfId="5741" xr:uid="{00000000-0005-0000-0000-0000B0210000}"/>
    <cellStyle name="Note 3 3 2 3 3 2" xfId="15067" xr:uid="{AE77B903-D44F-45A0-B4C0-6684C1D562B5}"/>
    <cellStyle name="Note 3 3 2 3 4" xfId="10850" xr:uid="{B8522897-3636-493C-9675-4B505248FB93}"/>
    <cellStyle name="Note 3 3 2 4" xfId="1848" xr:uid="{00000000-0005-0000-0000-0000B1210000}"/>
    <cellStyle name="Note 3 3 2 4 2" xfId="4077" xr:uid="{00000000-0005-0000-0000-0000B2210000}"/>
    <cellStyle name="Note 3 3 2 4 2 2" xfId="8299" xr:uid="{00000000-0005-0000-0000-0000B3210000}"/>
    <cellStyle name="Note 3 3 2 4 2 2 2" xfId="17625" xr:uid="{2CA111FA-7860-451F-90B3-2FCCEAE0895B}"/>
    <cellStyle name="Note 3 3 2 4 2 3" xfId="13408" xr:uid="{F5ABC74F-B4CB-4445-8669-B8C2DB78EB5D}"/>
    <cellStyle name="Note 3 3 2 4 3" xfId="6154" xr:uid="{00000000-0005-0000-0000-0000B4210000}"/>
    <cellStyle name="Note 3 3 2 4 3 2" xfId="15480" xr:uid="{EE34EF4C-D0FB-402E-A55A-C525D323580A}"/>
    <cellStyle name="Note 3 3 2 4 4" xfId="11263" xr:uid="{2833F62F-FBAE-47BF-8663-4274493CE642}"/>
    <cellStyle name="Note 3 3 2 5" xfId="2261" xr:uid="{00000000-0005-0000-0000-0000B5210000}"/>
    <cellStyle name="Note 3 3 2 5 2" xfId="4490" xr:uid="{00000000-0005-0000-0000-0000B6210000}"/>
    <cellStyle name="Note 3 3 2 5 2 2" xfId="8712" xr:uid="{00000000-0005-0000-0000-0000B7210000}"/>
    <cellStyle name="Note 3 3 2 5 2 2 2" xfId="18038" xr:uid="{D81AACA5-2DCD-4DE2-A145-788B0C8DB18D}"/>
    <cellStyle name="Note 3 3 2 5 2 3" xfId="13821" xr:uid="{E704A545-700D-4289-8079-D2A9469E0DE2}"/>
    <cellStyle name="Note 3 3 2 5 3" xfId="6567" xr:uid="{00000000-0005-0000-0000-0000B8210000}"/>
    <cellStyle name="Note 3 3 2 5 3 2" xfId="15893" xr:uid="{C57AE847-9CB4-4AB1-98E0-46F9667BE7CB}"/>
    <cellStyle name="Note 3 3 2 5 4" xfId="11676" xr:uid="{3C6A3D2D-C258-4BD1-9576-47F640D9DF3E}"/>
    <cellStyle name="Note 3 3 2 6" xfId="2697" xr:uid="{00000000-0005-0000-0000-0000B9210000}"/>
    <cellStyle name="Note 3 3 2 6 2" xfId="6980" xr:uid="{00000000-0005-0000-0000-0000BA210000}"/>
    <cellStyle name="Note 3 3 2 6 2 2" xfId="16306" xr:uid="{49C134D9-EC55-4465-A9C5-A8A3A75A4D1D}"/>
    <cellStyle name="Note 3 3 2 6 3" xfId="12089" xr:uid="{D69F2DAD-8949-4FAD-B0D8-5BF279039976}"/>
    <cellStyle name="Note 3 3 2 7" xfId="2756" xr:uid="{00000000-0005-0000-0000-0000BB210000}"/>
    <cellStyle name="Note 3 3 2 8" xfId="2837" xr:uid="{00000000-0005-0000-0000-0000BC210000}"/>
    <cellStyle name="Note 3 3 2 8 2" xfId="7060" xr:uid="{00000000-0005-0000-0000-0000BD210000}"/>
    <cellStyle name="Note 3 3 2 8 2 2" xfId="16386" xr:uid="{D8634A4F-1F90-414E-AA82-BCBF7D45E710}"/>
    <cellStyle name="Note 3 3 2 8 3" xfId="12169" xr:uid="{0B73FBEC-44AB-4868-BF47-1FDB98E0554F}"/>
    <cellStyle name="Note 3 3 2 9" xfId="4915" xr:uid="{00000000-0005-0000-0000-0000BE210000}"/>
    <cellStyle name="Note 3 3 2 9 2" xfId="14241" xr:uid="{782AD13E-133C-413A-98C1-D255CA7FA7FC}"/>
    <cellStyle name="Note 3 3 3" xfId="1018" xr:uid="{00000000-0005-0000-0000-0000BF210000}"/>
    <cellStyle name="Note 3 3 3 2" xfId="3250" xr:uid="{00000000-0005-0000-0000-0000C0210000}"/>
    <cellStyle name="Note 3 3 3 2 2" xfId="7472" xr:uid="{00000000-0005-0000-0000-0000C1210000}"/>
    <cellStyle name="Note 3 3 3 2 2 2" xfId="16798" xr:uid="{B6299807-15B9-452B-9964-C2E9B02B122F}"/>
    <cellStyle name="Note 3 3 3 2 3" xfId="12581" xr:uid="{33C34EF3-D5B2-4126-B324-3AFCBD71DAFA}"/>
    <cellStyle name="Note 3 3 3 3" xfId="5327" xr:uid="{00000000-0005-0000-0000-0000C2210000}"/>
    <cellStyle name="Note 3 3 3 3 2" xfId="14653" xr:uid="{00B316F9-DABA-4B78-B233-71BD1E44F19E}"/>
    <cellStyle name="Note 3 3 3 4" xfId="9317" xr:uid="{171D8024-554D-4F15-BFD3-81CBE1A601EA}"/>
    <cellStyle name="Note 3 3 3 5" xfId="10436" xr:uid="{6A885EDB-9099-4C2C-B93E-DEC6B4DAD220}"/>
    <cellStyle name="Note 3 3 4" xfId="1433" xr:uid="{00000000-0005-0000-0000-0000C3210000}"/>
    <cellStyle name="Note 3 3 4 2" xfId="3663" xr:uid="{00000000-0005-0000-0000-0000C4210000}"/>
    <cellStyle name="Note 3 3 4 2 2" xfId="7885" xr:uid="{00000000-0005-0000-0000-0000C5210000}"/>
    <cellStyle name="Note 3 3 4 2 2 2" xfId="17211" xr:uid="{58C343EF-DB9A-4618-A068-61307972D236}"/>
    <cellStyle name="Note 3 3 4 2 3" xfId="12994" xr:uid="{2BB4EAF9-B99A-425B-AE21-0BAEBDB25093}"/>
    <cellStyle name="Note 3 3 4 3" xfId="5740" xr:uid="{00000000-0005-0000-0000-0000C6210000}"/>
    <cellStyle name="Note 3 3 4 3 2" xfId="15066" xr:uid="{FE85E00A-DC5F-44E1-B2E5-BC91C711F058}"/>
    <cellStyle name="Note 3 3 4 4" xfId="10849" xr:uid="{32BB8D8B-02A1-4AB7-AAAB-62AAFECB1252}"/>
    <cellStyle name="Note 3 3 5" xfId="1847" xr:uid="{00000000-0005-0000-0000-0000C7210000}"/>
    <cellStyle name="Note 3 3 5 2" xfId="4076" xr:uid="{00000000-0005-0000-0000-0000C8210000}"/>
    <cellStyle name="Note 3 3 5 2 2" xfId="8298" xr:uid="{00000000-0005-0000-0000-0000C9210000}"/>
    <cellStyle name="Note 3 3 5 2 2 2" xfId="17624" xr:uid="{1510B04C-D37C-423C-A230-EB41CCFE9575}"/>
    <cellStyle name="Note 3 3 5 2 3" xfId="13407" xr:uid="{C69B245D-23FA-45C5-8C9A-254BBC769391}"/>
    <cellStyle name="Note 3 3 5 3" xfId="6153" xr:uid="{00000000-0005-0000-0000-0000CA210000}"/>
    <cellStyle name="Note 3 3 5 3 2" xfId="15479" xr:uid="{22173261-A998-43D3-BAEA-29CB90178691}"/>
    <cellStyle name="Note 3 3 5 4" xfId="11262" xr:uid="{247F28C6-7A83-491C-84B4-CEC02353A667}"/>
    <cellStyle name="Note 3 3 6" xfId="2260" xr:uid="{00000000-0005-0000-0000-0000CB210000}"/>
    <cellStyle name="Note 3 3 6 2" xfId="4489" xr:uid="{00000000-0005-0000-0000-0000CC210000}"/>
    <cellStyle name="Note 3 3 6 2 2" xfId="8711" xr:uid="{00000000-0005-0000-0000-0000CD210000}"/>
    <cellStyle name="Note 3 3 6 2 2 2" xfId="18037" xr:uid="{23A55585-2917-4E75-9A57-16299632B748}"/>
    <cellStyle name="Note 3 3 6 2 3" xfId="13820" xr:uid="{85177F56-3C75-4B50-818F-DB3695EABEFF}"/>
    <cellStyle name="Note 3 3 6 3" xfId="6566" xr:uid="{00000000-0005-0000-0000-0000CE210000}"/>
    <cellStyle name="Note 3 3 6 3 2" xfId="15892" xr:uid="{612D894C-47D3-4334-9E37-AB5A87421576}"/>
    <cellStyle name="Note 3 3 6 4" xfId="11675" xr:uid="{FFD72994-1E88-43B9-93AE-6053B1C08FFB}"/>
    <cellStyle name="Note 3 3 7" xfId="2696" xr:uid="{00000000-0005-0000-0000-0000CF210000}"/>
    <cellStyle name="Note 3 3 7 2" xfId="6979" xr:uid="{00000000-0005-0000-0000-0000D0210000}"/>
    <cellStyle name="Note 3 3 7 2 2" xfId="16305" xr:uid="{4F94F045-EA7A-430F-A27A-555C7A01DE6E}"/>
    <cellStyle name="Note 3 3 7 3" xfId="12088" xr:uid="{CFB3F9C8-C411-4508-8747-F51DF4325287}"/>
    <cellStyle name="Note 3 3 8" xfId="2755" xr:uid="{00000000-0005-0000-0000-0000D1210000}"/>
    <cellStyle name="Note 3 3 9" xfId="2836" xr:uid="{00000000-0005-0000-0000-0000D2210000}"/>
    <cellStyle name="Note 3 3 9 2" xfId="7059" xr:uid="{00000000-0005-0000-0000-0000D3210000}"/>
    <cellStyle name="Note 3 3 9 2 2" xfId="16385" xr:uid="{0C02D190-D4DB-402E-8533-2016740915E6}"/>
    <cellStyle name="Note 3 3 9 3" xfId="12168" xr:uid="{13FB290B-3EBF-45DF-97AB-FCE853748B2F}"/>
    <cellStyle name="Note 3 4" xfId="560" xr:uid="{00000000-0005-0000-0000-0000D4210000}"/>
    <cellStyle name="Note 3 4 10" xfId="8996" xr:uid="{0D704BEA-0820-4E61-9EA3-F4C1E73C6543}"/>
    <cellStyle name="Note 3 4 11" xfId="10025" xr:uid="{5EE2D03F-C487-4B2D-BEE5-BF0CB08FEB19}"/>
    <cellStyle name="Note 3 4 2" xfId="1020" xr:uid="{00000000-0005-0000-0000-0000D5210000}"/>
    <cellStyle name="Note 3 4 2 2" xfId="3252" xr:uid="{00000000-0005-0000-0000-0000D6210000}"/>
    <cellStyle name="Note 3 4 2 2 2" xfId="7474" xr:uid="{00000000-0005-0000-0000-0000D7210000}"/>
    <cellStyle name="Note 3 4 2 2 2 2" xfId="16800" xr:uid="{64151E85-73A6-4F85-A3E2-E78BFBCD0337}"/>
    <cellStyle name="Note 3 4 2 2 3" xfId="12583" xr:uid="{6F3CF3ED-F1DA-48EC-89DD-9944F8B31881}"/>
    <cellStyle name="Note 3 4 2 3" xfId="5329" xr:uid="{00000000-0005-0000-0000-0000D8210000}"/>
    <cellStyle name="Note 3 4 2 3 2" xfId="14655" xr:uid="{C86BB941-F08C-4027-B7DF-FD472D1482A1}"/>
    <cellStyle name="Note 3 4 2 4" xfId="9421" xr:uid="{EC0A57E0-416C-4EC5-866A-A09E44531CB5}"/>
    <cellStyle name="Note 3 4 2 5" xfId="10438" xr:uid="{2FF0767E-AE57-416A-B14E-15E7FE35FCCF}"/>
    <cellStyle name="Note 3 4 3" xfId="1435" xr:uid="{00000000-0005-0000-0000-0000D9210000}"/>
    <cellStyle name="Note 3 4 3 2" xfId="3665" xr:uid="{00000000-0005-0000-0000-0000DA210000}"/>
    <cellStyle name="Note 3 4 3 2 2" xfId="7887" xr:uid="{00000000-0005-0000-0000-0000DB210000}"/>
    <cellStyle name="Note 3 4 3 2 2 2" xfId="17213" xr:uid="{F17B7928-B981-46AE-9689-F1CE0C6CA3F0}"/>
    <cellStyle name="Note 3 4 3 2 3" xfId="12996" xr:uid="{A0936EF8-9BCF-4612-B507-97E37BDCC3E8}"/>
    <cellStyle name="Note 3 4 3 3" xfId="5742" xr:uid="{00000000-0005-0000-0000-0000DC210000}"/>
    <cellStyle name="Note 3 4 3 3 2" xfId="15068" xr:uid="{8BC472BA-7DB1-4388-85B1-9B8E112A8ED3}"/>
    <cellStyle name="Note 3 4 3 4" xfId="10851" xr:uid="{4F484538-027C-44EA-99F3-CD4680C8FAA0}"/>
    <cellStyle name="Note 3 4 4" xfId="1849" xr:uid="{00000000-0005-0000-0000-0000DD210000}"/>
    <cellStyle name="Note 3 4 4 2" xfId="4078" xr:uid="{00000000-0005-0000-0000-0000DE210000}"/>
    <cellStyle name="Note 3 4 4 2 2" xfId="8300" xr:uid="{00000000-0005-0000-0000-0000DF210000}"/>
    <cellStyle name="Note 3 4 4 2 2 2" xfId="17626" xr:uid="{96713F70-ED15-4666-B10F-50FFE2C13E6B}"/>
    <cellStyle name="Note 3 4 4 2 3" xfId="13409" xr:uid="{A5AB0B7F-DE4E-466D-9BE7-00FABE762171}"/>
    <cellStyle name="Note 3 4 4 3" xfId="6155" xr:uid="{00000000-0005-0000-0000-0000E0210000}"/>
    <cellStyle name="Note 3 4 4 3 2" xfId="15481" xr:uid="{C29A99BD-3878-412E-A405-8958C1AD9910}"/>
    <cellStyle name="Note 3 4 4 4" xfId="11264" xr:uid="{DB3F108F-5A00-4B12-8024-548EEC9B64C7}"/>
    <cellStyle name="Note 3 4 5" xfId="2262" xr:uid="{00000000-0005-0000-0000-0000E1210000}"/>
    <cellStyle name="Note 3 4 5 2" xfId="4491" xr:uid="{00000000-0005-0000-0000-0000E2210000}"/>
    <cellStyle name="Note 3 4 5 2 2" xfId="8713" xr:uid="{00000000-0005-0000-0000-0000E3210000}"/>
    <cellStyle name="Note 3 4 5 2 2 2" xfId="18039" xr:uid="{797EBBEA-D1B8-470A-81A0-C23FB6FA16E9}"/>
    <cellStyle name="Note 3 4 5 2 3" xfId="13822" xr:uid="{15988369-C702-430B-B793-DE15923A5B44}"/>
    <cellStyle name="Note 3 4 5 3" xfId="6568" xr:uid="{00000000-0005-0000-0000-0000E4210000}"/>
    <cellStyle name="Note 3 4 5 3 2" xfId="15894" xr:uid="{1A9053DF-3248-426C-8DC6-D7C8417E24E8}"/>
    <cellStyle name="Note 3 4 5 4" xfId="11677" xr:uid="{1386EBE2-9C75-492C-92BA-10F2D77DC268}"/>
    <cellStyle name="Note 3 4 6" xfId="2698" xr:uid="{00000000-0005-0000-0000-0000E5210000}"/>
    <cellStyle name="Note 3 4 6 2" xfId="6981" xr:uid="{00000000-0005-0000-0000-0000E6210000}"/>
    <cellStyle name="Note 3 4 6 2 2" xfId="16307" xr:uid="{1E6630D9-1884-43DC-A33A-54249DF0C13F}"/>
    <cellStyle name="Note 3 4 6 3" xfId="12090" xr:uid="{90C39F94-85AB-433E-A4B2-9E22440EC3D4}"/>
    <cellStyle name="Note 3 4 7" xfId="2757" xr:uid="{00000000-0005-0000-0000-0000E7210000}"/>
    <cellStyle name="Note 3 4 8" xfId="2838" xr:uid="{00000000-0005-0000-0000-0000E8210000}"/>
    <cellStyle name="Note 3 4 8 2" xfId="7061" xr:uid="{00000000-0005-0000-0000-0000E9210000}"/>
    <cellStyle name="Note 3 4 8 2 2" xfId="16387" xr:uid="{8FF227F4-52E3-45EA-8497-DE8A12BB7638}"/>
    <cellStyle name="Note 3 4 8 3" xfId="12170" xr:uid="{BD03D676-283C-43F4-9612-A727DC6D9D7C}"/>
    <cellStyle name="Note 3 4 9" xfId="4916" xr:uid="{00000000-0005-0000-0000-0000EA210000}"/>
    <cellStyle name="Note 3 4 9 2" xfId="14242" xr:uid="{4A5EE763-7F30-4916-8D86-9A366E64A706}"/>
    <cellStyle name="Note 3 5" xfId="561" xr:uid="{00000000-0005-0000-0000-0000EB210000}"/>
    <cellStyle name="Note 3 5 10" xfId="9213" xr:uid="{D9D7FB9A-B03C-4A97-A778-36731B43DF3F}"/>
    <cellStyle name="Note 3 5 11" xfId="10026" xr:uid="{B1D3DA7D-5534-4214-8C8B-FD0665E614B7}"/>
    <cellStyle name="Note 3 5 2" xfId="1021" xr:uid="{00000000-0005-0000-0000-0000EC210000}"/>
    <cellStyle name="Note 3 5 2 2" xfId="3253" xr:uid="{00000000-0005-0000-0000-0000ED210000}"/>
    <cellStyle name="Note 3 5 2 2 2" xfId="7475" xr:uid="{00000000-0005-0000-0000-0000EE210000}"/>
    <cellStyle name="Note 3 5 2 2 2 2" xfId="16801" xr:uid="{A497832C-BB57-4A38-9218-F4771322B12F}"/>
    <cellStyle name="Note 3 5 2 2 3" xfId="12584" xr:uid="{D473580B-1A7D-4467-BD91-1CF4C3285D58}"/>
    <cellStyle name="Note 3 5 2 3" xfId="5330" xr:uid="{00000000-0005-0000-0000-0000EF210000}"/>
    <cellStyle name="Note 3 5 2 3 2" xfId="14656" xr:uid="{2C9465EC-0B74-4AC3-A77E-D562CD2D5E44}"/>
    <cellStyle name="Note 3 5 2 4" xfId="9611" xr:uid="{74765414-66B3-4FDA-BA21-3BFFEF98E338}"/>
    <cellStyle name="Note 3 5 2 5" xfId="10439" xr:uid="{7E725506-E270-4E76-801F-C428D95C61E0}"/>
    <cellStyle name="Note 3 5 3" xfId="1436" xr:uid="{00000000-0005-0000-0000-0000F0210000}"/>
    <cellStyle name="Note 3 5 3 2" xfId="3666" xr:uid="{00000000-0005-0000-0000-0000F1210000}"/>
    <cellStyle name="Note 3 5 3 2 2" xfId="7888" xr:uid="{00000000-0005-0000-0000-0000F2210000}"/>
    <cellStyle name="Note 3 5 3 2 2 2" xfId="17214" xr:uid="{B61C1165-1B12-4ED5-8151-3F3397AC7016}"/>
    <cellStyle name="Note 3 5 3 2 3" xfId="12997" xr:uid="{212DD13A-82D9-4E88-B04E-129B8C793A12}"/>
    <cellStyle name="Note 3 5 3 3" xfId="5743" xr:uid="{00000000-0005-0000-0000-0000F3210000}"/>
    <cellStyle name="Note 3 5 3 3 2" xfId="15069" xr:uid="{5CC68BF3-4411-458B-B6E5-3A1CCAC9BC10}"/>
    <cellStyle name="Note 3 5 3 4" xfId="10852" xr:uid="{50D99CE1-5C76-4E09-8CBD-514F5BE94224}"/>
    <cellStyle name="Note 3 5 4" xfId="1850" xr:uid="{00000000-0005-0000-0000-0000F4210000}"/>
    <cellStyle name="Note 3 5 4 2" xfId="4079" xr:uid="{00000000-0005-0000-0000-0000F5210000}"/>
    <cellStyle name="Note 3 5 4 2 2" xfId="8301" xr:uid="{00000000-0005-0000-0000-0000F6210000}"/>
    <cellStyle name="Note 3 5 4 2 2 2" xfId="17627" xr:uid="{5166CF15-A523-4847-BD0E-94E394165FA1}"/>
    <cellStyle name="Note 3 5 4 2 3" xfId="13410" xr:uid="{432FDC87-FA7C-4E82-91CD-1C023415A74F}"/>
    <cellStyle name="Note 3 5 4 3" xfId="6156" xr:uid="{00000000-0005-0000-0000-0000F7210000}"/>
    <cellStyle name="Note 3 5 4 3 2" xfId="15482" xr:uid="{2EA30FDF-082F-47A7-AC50-B96816803ED8}"/>
    <cellStyle name="Note 3 5 4 4" xfId="11265" xr:uid="{F748CB8C-7EE5-4B07-9E44-7D07385265E9}"/>
    <cellStyle name="Note 3 5 5" xfId="2263" xr:uid="{00000000-0005-0000-0000-0000F8210000}"/>
    <cellStyle name="Note 3 5 5 2" xfId="4492" xr:uid="{00000000-0005-0000-0000-0000F9210000}"/>
    <cellStyle name="Note 3 5 5 2 2" xfId="8714" xr:uid="{00000000-0005-0000-0000-0000FA210000}"/>
    <cellStyle name="Note 3 5 5 2 2 2" xfId="18040" xr:uid="{29E86344-B881-48EB-AB5E-02736C745E6C}"/>
    <cellStyle name="Note 3 5 5 2 3" xfId="13823" xr:uid="{BA707C87-3141-47A1-9E2D-503111B5324D}"/>
    <cellStyle name="Note 3 5 5 3" xfId="6569" xr:uid="{00000000-0005-0000-0000-0000FB210000}"/>
    <cellStyle name="Note 3 5 5 3 2" xfId="15895" xr:uid="{C4476FD1-659C-40FF-9672-45545C8FA867}"/>
    <cellStyle name="Note 3 5 5 4" xfId="11678" xr:uid="{5E5D0077-C4A3-424F-AD02-3ABD27019E09}"/>
    <cellStyle name="Note 3 5 6" xfId="2699" xr:uid="{00000000-0005-0000-0000-0000FC210000}"/>
    <cellStyle name="Note 3 5 6 2" xfId="6982" xr:uid="{00000000-0005-0000-0000-0000FD210000}"/>
    <cellStyle name="Note 3 5 6 2 2" xfId="16308" xr:uid="{0B43AEAF-F629-413E-82B7-E1D846019E26}"/>
    <cellStyle name="Note 3 5 6 3" xfId="12091" xr:uid="{35C81F9C-C126-49CC-B1BC-288E2B2ADDFA}"/>
    <cellStyle name="Note 3 5 7" xfId="2758" xr:uid="{00000000-0005-0000-0000-0000FE210000}"/>
    <cellStyle name="Note 3 5 8" xfId="2839" xr:uid="{00000000-0005-0000-0000-0000FF210000}"/>
    <cellStyle name="Note 3 5 8 2" xfId="7062" xr:uid="{00000000-0005-0000-0000-000000220000}"/>
    <cellStyle name="Note 3 5 8 2 2" xfId="16388" xr:uid="{5FC6A1B5-F7DA-416F-AA3D-097DFD9EF229}"/>
    <cellStyle name="Note 3 5 8 3" xfId="12171" xr:uid="{10CAB5EB-68B8-4939-A8A8-965D3C19B8EA}"/>
    <cellStyle name="Note 3 5 9" xfId="4917" xr:uid="{00000000-0005-0000-0000-000001220000}"/>
    <cellStyle name="Note 3 5 9 2" xfId="14243" xr:uid="{D6DD993B-0A28-4858-B0AC-5B0C3AA6C707}"/>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9EE2EA1A-9171-4674-A18B-17EC16DB103A}"/>
    <cellStyle name="Percent 4" xfId="4502" xr:uid="{00000000-0005-0000-0000-000007220000}"/>
    <cellStyle name="Percent 4 2" xfId="8717" xr:uid="{00000000-0005-0000-0000-000008220000}"/>
    <cellStyle name="Percent 4 2 2" xfId="18043" xr:uid="{F772D012-969D-433E-85A7-A597A561DF9B}"/>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8059" xr:uid="{8D14B074-CF45-428D-B5B6-7E20755F348F}"/>
    <cellStyle name="Percent 4 3 2 2 2 3" xfId="18056" xr:uid="{6F03960C-B4AC-41B6-A063-D6042680F76E}"/>
    <cellStyle name="Percent 4 3 2 2 3" xfId="18052" xr:uid="{E5A83703-58B0-4EED-AD19-2DF3B91A73DF}"/>
    <cellStyle name="Percent 4 3 2 3" xfId="18049" xr:uid="{A96D7086-D183-45B2-A476-DF652295BF49}"/>
    <cellStyle name="Percent 4 3 3" xfId="18046" xr:uid="{A82293F4-4222-4210-92AF-FEA6BE4D36A9}"/>
    <cellStyle name="Percent 4 4" xfId="13829" xr:uid="{1CFFE195-7880-4ACF-9721-FB531E0DFC6B}"/>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8" t="s">
        <v>550</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70" t="s">
        <v>1995</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ht="13">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ht="13">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70" t="s">
        <v>1996</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ht="13">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ht="13">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70" t="s">
        <v>2531</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2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ht="13">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ht="13">
      <c r="A18" s="204"/>
      <c r="B18" s="204"/>
      <c r="C18" s="205"/>
      <c r="D18" s="519" t="s">
        <v>2530</v>
      </c>
      <c r="E18" s="441"/>
      <c r="G18" s="441"/>
      <c r="H18" s="441"/>
      <c r="I18" s="441"/>
      <c r="J18" s="1272" t="s">
        <v>2529</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70" t="s">
        <v>1997</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ht="13">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ht="13">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2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ht="13">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ht="13">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ht="13">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ht="13">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ht="13">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70" t="s">
        <v>1998</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ht="13">
      <c r="A31" s="204"/>
      <c r="B31" s="204"/>
      <c r="C31" s="205"/>
      <c r="D31" s="455"/>
      <c r="E31" s="1278" t="s">
        <v>2609</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ht="13">
      <c r="A32" s="4"/>
      <c r="C32" s="2"/>
    </row>
    <row r="33" spans="1:38">
      <c r="A33" s="4"/>
      <c r="D33" s="1271" t="s">
        <v>2098</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77" t="s">
        <v>2610</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ht="13">
      <c r="A36" s="4"/>
      <c r="D36" s="120"/>
      <c r="E36" s="1277" t="s">
        <v>2611</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25" customHeight="1">
      <c r="A40" s="4"/>
      <c r="B40"/>
      <c r="C40" s="2"/>
      <c r="D40" s="4"/>
      <c r="E40" s="4" t="s">
        <v>653</v>
      </c>
      <c r="F40" s="1270" t="s">
        <v>1164</v>
      </c>
    </row>
    <row r="41" spans="1:38" s="1270"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5" t="s">
        <v>1246</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ht="13">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2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ht="13">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70" t="s">
        <v>2000</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ht="13">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ht="13">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73" t="s">
        <v>1191</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3" t="s">
        <v>575</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73" t="s">
        <v>2001</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ht="13">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70" t="s">
        <v>1166</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ht="13">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ht="13">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25" customHeight="1">
      <c r="A67" s="4"/>
      <c r="C67" s="2"/>
      <c r="D67" s="4"/>
      <c r="E67" s="4"/>
      <c r="F67" t="s">
        <v>509</v>
      </c>
      <c r="G67" s="1270" t="s">
        <v>1167</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ht="13">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70" t="s">
        <v>1168</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ht="13">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ht="13">
      <c r="A72" s="4"/>
      <c r="C72" s="2"/>
      <c r="D72" s="4"/>
      <c r="E72" s="4"/>
      <c r="F72" s="8" t="s">
        <v>509</v>
      </c>
      <c r="G72" s="1270" t="s">
        <v>1169</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ht="13">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70" t="s">
        <v>1170</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ht="13">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ht="13">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70" t="s">
        <v>1171</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ht="13">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ht="13">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80" t="s">
        <v>1172</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ht="13">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ht="13">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70" t="s">
        <v>1173</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ht="13">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70" t="s">
        <v>1174</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ht="13">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ht="13">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ht="13">
      <c r="A98" s="4"/>
      <c r="D98" s="99"/>
      <c r="E98" s="1281" t="s">
        <v>1175</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ht="13">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2002</v>
      </c>
      <c r="F138" s="2"/>
      <c r="G138" s="2"/>
      <c r="H138" s="2"/>
    </row>
    <row r="139" spans="4:37">
      <c r="E139" t="s">
        <v>112</v>
      </c>
      <c r="F139" t="s">
        <v>52</v>
      </c>
    </row>
    <row r="140" spans="4:37">
      <c r="E140" t="s">
        <v>113</v>
      </c>
      <c r="F140" t="s">
        <v>466</v>
      </c>
    </row>
    <row r="141" spans="4:37"/>
    <row r="142" spans="4:37" ht="13">
      <c r="D142" s="2" t="s">
        <v>429</v>
      </c>
      <c r="E142" s="2" t="s">
        <v>2003</v>
      </c>
    </row>
    <row r="143" spans="4:37">
      <c r="E143" s="204" t="s">
        <v>2004</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70" t="s">
        <v>1176</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ht="13">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70" t="s">
        <v>1155</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ht="13">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ht="13">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273" t="s">
        <v>1235</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ht="13">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ht="13">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ht="13">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ht="13">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ht="13">
      <c r="B346" s="2"/>
      <c r="E346" s="3" t="s">
        <v>112</v>
      </c>
      <c r="F346" s="1270" t="s">
        <v>1237</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ht="13">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ht="13">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ht="13">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ht="13">
      <c r="B350" s="2"/>
      <c r="E350" s="3" t="s">
        <v>113</v>
      </c>
      <c r="F350" s="1270" t="s">
        <v>1236</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ht="13">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ht="13">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ht="13">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ht="13">
      <c r="A367"/>
      <c r="B367" s="2"/>
      <c r="C367"/>
      <c r="D367"/>
      <c r="E367" s="1275" t="s">
        <v>1258</v>
      </c>
    </row>
    <row r="368" spans="1:38" s="1276"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70" t="s">
        <v>1269</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ht="13">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ht="13">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B123" zoomScale="70" zoomScaleNormal="70" workbookViewId="0">
      <selection activeCell="G111" sqref="G111"/>
    </sheetView>
  </sheetViews>
  <sheetFormatPr defaultColWidth="9.08984375" defaultRowHeight="14"/>
  <cols>
    <col min="1" max="1" width="2.453125" style="1039" customWidth="1"/>
    <col min="2" max="9" width="14.6328125" style="1039" customWidth="1"/>
    <col min="10" max="10" width="2.36328125" style="1039" customWidth="1"/>
    <col min="11" max="11" width="11.90625" style="1040" customWidth="1"/>
    <col min="12" max="12" width="10.6328125" style="1039" customWidth="1"/>
    <col min="13" max="13" width="10.453125" style="1039" customWidth="1"/>
    <col min="14" max="14" width="10.90625" style="1039" customWidth="1"/>
    <col min="15" max="18" width="9.08984375" style="1039"/>
    <col min="19" max="19" width="9.453125" style="1039" bestFit="1" customWidth="1"/>
    <col min="20" max="16384" width="9.0898437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49999999999999" customHeight="1">
      <c r="A3" s="1094"/>
      <c r="B3" s="1095"/>
      <c r="C3" s="1096"/>
      <c r="D3" s="1101"/>
      <c r="E3" s="1096"/>
      <c r="F3" s="1097" t="s">
        <v>1963</v>
      </c>
      <c r="G3" s="1096"/>
      <c r="H3" s="1098">
        <f>E18</f>
        <v>19914802</v>
      </c>
      <c r="I3" s="1099"/>
    </row>
    <row r="4" spans="1:13" s="1046" customFormat="1" ht="20.149999999999999" customHeight="1">
      <c r="B4" s="1088"/>
      <c r="D4" s="1102"/>
      <c r="F4" s="1087" t="s">
        <v>1965</v>
      </c>
      <c r="G4" s="1086" t="s">
        <v>1964</v>
      </c>
      <c r="H4" s="1201">
        <f>I18</f>
        <v>19585857.142857142</v>
      </c>
      <c r="I4" s="1089"/>
      <c r="K4" s="1050"/>
    </row>
    <row r="5" spans="1:13" s="1046" customFormat="1" ht="20.149999999999999" customHeight="1" thickBot="1">
      <c r="B5" s="1090"/>
      <c r="C5" s="1091"/>
      <c r="D5" s="1103"/>
      <c r="E5" s="1092"/>
      <c r="F5" s="1103" t="s">
        <v>1915</v>
      </c>
      <c r="G5" s="1104"/>
      <c r="H5" s="1100">
        <f>IFERROR(H3/H4,0)</f>
        <v>1.0167950197299802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1913</v>
      </c>
      <c r="C8" s="2663"/>
      <c r="D8" s="2663"/>
      <c r="E8" s="2664"/>
      <c r="G8" s="2665" t="s">
        <v>1914</v>
      </c>
      <c r="H8" s="2666"/>
      <c r="I8" s="2667"/>
      <c r="K8" s="1052"/>
    </row>
    <row r="9" spans="1:13" ht="15" customHeight="1">
      <c r="A9" s="1041"/>
      <c r="B9" s="2660" t="s">
        <v>1947</v>
      </c>
      <c r="C9" s="2660"/>
      <c r="D9" s="2660"/>
      <c r="E9" s="1054">
        <f>G33</f>
        <v>3837500</v>
      </c>
      <c r="G9" s="2656" t="s">
        <v>1945</v>
      </c>
      <c r="H9" s="2656"/>
      <c r="I9" s="1055">
        <f>MAX(SUMIF(Application!M562:M573,"Loan, Tax-Exempt",Application!AM562:AM573),27.5%*SUM('Sources and Uses Budget'!C8,'Sources and Uses Budget'!S105,'Sources and Uses Budget'!T105))</f>
        <v>15800000</v>
      </c>
      <c r="K9" s="1056"/>
      <c r="M9" s="1057"/>
    </row>
    <row r="10" spans="1:13" ht="15" customHeight="1" thickBot="1">
      <c r="A10" s="1041"/>
      <c r="B10" s="2660" t="s">
        <v>1948</v>
      </c>
      <c r="C10" s="2660"/>
      <c r="D10" s="2660"/>
      <c r="E10" s="1055">
        <f>G47</f>
        <v>9006552.0000000019</v>
      </c>
      <c r="G10" s="2658" t="s">
        <v>1916</v>
      </c>
      <c r="H10" s="2658"/>
      <c r="I10" s="1134">
        <f>IF(OR(Application!Z205="State Farmworker Credit",Application!Z205="$500M (Farmworker Housing)"),0,'Basis &amp; Credits'!AB78)</f>
        <v>12600000</v>
      </c>
      <c r="M10" s="1057"/>
    </row>
    <row r="11" spans="1:13" ht="15" customHeight="1">
      <c r="A11" s="1041"/>
      <c r="B11" s="2669" t="s">
        <v>2212</v>
      </c>
      <c r="C11" s="2670"/>
      <c r="D11" s="2671"/>
      <c r="E11" s="1055">
        <f>SUM(E13,E12)</f>
        <v>240000</v>
      </c>
      <c r="G11" s="2668" t="s">
        <v>1956</v>
      </c>
      <c r="H11" s="2668"/>
      <c r="I11" s="1133">
        <f>I9+I10</f>
        <v>28400000</v>
      </c>
      <c r="M11" s="1057"/>
    </row>
    <row r="12" spans="1:13" ht="15" customHeight="1">
      <c r="A12" s="1058"/>
      <c r="B12" s="2661" t="s">
        <v>2575</v>
      </c>
      <c r="C12" s="2661"/>
      <c r="D12" s="2661"/>
      <c r="E12" s="1158">
        <f>G56</f>
        <v>200000</v>
      </c>
      <c r="M12" s="1057"/>
    </row>
    <row r="13" spans="1:13" ht="15" customHeight="1">
      <c r="A13" s="1044"/>
      <c r="B13" s="2661" t="s">
        <v>2576</v>
      </c>
      <c r="C13" s="2661"/>
      <c r="D13" s="2661"/>
      <c r="E13" s="1158">
        <f>IF(G67,MAX(G65,G79),G65)</f>
        <v>40000</v>
      </c>
      <c r="G13" s="2665" t="s">
        <v>1979</v>
      </c>
      <c r="H13" s="2666"/>
      <c r="I13" s="2667"/>
    </row>
    <row r="14" spans="1:13" ht="15" customHeight="1">
      <c r="A14" s="1044"/>
      <c r="B14" s="2669" t="s">
        <v>2213</v>
      </c>
      <c r="C14" s="2670"/>
      <c r="D14" s="2671"/>
      <c r="E14" s="1160">
        <f>MAX(E15,E16)+E17</f>
        <v>6830750</v>
      </c>
      <c r="G14" s="2656" t="s">
        <v>2592</v>
      </c>
      <c r="H14" s="2656"/>
      <c r="I14" s="1059">
        <f>IF(AND(G134="Yes",G136&lt;&gt;""),IF(OR(G141="Yes",G145="Yes"),18%,15%),0)</f>
        <v>0.18</v>
      </c>
      <c r="M14" s="1057"/>
    </row>
    <row r="15" spans="1:13" ht="15" customHeight="1">
      <c r="A15" s="1044"/>
      <c r="B15" s="2672" t="s">
        <v>2589</v>
      </c>
      <c r="C15" s="2673"/>
      <c r="D15" s="2674"/>
      <c r="E15" s="1158">
        <f>G94</f>
        <v>1535000</v>
      </c>
      <c r="G15" s="1131" t="s">
        <v>1957</v>
      </c>
      <c r="H15" s="1131"/>
      <c r="I15" s="1059">
        <f>IF(Application!AJ1041&gt;0,10%,IF(Application!AJ1045&gt;0,5%,0))</f>
        <v>0.05</v>
      </c>
      <c r="M15" s="1057"/>
    </row>
    <row r="16" spans="1:13" ht="15" customHeight="1">
      <c r="A16" s="1044"/>
      <c r="B16" s="2672" t="s">
        <v>2590</v>
      </c>
      <c r="C16" s="2673"/>
      <c r="D16" s="2674"/>
      <c r="E16" s="1158">
        <f>G104</f>
        <v>0</v>
      </c>
      <c r="G16" s="2656" t="s">
        <v>1958</v>
      </c>
      <c r="H16" s="2656"/>
      <c r="I16" s="1059">
        <f>G155</f>
        <v>8.0357142857142863E-2</v>
      </c>
    </row>
    <row r="17" spans="1:21" ht="15" customHeight="1" thickBot="1">
      <c r="A17" s="1044"/>
      <c r="B17" s="2672" t="s">
        <v>2591</v>
      </c>
      <c r="C17" s="2673"/>
      <c r="D17" s="2674"/>
      <c r="E17" s="1158">
        <f>G129</f>
        <v>5295750</v>
      </c>
      <c r="G17" s="2656" t="s">
        <v>2221</v>
      </c>
      <c r="H17" s="2656"/>
      <c r="I17" s="1059">
        <f>IF(AND(G161="Yes",G159),IF(G165&gt;15%,15%,G165),0)</f>
        <v>0</v>
      </c>
    </row>
    <row r="18" spans="1:21" ht="15" customHeight="1">
      <c r="A18" s="1041"/>
      <c r="B18" s="2657" t="s">
        <v>1912</v>
      </c>
      <c r="C18" s="2657"/>
      <c r="D18" s="2657"/>
      <c r="E18" s="1105">
        <f>SUM(E9:E11,E14)</f>
        <v>19914802</v>
      </c>
      <c r="G18" s="1132" t="s">
        <v>1946</v>
      </c>
      <c r="H18" s="1132"/>
      <c r="I18" s="1106">
        <f>I11-((I11*I14)+(I11*I15)+(I11*I16)+(I11*I17))</f>
        <v>19585857.142857142</v>
      </c>
      <c r="M18" s="1060">
        <f>SUM(Cdlac[Quantity])</f>
        <v>62</v>
      </c>
      <c r="O18" s="1079" t="s">
        <v>582</v>
      </c>
      <c r="P18" s="1039">
        <f>MATCH(Application!T189,Application!CB160:CB217,0)</f>
        <v>41</v>
      </c>
      <c r="T18" s="1060">
        <f>SUM(Cdlac[Population])</f>
        <v>4</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11</v>
      </c>
      <c r="N20" s="1066">
        <f>Application!AC726</f>
        <v>0.7</v>
      </c>
      <c r="O20" s="1066">
        <f>IF(Cdlac[[#This Row],[Quantity]]&gt;0,IF(Cdlac[[#This Row],[Federal]],30%,IF(AND(OR(NOT($G$38),$G$38=""),$G$43),40%,Cdlac[[#This Row],[iAMI]])),"")</f>
        <v>0.7</v>
      </c>
      <c r="P20" s="1060" cm="1">
        <f t="array" ref="P20">IF(Cdlac[[#This Row],[Quantity]]&gt;0,INDEX(TcacRents,$P$18,Cdlac[[#This Row],[Bedrooms]]+1)*Cdlac[[#This Row],[AMI]],"")</f>
        <v>2538.1999999999998</v>
      </c>
      <c r="Q20" s="1157"/>
      <c r="R20" s="1060" cm="1">
        <f t="array" ref="R20">IF(Cdlac[[#This Row],[Quantity]]&gt;0,INDEX(HudFmrs,$P$18,Cdlac[[#This Row],[Bedrooms]]+1),"")</f>
        <v>2780</v>
      </c>
      <c r="S20" s="1060">
        <f>IF(Cdlac[[#This Row],[Quantity]]&gt;0,MAX(0,Cdlac[[#This Row],[Fair Market Rent]]-IF(AND($G$37,$G$38,$G$38&lt;&gt;"",NOT(Cdlac[[#This Row],[Federal]]),Cdlac[[#This Row],[Preservation Rent]]&lt;&gt;""),Cdlac[[#This Row],[Preservation Rent]],Cdlac[[#This Row],[Restricted Rent]])),"")</f>
        <v>241.80000000000018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v>
      </c>
      <c r="N21" s="1066">
        <f>Application!AC727</f>
        <v>0.6</v>
      </c>
      <c r="O21" s="1066">
        <f>IF(Cdlac[[#This Row],[Quantity]]&gt;0,IF(Cdlac[[#This Row],[Federal]],30%,IF(AND(OR(NOT($G$38),$G$38=""),$G$43),40%,Cdlac[[#This Row],[iAMI]])),"")</f>
        <v>0.6</v>
      </c>
      <c r="P21" s="1060" cm="1">
        <f t="array" ref="P21">IF(Cdlac[[#This Row],[Quantity]]&gt;0,INDEX(TcacRents,$P$18,Cdlac[[#This Row],[Bedrooms]]+1)*Cdlac[[#This Row],[AMI]],"")</f>
        <v>2175.6</v>
      </c>
      <c r="Q21" s="1157"/>
      <c r="R21" s="1060" cm="1">
        <f t="array" ref="R21">IF(Cdlac[[#This Row],[Quantity]]&gt;0,INDEX(HudFmrs,$P$18,Cdlac[[#This Row],[Bedrooms]]+1),"")</f>
        <v>2780</v>
      </c>
      <c r="S21" s="1060">
        <f>IF(Cdlac[[#This Row],[Quantity]]&gt;0,MAX(0,Cdlac[[#This Row],[Fair Market Rent]]-IF(AND($G$37,$G$38,$G$38&lt;&gt;"",NOT(Cdlac[[#This Row],[Federal]]),Cdlac[[#This Row],[Preservation Rent]]&lt;&gt;""),Cdlac[[#This Row],[Preservation Rent]],Cdlac[[#This Row],[Restricted Rent]])),"")</f>
        <v>604.40000000000009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1960</v>
      </c>
      <c r="D22" s="2646" t="s">
        <v>1961</v>
      </c>
      <c r="E22" s="2646" t="s">
        <v>1962</v>
      </c>
      <c r="F22" s="2646" t="s">
        <v>2536</v>
      </c>
      <c r="G22" s="2646" t="s">
        <v>1959</v>
      </c>
      <c r="H22" s="1065"/>
      <c r="I22" s="1064"/>
      <c r="L22" s="1039">
        <f>IFERROR(MIN(4,MATCH(Application!B728,UnitSizes,0)-1),"")</f>
        <v>1</v>
      </c>
      <c r="M22" s="1060">
        <f>Application!G728</f>
        <v>3</v>
      </c>
      <c r="N22" s="1066">
        <f>Application!AC728</f>
        <v>0.5</v>
      </c>
      <c r="O22" s="1066">
        <f>IF(Cdlac[[#This Row],[Quantity]]&gt;0,IF(Cdlac[[#This Row],[Federal]],30%,IF(AND(OR(NOT($G$38),$G$38=""),$G$43),40%,Cdlac[[#This Row],[iAMI]])),"")</f>
        <v>0.5</v>
      </c>
      <c r="P22" s="1060" cm="1">
        <f t="array" ref="P22">IF(Cdlac[[#This Row],[Quantity]]&gt;0,INDEX(TcacRents,$P$18,Cdlac[[#This Row],[Bedrooms]]+1)*Cdlac[[#This Row],[AMI]],"")</f>
        <v>1813</v>
      </c>
      <c r="Q22" s="1157"/>
      <c r="R22" s="1060" cm="1">
        <f t="array" ref="R22">IF(Cdlac[[#This Row],[Quantity]]&gt;0,INDEX(HudFmrs,$P$18,Cdlac[[#This Row],[Bedrooms]]+1),"")</f>
        <v>2780</v>
      </c>
      <c r="S22" s="1060">
        <f>IF(Cdlac[[#This Row],[Quantity]]&gt;0,MAX(0,Cdlac[[#This Row],[Fair Market Rent]]-IF(AND($G$37,$G$38,$G$38&lt;&gt;"",NOT(Cdlac[[#This Row],[Federal]]),Cdlac[[#This Row],[Preservation Rent]]&lt;&gt;""),Cdlac[[#This Row],[Preservation Rent]],Cdlac[[#This Row],[Restricted Rent]])),"")</f>
        <v>967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4</v>
      </c>
      <c r="N23" s="1066">
        <f>Application!AC729</f>
        <v>0.3</v>
      </c>
      <c r="O23" s="1066">
        <f>IF(Cdlac[[#This Row],[Quantity]]&gt;0,IF(Cdlac[[#This Row],[Federal]],30%,IF(AND(OR(NOT($G$38),$G$38=""),$G$43),40%,Cdlac[[#This Row],[iAMI]])),"")</f>
        <v>0.3</v>
      </c>
      <c r="P23" s="1060" cm="1">
        <f t="array" ref="P23">IF(Cdlac[[#This Row],[Quantity]]&gt;0,INDEX(TcacRents,$P$18,Cdlac[[#This Row],[Bedrooms]]+1)*Cdlac[[#This Row],[AMI]],"")</f>
        <v>1087.8</v>
      </c>
      <c r="Q23" s="1157"/>
      <c r="R23" s="1060" cm="1">
        <f t="array" ref="R23">IF(Cdlac[[#This Row],[Quantity]]&gt;0,INDEX(HudFmrs,$P$18,Cdlac[[#This Row],[Bedrooms]]+1),"")</f>
        <v>2780</v>
      </c>
      <c r="S23" s="1060">
        <f>IF(Cdlac[[#This Row],[Quantity]]&gt;0,MAX(0,Cdlac[[#This Row],[Fair Market Rent]]-IF(AND($G$37,$G$38,$G$38&lt;&gt;"",NOT(Cdlac[[#This Row],[Federal]]),Cdlac[[#This Row],[Preservation Rent]]&lt;&gt;""),Cdlac[[#This Row],[Preservation Rent]],Cdlac[[#This Row],[Restricted Rent]])),"")</f>
        <v>1692.2</v>
      </c>
      <c r="T23" s="1039">
        <f>IF(Cdlac[[#This Row],[Quantity]]&gt;0,AND(Application!AK729&lt;&gt;"N/A",Application!AK729&lt;&gt;"")*Cdlac[[#This Row],[Quantity]],"")</f>
        <v>4</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13</v>
      </c>
      <c r="N24" s="1066">
        <f>Application!AC730</f>
        <v>0.7</v>
      </c>
      <c r="O24" s="1066">
        <f>IF(Cdlac[[#This Row],[Quantity]]&gt;0,IF(Cdlac[[#This Row],[Federal]],30%,IF(AND(OR(NOT($G$38),$G$38=""),$G$43),40%,Cdlac[[#This Row],[iAMI]])),"")</f>
        <v>0.7</v>
      </c>
      <c r="P24" s="1060" cm="1">
        <f t="array" ref="P24">IF(Cdlac[[#This Row],[Quantity]]&gt;0,INDEX(TcacRents,$P$18,Cdlac[[#This Row],[Bedrooms]]+1)*Cdlac[[#This Row],[AMI]],"")</f>
        <v>3046.3999999999996</v>
      </c>
      <c r="Q24" s="1157"/>
      <c r="R24" s="1060" cm="1">
        <f t="array" ref="R24">IF(Cdlac[[#This Row],[Quantity]]&gt;0,INDEX(HudFmrs,$P$18,Cdlac[[#This Row],[Bedrooms]]+1),"")</f>
        <v>3318</v>
      </c>
      <c r="S24" s="1060">
        <f>IF(Cdlac[[#This Row],[Quantity]]&gt;0,MAX(0,Cdlac[[#This Row],[Fair Market Rent]]-IF(AND($G$37,$G$38,$G$38&lt;&gt;"",NOT(Cdlac[[#This Row],[Federal]]),Cdlac[[#This Row],[Preservation Rent]]&lt;&gt;""),Cdlac[[#This Row],[Preservation Rent]],Cdlac[[#This Row],[Restricted Rent]])),"")</f>
        <v>271.60000000000036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21</v>
      </c>
      <c r="F25" s="1067">
        <f>E25</f>
        <v>21</v>
      </c>
      <c r="G25" s="1067">
        <f>D25*F25</f>
        <v>21</v>
      </c>
      <c r="L25" s="1039">
        <f>IFERROR(MIN(4,MATCH(Application!B731,UnitSizes,0)-1),"")</f>
        <v>2</v>
      </c>
      <c r="M25" s="1060">
        <f>Application!G731</f>
        <v>3</v>
      </c>
      <c r="N25" s="1066">
        <f>Application!AC731</f>
        <v>0.6</v>
      </c>
      <c r="O25" s="1066">
        <f>IF(Cdlac[[#This Row],[Quantity]]&gt;0,IF(Cdlac[[#This Row],[Federal]],30%,IF(AND(OR(NOT($G$38),$G$38=""),$G$43),40%,Cdlac[[#This Row],[iAMI]])),"")</f>
        <v>0.6</v>
      </c>
      <c r="P25" s="1060" cm="1">
        <f t="array" ref="P25">IF(Cdlac[[#This Row],[Quantity]]&gt;0,INDEX(TcacRents,$P$18,Cdlac[[#This Row],[Bedrooms]]+1)*Cdlac[[#This Row],[AMI]],"")</f>
        <v>2611.1999999999998</v>
      </c>
      <c r="Q25" s="1157"/>
      <c r="R25" s="1060" cm="1">
        <f t="array" ref="R25">IF(Cdlac[[#This Row],[Quantity]]&gt;0,INDEX(HudFmrs,$P$18,Cdlac[[#This Row],[Bedrooms]]+1),"")</f>
        <v>3318</v>
      </c>
      <c r="S25" s="1060">
        <f>IF(Cdlac[[#This Row],[Quantity]]&gt;0,MAX(0,Cdlac[[#This Row],[Fair Market Rent]]-IF(AND($G$37,$G$38,$G$38&lt;&gt;"",NOT(Cdlac[[#This Row],[Federal]]),Cdlac[[#This Row],[Preservation Rent]]&lt;&gt;""),Cdlac[[#This Row],[Preservation Rent]],Cdlac[[#This Row],[Restricted Rent]])),"")</f>
        <v>706.80000000000018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21</v>
      </c>
      <c r="F26" s="1070">
        <f>SUM(E26:E28)-SUM(F27:F28)</f>
        <v>23</v>
      </c>
      <c r="G26" s="1067">
        <f>D26*F26</f>
        <v>28.75</v>
      </c>
      <c r="H26" s="1069"/>
      <c r="I26" s="1069"/>
      <c r="L26" s="1039">
        <f>IFERROR(MIN(4,MATCH(Application!B732,UnitSizes,0)-1),"")</f>
        <v>2</v>
      </c>
      <c r="M26" s="1060">
        <f>Application!G732</f>
        <v>2</v>
      </c>
      <c r="N26" s="1066">
        <f>Application!AC732</f>
        <v>0.5</v>
      </c>
      <c r="O26" s="1066">
        <f>IF(Cdlac[[#This Row],[Quantity]]&gt;0,IF(Cdlac[[#This Row],[Federal]],30%,IF(AND(OR(NOT($G$38),$G$38=""),$G$43),40%,Cdlac[[#This Row],[iAMI]])),"")</f>
        <v>0.5</v>
      </c>
      <c r="P26" s="1060" cm="1">
        <f t="array" ref="P26">IF(Cdlac[[#This Row],[Quantity]]&gt;0,INDEX(TcacRents,$P$18,Cdlac[[#This Row],[Bedrooms]]+1)*Cdlac[[#This Row],[AMI]],"")</f>
        <v>2176</v>
      </c>
      <c r="Q26" s="1157"/>
      <c r="R26" s="1060" cm="1">
        <f t="array" ref="R26">IF(Cdlac[[#This Row],[Quantity]]&gt;0,INDEX(HudFmrs,$P$18,Cdlac[[#This Row],[Bedrooms]]+1),"")</f>
        <v>3318</v>
      </c>
      <c r="S26" s="1060">
        <f>IF(Cdlac[[#This Row],[Quantity]]&gt;0,MAX(0,Cdlac[[#This Row],[Fair Market Rent]]-IF(AND($G$37,$G$38,$G$38&lt;&gt;"",NOT(Cdlac[[#This Row],[Federal]]),Cdlac[[#This Row],[Preservation Rent]]&lt;&gt;""),Cdlac[[#This Row],[Preservation Rent]],Cdlac[[#This Row],[Restricted Rent]])),"")</f>
        <v>1142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20</v>
      </c>
      <c r="F27" s="1070">
        <f>MIN(E27,ROUNDDOWN(E29*30%,0))</f>
        <v>18</v>
      </c>
      <c r="G27" s="1067">
        <f>D27*F27</f>
        <v>27</v>
      </c>
      <c r="H27" s="1069"/>
      <c r="I27" s="1069"/>
      <c r="L27" s="1039">
        <f>IFERROR(MIN(4,MATCH(Application!B733,UnitSizes,0)-1),"")</f>
        <v>2</v>
      </c>
      <c r="M27" s="1060">
        <f>Application!G733</f>
        <v>3</v>
      </c>
      <c r="N27" s="1066">
        <f>Application!AC733</f>
        <v>0.3</v>
      </c>
      <c r="O27" s="1066">
        <f>IF(Cdlac[[#This Row],[Quantity]]&gt;0,IF(Cdlac[[#This Row],[Federal]],30%,IF(AND(OR(NOT($G$38),$G$38=""),$G$43),40%,Cdlac[[#This Row],[iAMI]])),"")</f>
        <v>0.3</v>
      </c>
      <c r="P27" s="1060" cm="1">
        <f t="array" ref="P27">IF(Cdlac[[#This Row],[Quantity]]&gt;0,INDEX(TcacRents,$P$18,Cdlac[[#This Row],[Bedrooms]]+1)*Cdlac[[#This Row],[AMI]],"")</f>
        <v>1305.5999999999999</v>
      </c>
      <c r="Q27" s="1157"/>
      <c r="R27" s="1060" cm="1">
        <f t="array" ref="R27">IF(Cdlac[[#This Row],[Quantity]]&gt;0,INDEX(HudFmrs,$P$18,Cdlac[[#This Row],[Bedrooms]]+1),"")</f>
        <v>3318</v>
      </c>
      <c r="S27" s="1060">
        <f>IF(Cdlac[[#This Row],[Quantity]]&gt;0,MAX(0,Cdlac[[#This Row],[Fair Market Rent]]-IF(AND($G$37,$G$38,$G$38&lt;&gt;"",NOT(Cdlac[[#This Row],[Federal]]),Cdlac[[#This Row],[Preservation Rent]]&lt;&gt;""),Cdlac[[#This Row],[Preservation Rent]],Cdlac[[#This Row],[Restricted Rent]])),"")</f>
        <v>2012.4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12</v>
      </c>
      <c r="N28" s="1066">
        <f>Application!AC734</f>
        <v>0.7</v>
      </c>
      <c r="O28" s="1066">
        <f>IF(Cdlac[[#This Row],[Quantity]]&gt;0,IF(Cdlac[[#This Row],[Federal]],30%,IF(AND(OR(NOT($G$38),$G$38=""),$G$43),40%,Cdlac[[#This Row],[iAMI]])),"")</f>
        <v>0.7</v>
      </c>
      <c r="P28" s="1060" cm="1">
        <f t="array" ref="P28">IF(Cdlac[[#This Row],[Quantity]]&gt;0,INDEX(TcacRents,$P$18,Cdlac[[#This Row],[Bedrooms]]+1)*Cdlac[[#This Row],[AMI]],"")</f>
        <v>3519.6</v>
      </c>
      <c r="Q28" s="1157"/>
      <c r="R28" s="1060" cm="1">
        <f t="array" ref="R28">IF(Cdlac[[#This Row],[Quantity]]&gt;0,INDEX(HudFmrs,$P$18,Cdlac[[#This Row],[Bedrooms]]+1),"")</f>
        <v>4138</v>
      </c>
      <c r="S28" s="1060">
        <f>IF(Cdlac[[#This Row],[Quantity]]&gt;0,MAX(0,Cdlac[[#This Row],[Fair Market Rent]]-IF(AND($G$37,$G$38,$G$38&lt;&gt;"",NOT(Cdlac[[#This Row],[Federal]]),Cdlac[[#This Row],[Preservation Rent]]&lt;&gt;""),Cdlac[[#This Row],[Preservation Rent]],Cdlac[[#This Row],[Restricted Rent]])),"")</f>
        <v>618.40000000000009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6" t="s">
        <v>1575</v>
      </c>
      <c r="D29" s="2677"/>
      <c r="E29" s="1084">
        <f>SUM(E24:E28)</f>
        <v>62</v>
      </c>
      <c r="F29" s="1084">
        <f>SUM(F24:F28)</f>
        <v>62</v>
      </c>
      <c r="G29" s="1085">
        <f>SUMPRODUCT(D24:D28,F24:F28)</f>
        <v>76.75</v>
      </c>
      <c r="H29" s="1069"/>
      <c r="I29" s="1069"/>
      <c r="L29" s="1039">
        <f>IFERROR(MIN(4,MATCH(Application!B735,UnitSizes,0)-1),"")</f>
        <v>3</v>
      </c>
      <c r="M29" s="1060">
        <f>Application!G735</f>
        <v>3</v>
      </c>
      <c r="N29" s="1066">
        <f>Application!AC735</f>
        <v>0.6</v>
      </c>
      <c r="O29" s="1066">
        <f>IF(Cdlac[[#This Row],[Quantity]]&gt;0,IF(Cdlac[[#This Row],[Federal]],30%,IF(AND(OR(NOT($G$38),$G$38=""),$G$43),40%,Cdlac[[#This Row],[iAMI]])),"")</f>
        <v>0.6</v>
      </c>
      <c r="P29" s="1060" cm="1">
        <f t="array" ref="P29">IF(Cdlac[[#This Row],[Quantity]]&gt;0,INDEX(TcacRents,$P$18,Cdlac[[#This Row],[Bedrooms]]+1)*Cdlac[[#This Row],[AMI]],"")</f>
        <v>3016.7999999999997</v>
      </c>
      <c r="Q29" s="1157"/>
      <c r="R29" s="1060" cm="1">
        <f t="array" ref="R29">IF(Cdlac[[#This Row],[Quantity]]&gt;0,INDEX(HudFmrs,$P$18,Cdlac[[#This Row],[Bedrooms]]+1),"")</f>
        <v>4138</v>
      </c>
      <c r="S29" s="1060">
        <f>IF(Cdlac[[#This Row],[Quantity]]&gt;0,MAX(0,Cdlac[[#This Row],[Fair Market Rent]]-IF(AND($G$37,$G$38,$G$38&lt;&gt;"",NOT(Cdlac[[#This Row],[Federal]]),Cdlac[[#This Row],[Preservation Rent]]&lt;&gt;""),Cdlac[[#This Row],[Preservation Rent]],Cdlac[[#This Row],[Restricted Rent]])),"")</f>
        <v>1121.2000000000003</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v>
      </c>
      <c r="N30" s="1066">
        <f>Application!AC736</f>
        <v>0.5</v>
      </c>
      <c r="O30" s="1066">
        <f>IF(Cdlac[[#This Row],[Quantity]]&gt;0,IF(Cdlac[[#This Row],[Federal]],30%,IF(AND(OR(NOT($G$38),$G$38=""),$G$43),40%,Cdlac[[#This Row],[iAMI]])),"")</f>
        <v>0.5</v>
      </c>
      <c r="P30" s="1060" cm="1">
        <f t="array" ref="P30">IF(Cdlac[[#This Row],[Quantity]]&gt;0,INDEX(TcacRents,$P$18,Cdlac[[#This Row],[Bedrooms]]+1)*Cdlac[[#This Row],[AMI]],"")</f>
        <v>2514</v>
      </c>
      <c r="Q30" s="1157"/>
      <c r="R30" s="1060" cm="1">
        <f t="array" ref="R30">IF(Cdlac[[#This Row],[Quantity]]&gt;0,INDEX(HudFmrs,$P$18,Cdlac[[#This Row],[Bedrooms]]+1),"")</f>
        <v>4138</v>
      </c>
      <c r="S30" s="1060">
        <f>IF(Cdlac[[#This Row],[Quantity]]&gt;0,MAX(0,Cdlac[[#This Row],[Fair Market Rent]]-IF(AND($G$37,$G$38,$G$38&lt;&gt;"",NOT(Cdlac[[#This Row],[Federal]]),Cdlac[[#This Row],[Preservation Rent]]&lt;&gt;""),Cdlac[[#This Row],[Preservation Rent]],Cdlac[[#This Row],[Restricted Rent]])),"")</f>
        <v>1624</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76.75</v>
      </c>
      <c r="H31" s="1069"/>
      <c r="I31" s="1069"/>
      <c r="L31" s="1039">
        <f>IFERROR(MIN(4,MATCH(Application!B737,UnitSizes,0)-1),"")</f>
        <v>3</v>
      </c>
      <c r="M31" s="1060">
        <f>Application!G737</f>
        <v>3</v>
      </c>
      <c r="N31" s="1066">
        <f>Application!AC737</f>
        <v>0.3</v>
      </c>
      <c r="O31" s="1066">
        <f>IF(Cdlac[[#This Row],[Quantity]]&gt;0,IF(Cdlac[[#This Row],[Federal]],30%,IF(AND(OR(NOT($G$38),$G$38=""),$G$43),40%,Cdlac[[#This Row],[iAMI]])),"")</f>
        <v>0.3</v>
      </c>
      <c r="P31" s="1060" cm="1">
        <f t="array" ref="P31">IF(Cdlac[[#This Row],[Quantity]]&gt;0,INDEX(TcacRents,$P$18,Cdlac[[#This Row],[Bedrooms]]+1)*Cdlac[[#This Row],[AMI]],"")</f>
        <v>1508.3999999999999</v>
      </c>
      <c r="Q31" s="1157"/>
      <c r="R31" s="1060" cm="1">
        <f t="array" ref="R31">IF(Cdlac[[#This Row],[Quantity]]&gt;0,INDEX(HudFmrs,$P$18,Cdlac[[#This Row],[Bedrooms]]+1),"")</f>
        <v>4138</v>
      </c>
      <c r="S31" s="1060">
        <f>IF(Cdlac[[#This Row],[Quantity]]&gt;0,MAX(0,Cdlac[[#This Row],[Fair Market Rent]]-IF(AND($G$37,$G$38,$G$38&lt;&gt;"",NOT(Cdlac[[#This Row],[Federal]]),Cdlac[[#This Row],[Preservation Rent]]&lt;&gt;""),Cdlac[[#This Row],[Preservation Rent]],Cdlac[[#This Row],[Restricted Rent]])),"")</f>
        <v>2629.6000000000004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3837500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0.59838709677419333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50036.400000000009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9006552.0000000019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4</v>
      </c>
    </row>
    <row r="61" spans="2:21" ht="15" customHeight="1">
      <c r="E61" s="1111" t="s">
        <v>1968</v>
      </c>
      <c r="G61" s="1108">
        <f>ROUNDDOWN(E29*50%,0)</f>
        <v>31</v>
      </c>
    </row>
    <row r="62" spans="2:21" ht="15" customHeight="1">
      <c r="E62" s="1111"/>
      <c r="G62" s="1119"/>
    </row>
    <row r="63" spans="2:21" ht="15" customHeight="1">
      <c r="E63" s="1111" t="s">
        <v>1928</v>
      </c>
      <c r="G63" s="1108">
        <f>MIN(G60:G61)</f>
        <v>4</v>
      </c>
    </row>
    <row r="64" spans="2:21" ht="15" customHeight="1">
      <c r="E64" s="1111" t="s">
        <v>1918</v>
      </c>
      <c r="F64" s="1107" t="s">
        <v>1966</v>
      </c>
      <c r="G64" s="1118">
        <v>10000</v>
      </c>
    </row>
    <row r="65" spans="5:7" ht="15" customHeight="1">
      <c r="E65" s="1112" t="s">
        <v>1951</v>
      </c>
      <c r="F65" s="1041"/>
      <c r="G65" s="1117">
        <f>G63*G64</f>
        <v>40000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4</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48" t="s">
        <v>1943</v>
      </c>
      <c r="M83" s="2649"/>
      <c r="N83" s="1125">
        <v>30000</v>
      </c>
    </row>
    <row r="84" spans="2:14" ht="15" customHeight="1">
      <c r="C84" s="1072" t="s">
        <v>1955</v>
      </c>
      <c r="G84" s="1076" t="str">
        <f>IF(Application!D211="Large Family","Yes","No")</f>
        <v>Yes</v>
      </c>
      <c r="L84" s="2652" t="s">
        <v>1911</v>
      </c>
      <c r="M84" s="2653"/>
      <c r="N84" s="1126">
        <v>20000</v>
      </c>
    </row>
    <row r="85" spans="2:14" ht="15" customHeight="1" thickBot="1">
      <c r="C85" s="1072" t="s">
        <v>1941</v>
      </c>
      <c r="G85" s="1038" t="s">
        <v>669</v>
      </c>
      <c r="L85" s="2654" t="s">
        <v>1944</v>
      </c>
      <c r="M85" s="2655"/>
      <c r="N85" s="1127">
        <v>10000</v>
      </c>
    </row>
    <row r="86" spans="2:14" ht="15" customHeight="1" thickBot="1">
      <c r="C86" s="1072" t="s">
        <v>1942</v>
      </c>
      <c r="G86" s="1039" t="str">
        <f>Application!T193</f>
        <v>High Resource</v>
      </c>
    </row>
    <row r="87" spans="2:14" ht="15" customHeight="1">
      <c r="C87" s="2682" t="s">
        <v>2211</v>
      </c>
      <c r="D87" s="2682"/>
      <c r="E87" s="2682"/>
      <c r="F87" s="2682"/>
      <c r="G87" s="1038" t="s">
        <v>669</v>
      </c>
      <c r="L87" s="1121" t="str">
        <f>'Points System'!H651</f>
        <v>(i)</v>
      </c>
      <c r="M87" s="2650" t="s">
        <v>1397</v>
      </c>
      <c r="N87" s="2651"/>
    </row>
    <row r="88" spans="2:14" ht="15" customHeight="1">
      <c r="C88" s="2682"/>
      <c r="D88" s="2682"/>
      <c r="E88" s="2682"/>
      <c r="F88" s="2682"/>
      <c r="L88" s="1122" t="str">
        <f>'Points System'!H663</f>
        <v>N/A</v>
      </c>
      <c r="M88" s="2642" t="s">
        <v>1930</v>
      </c>
      <c r="N88" s="2643"/>
    </row>
    <row r="89" spans="2:14" ht="15" customHeight="1">
      <c r="C89" s="1072"/>
      <c r="L89" s="1122" t="str">
        <f>'Points System'!H698</f>
        <v>(i)</v>
      </c>
      <c r="M89" s="2642" t="s">
        <v>1931</v>
      </c>
      <c r="N89" s="2643"/>
    </row>
    <row r="90" spans="2:14" ht="15" customHeight="1">
      <c r="E90" s="1079" t="s">
        <v>1973</v>
      </c>
      <c r="G90" s="1074" t="b">
        <f>OR(AND(COUNTIFS(G84:G85,"Yes")&gt;=1,G83="Yes"),G87="Yes")</f>
        <v>1</v>
      </c>
      <c r="L90" s="1122" t="str">
        <f>IF(OR('Points System'!H722="(ii)",'Points System'!H722="(i)"),"(i)","N/A")</f>
        <v>(i)</v>
      </c>
      <c r="M90" s="2642" t="s">
        <v>1932</v>
      </c>
      <c r="N90" s="2643"/>
    </row>
    <row r="91" spans="2:14" ht="15" customHeight="1">
      <c r="E91" s="1079"/>
      <c r="G91" s="1074"/>
      <c r="L91" s="1123" t="str">
        <f>'Points System'!H736</f>
        <v>N/A</v>
      </c>
      <c r="M91" s="2642" t="s">
        <v>1423</v>
      </c>
      <c r="N91" s="2643"/>
    </row>
    <row r="92" spans="2:14" ht="15" customHeight="1">
      <c r="E92" s="1079" t="s">
        <v>1918</v>
      </c>
      <c r="G92" s="1073">
        <f>IFERROR(IF($G$87="Yes",30000,INDEX(N83:N85,MATCH(LEFT(G86,17),L83:L85,0))),0)</f>
        <v>20000</v>
      </c>
      <c r="L92" s="1122" t="str">
        <f>'Points System'!H748</f>
        <v>N/A</v>
      </c>
      <c r="M92" s="2642" t="s">
        <v>1933</v>
      </c>
      <c r="N92" s="2643"/>
    </row>
    <row r="93" spans="2:14" ht="15" customHeight="1">
      <c r="E93" s="1079" t="str">
        <f>E110</f>
        <v>Bedroom-Adjusted Low-Income Units</v>
      </c>
      <c r="F93" s="1107" t="s">
        <v>1966</v>
      </c>
      <c r="G93" s="1108">
        <f>G29</f>
        <v>76.75</v>
      </c>
      <c r="L93" s="1122" t="str">
        <f>'Points System'!H764</f>
        <v>N/A</v>
      </c>
      <c r="M93" s="2642" t="s">
        <v>1934</v>
      </c>
      <c r="N93" s="2643"/>
    </row>
    <row r="94" spans="2:14" ht="15" customHeight="1" thickBot="1">
      <c r="D94" s="1041"/>
      <c r="E94" s="1112" t="s">
        <v>2214</v>
      </c>
      <c r="F94" s="1041"/>
      <c r="G94" s="1117">
        <f>G93*G92*G90</f>
        <v>1535000</v>
      </c>
      <c r="L94" s="1124" t="str">
        <f>'Points System'!H776</f>
        <v>(i)</v>
      </c>
      <c r="M94" s="2644" t="s">
        <v>1426</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669</v>
      </c>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76.75</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76.75</v>
      </c>
    </row>
    <row r="111" spans="2:9" ht="15" customHeight="1">
      <c r="E111" s="1112" t="s">
        <v>1935</v>
      </c>
      <c r="F111" s="1041"/>
      <c r="G111" s="1117">
        <f>G108*G109*G110</f>
        <v>2149000</v>
      </c>
    </row>
    <row r="112" spans="2:9" ht="15" customHeight="1">
      <c r="C112" s="1072"/>
      <c r="G112" s="1108"/>
    </row>
    <row r="113" spans="2:7" ht="15" customHeight="1">
      <c r="E113" s="1079" t="s">
        <v>1971</v>
      </c>
      <c r="G113" s="1108">
        <f>COUNTIFS(L87:L94,"(i)")</f>
        <v>4</v>
      </c>
    </row>
    <row r="114" spans="2:7" ht="15" customHeight="1">
      <c r="E114" s="1079" t="s">
        <v>1918</v>
      </c>
      <c r="F114" s="1107" t="s">
        <v>1966</v>
      </c>
      <c r="G114" s="1118">
        <v>4000</v>
      </c>
    </row>
    <row r="115" spans="2:7" ht="15" customHeight="1">
      <c r="E115" s="1112" t="s">
        <v>1936</v>
      </c>
      <c r="F115" s="1041"/>
      <c r="G115" s="1117">
        <f>G110*G113*G114</f>
        <v>1228000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4.5">
      <c r="E125" s="1079" t="s">
        <v>1970</v>
      </c>
      <c r="F125" s="1107" t="s">
        <v>1966</v>
      </c>
      <c r="G125" s="1108">
        <f>G29</f>
        <v>76.75</v>
      </c>
    </row>
    <row r="126" spans="2:7" ht="14.5">
      <c r="E126" s="1079" t="s">
        <v>1918</v>
      </c>
      <c r="F126" s="1107" t="s">
        <v>1966</v>
      </c>
      <c r="G126" s="1118">
        <v>25000</v>
      </c>
    </row>
    <row r="127" spans="2:7">
      <c r="E127" s="1112" t="s">
        <v>1937</v>
      </c>
      <c r="F127" s="1041"/>
      <c r="G127" s="1117">
        <f>G123*G126*G110</f>
        <v>1918750</v>
      </c>
    </row>
    <row r="128" spans="2:7">
      <c r="C128" s="1072"/>
      <c r="E128" s="1072"/>
    </row>
    <row r="129" spans="2:9">
      <c r="E129" s="1112" t="s">
        <v>2216</v>
      </c>
      <c r="G129" s="1117">
        <f>G127+G115+G111</f>
        <v>5295750</v>
      </c>
    </row>
    <row r="131" spans="2:9">
      <c r="B131" s="1061" t="s">
        <v>139</v>
      </c>
      <c r="C131" s="1062"/>
      <c r="D131" s="1062"/>
      <c r="E131" s="1062"/>
      <c r="F131" s="1062"/>
      <c r="G131" s="1062"/>
      <c r="H131" s="1062"/>
      <c r="I131" s="1063"/>
    </row>
    <row r="133" spans="2:9">
      <c r="C133" s="2678" t="s">
        <v>2182</v>
      </c>
      <c r="D133" s="2678"/>
      <c r="E133" s="2678"/>
      <c r="F133" s="2678"/>
    </row>
    <row r="134" spans="2:9">
      <c r="C134" s="2678"/>
      <c r="D134" s="2678"/>
      <c r="E134" s="2678"/>
      <c r="F134" s="2678"/>
      <c r="G134" s="1038" t="s">
        <v>545</v>
      </c>
    </row>
    <row r="135" spans="2:9" ht="14.25" customHeight="1"/>
    <row r="136" spans="2:9">
      <c r="C136" s="1039" t="s">
        <v>2184</v>
      </c>
      <c r="G136" s="2680" t="s">
        <v>2775</v>
      </c>
      <c r="H136" s="2680"/>
    </row>
    <row r="137" spans="2:9">
      <c r="G137" s="2680"/>
      <c r="H137" s="2680"/>
    </row>
    <row r="138" spans="2:9">
      <c r="G138" s="2681"/>
      <c r="H138" s="2681"/>
    </row>
    <row r="140" spans="2:9">
      <c r="C140" s="2678" t="s">
        <v>2594</v>
      </c>
      <c r="D140" s="2678"/>
      <c r="E140" s="2678"/>
      <c r="F140" s="2678"/>
    </row>
    <row r="141" spans="2:9">
      <c r="C141" s="2678"/>
      <c r="D141" s="2678"/>
      <c r="E141" s="2678"/>
      <c r="F141" s="2678"/>
      <c r="G141" s="1038" t="s">
        <v>545</v>
      </c>
    </row>
    <row r="142" spans="2:9">
      <c r="C142" s="2678"/>
      <c r="D142" s="2678"/>
      <c r="E142" s="2678"/>
      <c r="F142" s="2678"/>
    </row>
    <row r="144" spans="2:9">
      <c r="C144" s="2678" t="s">
        <v>2593</v>
      </c>
      <c r="D144" s="2678"/>
      <c r="E144" s="2678"/>
      <c r="F144" s="2678"/>
    </row>
    <row r="145" spans="2:9">
      <c r="C145" s="2678"/>
      <c r="D145" s="2678"/>
      <c r="E145" s="2678"/>
      <c r="F145" s="2678"/>
      <c r="G145" s="1038" t="s">
        <v>545</v>
      </c>
    </row>
    <row r="146" spans="2:9">
      <c r="C146" s="2678"/>
      <c r="D146" s="2678"/>
      <c r="E146" s="2678"/>
      <c r="F146" s="2678"/>
    </row>
    <row r="147" spans="2:9">
      <c r="C147" s="2678"/>
      <c r="D147" s="2678"/>
      <c r="E147" s="2678"/>
      <c r="F147" s="2678"/>
    </row>
    <row r="149" spans="2:9">
      <c r="B149" s="1061" t="s">
        <v>1975</v>
      </c>
      <c r="C149" s="1062"/>
      <c r="D149" s="1062"/>
      <c r="E149" s="1062"/>
      <c r="F149" s="1062"/>
      <c r="G149" s="1062"/>
      <c r="H149" s="1062"/>
      <c r="I149" s="1063"/>
    </row>
    <row r="151" spans="2:9">
      <c r="E151" s="1079" t="s">
        <v>582</v>
      </c>
      <c r="G151" s="1039" t="str">
        <f>IF(Application!T189="","",Application!T189)</f>
        <v>San Mateo</v>
      </c>
    </row>
    <row r="152" spans="2:9">
      <c r="E152" s="1079"/>
      <c r="G152" s="1073"/>
    </row>
    <row r="153" spans="2:9">
      <c r="E153" s="1079" t="str">
        <f>"2-Bedroom "&amp;G151&amp;" County Basis Limit"</f>
        <v>2-Bedroom San Mateo County Basis Limit</v>
      </c>
      <c r="G153" s="1073">
        <f>Application!R997</f>
        <v>740000</v>
      </c>
    </row>
    <row r="154" spans="2:9">
      <c r="E154" s="1079" t="s">
        <v>1974</v>
      </c>
      <c r="G154" s="1073">
        <f>MEDIAN((Application!CU160:CU217))</f>
        <v>560000</v>
      </c>
    </row>
    <row r="155" spans="2:9">
      <c r="D155" s="1041"/>
      <c r="E155" s="1112" t="s">
        <v>1976</v>
      </c>
      <c r="F155" s="1128"/>
      <c r="G155" s="1129">
        <f>((G153-G154)/G154)*0.25</f>
        <v>8.0357142857142863E-2</v>
      </c>
      <c r="H155" s="1037"/>
      <c r="I155" s="1037"/>
    </row>
    <row r="156" spans="2:9">
      <c r="D156" s="1040"/>
      <c r="E156" s="1040"/>
    </row>
    <row r="157" spans="2:9">
      <c r="B157" s="1061" t="s">
        <v>2217</v>
      </c>
      <c r="C157" s="1062"/>
      <c r="D157" s="1062"/>
      <c r="E157" s="1062"/>
      <c r="F157" s="1062"/>
      <c r="G157" s="1062"/>
      <c r="H157" s="1062"/>
      <c r="I157" s="1063"/>
    </row>
    <row r="159" spans="2:9">
      <c r="E159" s="1079" t="s">
        <v>2574</v>
      </c>
      <c r="G159" s="1039" t="b">
        <f>G37</f>
        <v>0</v>
      </c>
    </row>
    <row r="160" spans="2:9">
      <c r="C160" s="2675" t="s">
        <v>2218</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2370000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view="pageBreakPreview" zoomScale="60" zoomScaleNormal="100" workbookViewId="0">
      <selection activeCell="D12" sqref="D12"/>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98.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1 Bedroom</v>
      </c>
      <c r="B4" s="1077">
        <f>Application!G726</f>
        <v>11</v>
      </c>
      <c r="C4" s="1155"/>
      <c r="D4" s="428">
        <f>Application!O726</f>
        <v>2453</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v>
      </c>
      <c r="C5" s="1155"/>
      <c r="D5" s="428">
        <f>Application!O727</f>
        <v>2090</v>
      </c>
      <c r="E5" s="429"/>
      <c r="F5" s="1078"/>
      <c r="G5" s="428">
        <f t="shared" ref="G5:G38" si="2">F5*B5</f>
        <v>0</v>
      </c>
      <c r="H5" s="429"/>
      <c r="I5" s="428" t="str">
        <f t="shared" si="0"/>
        <v/>
      </c>
      <c r="J5" s="428" t="str">
        <f t="shared" si="1"/>
        <v/>
      </c>
      <c r="K5" s="204"/>
      <c r="L5" s="305"/>
    </row>
    <row r="6" spans="1:12">
      <c r="A6" s="428" t="str">
        <f>Application!B728</f>
        <v>1 Bedroom</v>
      </c>
      <c r="B6" s="1077">
        <f>Application!G728</f>
        <v>3</v>
      </c>
      <c r="C6" s="1155"/>
      <c r="D6" s="428">
        <f>Application!O728</f>
        <v>1727</v>
      </c>
      <c r="E6" s="429"/>
      <c r="F6" s="1078"/>
      <c r="G6" s="428">
        <f t="shared" si="2"/>
        <v>0</v>
      </c>
      <c r="H6" s="429"/>
      <c r="I6" s="428" t="str">
        <f t="shared" si="0"/>
        <v/>
      </c>
      <c r="J6" s="428" t="str">
        <f t="shared" si="1"/>
        <v/>
      </c>
      <c r="K6" s="204"/>
      <c r="L6" s="305"/>
    </row>
    <row r="7" spans="1:12">
      <c r="A7" s="428" t="str">
        <f>Application!B729</f>
        <v>1 Bedroom</v>
      </c>
      <c r="B7" s="1077">
        <f>Application!G729</f>
        <v>4</v>
      </c>
      <c r="C7" s="1155"/>
      <c r="D7" s="428">
        <f>Application!O729</f>
        <v>1002</v>
      </c>
      <c r="E7" s="429"/>
      <c r="F7" s="1078"/>
      <c r="G7" s="428">
        <f t="shared" si="2"/>
        <v>0</v>
      </c>
      <c r="H7" s="429"/>
      <c r="I7" s="428" t="str">
        <f t="shared" si="0"/>
        <v/>
      </c>
      <c r="J7" s="428" t="str">
        <f t="shared" si="1"/>
        <v/>
      </c>
      <c r="K7" s="204"/>
      <c r="L7" s="305"/>
    </row>
    <row r="8" spans="1:12">
      <c r="A8" s="428" t="str">
        <f>Application!B730</f>
        <v>2 Bedrooms</v>
      </c>
      <c r="B8" s="1077">
        <f>Application!G730</f>
        <v>13</v>
      </c>
      <c r="C8" s="1155"/>
      <c r="D8" s="428">
        <f>Application!O730</f>
        <v>2927</v>
      </c>
      <c r="E8" s="429"/>
      <c r="F8" s="1078"/>
      <c r="G8" s="428">
        <f t="shared" si="2"/>
        <v>0</v>
      </c>
      <c r="H8" s="429"/>
      <c r="I8" s="428" t="str">
        <f t="shared" si="0"/>
        <v/>
      </c>
      <c r="J8" s="428" t="str">
        <f t="shared" si="1"/>
        <v/>
      </c>
      <c r="K8" s="204"/>
      <c r="L8" s="305"/>
    </row>
    <row r="9" spans="1:12">
      <c r="A9" s="428" t="str">
        <f>Application!B731</f>
        <v>2 Bedrooms</v>
      </c>
      <c r="B9" s="1077">
        <f>Application!G731</f>
        <v>3</v>
      </c>
      <c r="C9" s="1155"/>
      <c r="D9" s="428">
        <f>Application!O731</f>
        <v>2492</v>
      </c>
      <c r="E9" s="429"/>
      <c r="F9" s="1078"/>
      <c r="G9" s="428">
        <f t="shared" si="2"/>
        <v>0</v>
      </c>
      <c r="H9" s="429"/>
      <c r="I9" s="428" t="str">
        <f t="shared" si="0"/>
        <v/>
      </c>
      <c r="J9" s="428" t="str">
        <f t="shared" si="1"/>
        <v/>
      </c>
      <c r="K9" s="204"/>
      <c r="L9" s="305"/>
    </row>
    <row r="10" spans="1:12">
      <c r="A10" s="428" t="str">
        <f>Application!B732</f>
        <v>2 Bedrooms</v>
      </c>
      <c r="B10" s="1077">
        <f>Application!G732</f>
        <v>2</v>
      </c>
      <c r="C10" s="1155"/>
      <c r="D10" s="428">
        <f>Application!O732</f>
        <v>2057</v>
      </c>
      <c r="E10" s="429"/>
      <c r="F10" s="1078"/>
      <c r="G10" s="428">
        <f t="shared" si="2"/>
        <v>0</v>
      </c>
      <c r="H10" s="429"/>
      <c r="I10" s="428" t="str">
        <f t="shared" si="0"/>
        <v/>
      </c>
      <c r="J10" s="428" t="str">
        <f t="shared" si="1"/>
        <v/>
      </c>
      <c r="K10" s="204"/>
      <c r="L10" s="305"/>
    </row>
    <row r="11" spans="1:12">
      <c r="A11" s="428" t="str">
        <f>Application!B733</f>
        <v>2 Bedrooms</v>
      </c>
      <c r="B11" s="1077">
        <f>Application!G733</f>
        <v>3</v>
      </c>
      <c r="C11" s="1155"/>
      <c r="D11" s="428">
        <f>Application!O733</f>
        <v>1186</v>
      </c>
      <c r="E11" s="429"/>
      <c r="F11" s="1078"/>
      <c r="G11" s="428">
        <f t="shared" si="2"/>
        <v>0</v>
      </c>
      <c r="H11" s="429"/>
      <c r="I11" s="428" t="str">
        <f t="shared" si="0"/>
        <v/>
      </c>
      <c r="J11" s="428" t="str">
        <f t="shared" si="1"/>
        <v/>
      </c>
      <c r="K11" s="204"/>
      <c r="L11" s="305"/>
    </row>
    <row r="12" spans="1:12">
      <c r="A12" s="428" t="str">
        <f>Application!B734</f>
        <v>3 Bedrooms</v>
      </c>
      <c r="B12" s="1077">
        <f>Application!G734</f>
        <v>12</v>
      </c>
      <c r="C12" s="1155"/>
      <c r="D12" s="428">
        <f>Application!O734</f>
        <v>3363</v>
      </c>
      <c r="E12" s="429"/>
      <c r="F12" s="1078"/>
      <c r="G12" s="428">
        <f t="shared" si="2"/>
        <v>0</v>
      </c>
      <c r="H12" s="429"/>
      <c r="I12" s="428" t="str">
        <f t="shared" si="0"/>
        <v/>
      </c>
      <c r="J12" s="428" t="str">
        <f t="shared" si="1"/>
        <v/>
      </c>
      <c r="K12" s="204"/>
      <c r="L12" s="305"/>
    </row>
    <row r="13" spans="1:12">
      <c r="A13" s="428" t="str">
        <f>Application!B735</f>
        <v>3 Bedrooms</v>
      </c>
      <c r="B13" s="1077">
        <f>Application!G735</f>
        <v>3</v>
      </c>
      <c r="C13" s="1155"/>
      <c r="D13" s="428">
        <f>Application!O735</f>
        <v>2860</v>
      </c>
      <c r="E13" s="429"/>
      <c r="F13" s="1078"/>
      <c r="G13" s="428">
        <f t="shared" si="2"/>
        <v>0</v>
      </c>
      <c r="H13" s="429"/>
      <c r="I13" s="428" t="str">
        <f t="shared" si="0"/>
        <v/>
      </c>
      <c r="J13" s="428" t="str">
        <f t="shared" si="1"/>
        <v/>
      </c>
      <c r="K13" s="204"/>
      <c r="L13" s="305"/>
    </row>
    <row r="14" spans="1:12">
      <c r="A14" s="428" t="str">
        <f>Application!B736</f>
        <v>3 Bedrooms</v>
      </c>
      <c r="B14" s="1077">
        <f>Application!G736</f>
        <v>2</v>
      </c>
      <c r="C14" s="1155"/>
      <c r="D14" s="428">
        <f>Application!O736</f>
        <v>2357</v>
      </c>
      <c r="E14" s="429"/>
      <c r="F14" s="1078"/>
      <c r="G14" s="428">
        <f t="shared" si="2"/>
        <v>0</v>
      </c>
      <c r="H14" s="429"/>
      <c r="I14" s="428" t="str">
        <f t="shared" si="0"/>
        <v/>
      </c>
      <c r="J14" s="428" t="str">
        <f t="shared" si="1"/>
        <v/>
      </c>
      <c r="K14" s="204"/>
      <c r="L14" s="305"/>
    </row>
    <row r="15" spans="1:12">
      <c r="A15" s="428" t="str">
        <f>Application!B737</f>
        <v>3 Bedrooms</v>
      </c>
      <c r="B15" s="1077">
        <f>Application!G737</f>
        <v>3</v>
      </c>
      <c r="C15" s="1155"/>
      <c r="D15" s="428">
        <f>Application!O737</f>
        <v>1351</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153344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2207</v>
      </c>
    </row>
    <row r="43" spans="1:12">
      <c r="A43" s="2684" t="s">
        <v>2428</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2208</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4" workbookViewId="0">
      <selection activeCell="I16" sqref="I16"/>
    </sheetView>
  </sheetViews>
  <sheetFormatPr defaultColWidth="0" defaultRowHeight="12.5" zeroHeight="1"/>
  <cols>
    <col min="1" max="1" width="3.6328125" customWidth="1"/>
    <col min="2" max="2" width="30.54296875" customWidth="1"/>
    <col min="3" max="3" width="9.089843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11" t="s">
        <v>2050</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1840128</v>
      </c>
      <c r="G4" s="219">
        <f>E4*$C$4</f>
        <v>1886131.1999999997</v>
      </c>
      <c r="I4" s="219">
        <f>G4*$C$4</f>
        <v>1933284.4799999995</v>
      </c>
      <c r="K4" s="219">
        <f>I4*$C$4</f>
        <v>1981616.5919999992</v>
      </c>
      <c r="M4" s="219">
        <f>K4*$C$4</f>
        <v>2031157.0067999992</v>
      </c>
      <c r="O4" s="219">
        <f>M4*$C$4</f>
        <v>2081935.9319699989</v>
      </c>
      <c r="Q4" s="219">
        <f>O4*$C$4</f>
        <v>2133984.3302692487</v>
      </c>
      <c r="S4" s="219">
        <f>Q4*$C$4</f>
        <v>2187333.9385259799</v>
      </c>
      <c r="U4" s="219">
        <f>S4*$C$4</f>
        <v>2242017.2869891291</v>
      </c>
      <c r="W4" s="219">
        <f>U4*$C$4</f>
        <v>2298067.7191638574</v>
      </c>
      <c r="Y4" s="219">
        <f>W4*$C$4</f>
        <v>2355519.4121429538</v>
      </c>
      <c r="AA4" s="219">
        <f>Y4*$C$4</f>
        <v>2414407.3974465276</v>
      </c>
      <c r="AC4" s="219">
        <f>AA4*$C$4</f>
        <v>2474767.5823826906</v>
      </c>
      <c r="AE4" s="219">
        <f>AC4*$C$4</f>
        <v>2536636.7719422579</v>
      </c>
      <c r="AG4" s="219">
        <f>AE4*$C$4</f>
        <v>2600052.691240814</v>
      </c>
    </row>
    <row r="5" spans="1:34" s="210" customFormat="1" ht="14">
      <c r="B5" s="210" t="s">
        <v>838</v>
      </c>
      <c r="C5" s="238">
        <f>IF(Application!$D$211="Special Needs",(((0.1*Application!$T$212)+(0.05*(1-Application!$T$212)))),0.05)</f>
        <v>0.05</v>
      </c>
      <c r="E5" s="221">
        <f>-E4*$C$5</f>
        <v>-92006.400000000009</v>
      </c>
      <c r="F5" s="221"/>
      <c r="G5" s="221">
        <f>-G4*$C$5</f>
        <v>-94306.559999999998</v>
      </c>
      <c r="H5" s="221"/>
      <c r="I5" s="221">
        <f>-I4*$C$5</f>
        <v>-96664.223999999987</v>
      </c>
      <c r="J5" s="221"/>
      <c r="K5" s="221">
        <f>-K4*$C$5</f>
        <v>-99080.829599999968</v>
      </c>
      <c r="L5" s="221"/>
      <c r="M5" s="221">
        <f>-M4*$C$5</f>
        <v>-101557.85033999996</v>
      </c>
      <c r="N5" s="221"/>
      <c r="O5" s="221">
        <f>-O4*$C$5</f>
        <v>-104096.79659849995</v>
      </c>
      <c r="P5" s="221"/>
      <c r="Q5" s="221">
        <f>-Q4*$C$5</f>
        <v>-106699.21651346244</v>
      </c>
      <c r="R5" s="221"/>
      <c r="S5" s="221">
        <f>-S4*$C$5</f>
        <v>-109366.696926299</v>
      </c>
      <c r="T5" s="221"/>
      <c r="U5" s="221">
        <f>-U4*$C$5</f>
        <v>-112100.86434945646</v>
      </c>
      <c r="V5" s="221"/>
      <c r="W5" s="221">
        <f>-W4*$C$5</f>
        <v>-114903.38595819287</v>
      </c>
      <c r="X5" s="221"/>
      <c r="Y5" s="221">
        <f>-Y4*$C$5</f>
        <v>-117775.9706071477</v>
      </c>
      <c r="Z5" s="221"/>
      <c r="AA5" s="221">
        <f>-AA4*$C$5</f>
        <v>-120720.36987232638</v>
      </c>
      <c r="AB5" s="221"/>
      <c r="AC5" s="221">
        <f>-AC4*$C$5</f>
        <v>-123738.37911913454</v>
      </c>
      <c r="AD5" s="221"/>
      <c r="AE5" s="221">
        <f>-AE4*$C$5</f>
        <v>-126831.8385971129</v>
      </c>
      <c r="AF5" s="221"/>
      <c r="AG5" s="221">
        <f>-AG4*$C$5</f>
        <v>-130002.63456204071</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12096</v>
      </c>
      <c r="F8" s="222"/>
      <c r="G8" s="222">
        <f>E8*$C$8</f>
        <v>12398.4</v>
      </c>
      <c r="H8" s="222"/>
      <c r="I8" s="222">
        <f>G8*$C$8</f>
        <v>12708.359999999999</v>
      </c>
      <c r="J8" s="222"/>
      <c r="K8" s="222">
        <f>I8*$C$8</f>
        <v>13026.068999999998</v>
      </c>
      <c r="L8" s="222"/>
      <c r="M8" s="222">
        <f>K8*$C$8</f>
        <v>13351.720724999996</v>
      </c>
      <c r="N8" s="222"/>
      <c r="O8" s="222">
        <f>M8*$C$8</f>
        <v>13685.513743124995</v>
      </c>
      <c r="P8" s="222"/>
      <c r="Q8" s="222">
        <f>O8*$C$8</f>
        <v>14027.651586703119</v>
      </c>
      <c r="R8" s="222"/>
      <c r="S8" s="222">
        <f>Q8*$C$8</f>
        <v>14378.342876370696</v>
      </c>
      <c r="T8" s="222"/>
      <c r="U8" s="222">
        <f>S8*$C$8</f>
        <v>14737.801448279963</v>
      </c>
      <c r="V8" s="222"/>
      <c r="W8" s="222">
        <f>U8*$C$8</f>
        <v>15106.246484486961</v>
      </c>
      <c r="X8" s="222"/>
      <c r="Y8" s="222">
        <f>W8*$C$8</f>
        <v>15483.902646599134</v>
      </c>
      <c r="Z8" s="222"/>
      <c r="AA8" s="222">
        <f>Y8*$C$8</f>
        <v>15871.000212764111</v>
      </c>
      <c r="AB8" s="222"/>
      <c r="AC8" s="222">
        <f>AA8*$C$8</f>
        <v>16267.775218083212</v>
      </c>
      <c r="AD8" s="222"/>
      <c r="AE8" s="222">
        <f>AC8*$C$8</f>
        <v>16674.469598535292</v>
      </c>
      <c r="AF8" s="222"/>
      <c r="AG8" s="222">
        <f>AE8*$C$8</f>
        <v>17091.331338498672</v>
      </c>
    </row>
    <row r="9" spans="1:34" s="210" customFormat="1" ht="14">
      <c r="B9" s="210" t="s">
        <v>838</v>
      </c>
      <c r="C9" s="238">
        <f>IF(Application!$D$211="Special Needs",(((0.1*Application!$T$212)+(0.05*(1-Application!$T$212)))),0.05)</f>
        <v>0.05</v>
      </c>
      <c r="E9" s="221">
        <f>-E8*$C$9</f>
        <v>-604.80000000000007</v>
      </c>
      <c r="F9" s="221"/>
      <c r="G9" s="221">
        <f>-G8*$C$9</f>
        <v>-619.92000000000007</v>
      </c>
      <c r="H9" s="221"/>
      <c r="I9" s="221">
        <f>-I8*$C$9</f>
        <v>-635.41800000000001</v>
      </c>
      <c r="J9" s="221"/>
      <c r="K9" s="221">
        <f>-K8*$C$9</f>
        <v>-651.30344999999988</v>
      </c>
      <c r="L9" s="221"/>
      <c r="M9" s="221">
        <f>-M8*$C$9</f>
        <v>-667.58603624999978</v>
      </c>
      <c r="N9" s="221"/>
      <c r="O9" s="221">
        <f>-O8*$C$9</f>
        <v>-684.27568715624977</v>
      </c>
      <c r="P9" s="221"/>
      <c r="Q9" s="221">
        <f>-Q8*$C$9</f>
        <v>-701.38257933515604</v>
      </c>
      <c r="R9" s="221"/>
      <c r="S9" s="221">
        <f>-S8*$C$9</f>
        <v>-718.9171438185349</v>
      </c>
      <c r="T9" s="221"/>
      <c r="U9" s="221">
        <f>-U8*$C$9</f>
        <v>-736.89007241399815</v>
      </c>
      <c r="V9" s="221"/>
      <c r="W9" s="221">
        <f>-W8*$C$9</f>
        <v>-755.31232422434812</v>
      </c>
      <c r="X9" s="221"/>
      <c r="Y9" s="221">
        <f>-Y8*$C$9</f>
        <v>-774.19513232995678</v>
      </c>
      <c r="Z9" s="221"/>
      <c r="AA9" s="221">
        <f>-AA8*$C$9</f>
        <v>-793.55001063820555</v>
      </c>
      <c r="AB9" s="221"/>
      <c r="AC9" s="221">
        <f>-AC8*$C$9</f>
        <v>-813.38876090416068</v>
      </c>
      <c r="AD9" s="221"/>
      <c r="AE9" s="221">
        <f>-AE8*$C$9</f>
        <v>-833.72347992676464</v>
      </c>
      <c r="AF9" s="221"/>
      <c r="AG9" s="221">
        <f>-AG8*$C$9</f>
        <v>-854.56656692493368</v>
      </c>
    </row>
    <row r="10" spans="1:34" s="210" customFormat="1" ht="14">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1759612.8</v>
      </c>
      <c r="G11" s="223">
        <f>SUM(G4:G10)</f>
        <v>1803603.1199999996</v>
      </c>
      <c r="I11" s="223">
        <f>SUM(I4:I10)</f>
        <v>1848693.1979999996</v>
      </c>
      <c r="K11" s="223">
        <f>SUM(K4:K10)</f>
        <v>1894910.5279499991</v>
      </c>
      <c r="M11" s="223">
        <f>SUM(M4:M10)</f>
        <v>1942283.2911487492</v>
      </c>
      <c r="O11" s="223">
        <f>SUM(O4:O10)</f>
        <v>1990840.3734274677</v>
      </c>
      <c r="Q11" s="223">
        <f>SUM(Q4:Q10)</f>
        <v>2040611.3827631541</v>
      </c>
      <c r="S11" s="223">
        <f>SUM(S4:S10)</f>
        <v>2091626.6673322332</v>
      </c>
      <c r="U11" s="223">
        <f>SUM(U4:U10)</f>
        <v>2143917.3340155385</v>
      </c>
      <c r="W11" s="223">
        <f>SUM(W4:W10)</f>
        <v>2197515.2673659269</v>
      </c>
      <c r="Y11" s="223">
        <f>SUM(Y4:Y10)</f>
        <v>2252453.1490500756</v>
      </c>
      <c r="AA11" s="223">
        <f>SUM(AA4:AA10)</f>
        <v>2308764.4777763267</v>
      </c>
      <c r="AC11" s="223">
        <f>SUM(AC4:AC10)</f>
        <v>2366483.5897207349</v>
      </c>
      <c r="AE11" s="223">
        <f>SUM(AE4:AE10)</f>
        <v>2425645.6794637539</v>
      </c>
      <c r="AG11" s="223">
        <f>SUM(AG4:AG10)</f>
        <v>2486286.8214503471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23000</v>
      </c>
      <c r="G15" s="219">
        <f>E15*$C$14</f>
        <v>23804.999999999996</v>
      </c>
      <c r="I15" s="219">
        <f>G15*$C$14</f>
        <v>24638.174999999996</v>
      </c>
      <c r="K15" s="219">
        <f>I15*$C$14</f>
        <v>25500.511124999994</v>
      </c>
      <c r="M15" s="219">
        <f>K15*$C$14</f>
        <v>26393.029014374992</v>
      </c>
      <c r="O15" s="219">
        <f>M15*$C$14</f>
        <v>27316.785029878116</v>
      </c>
      <c r="Q15" s="219">
        <f>O15*$C$14</f>
        <v>28272.87250592385</v>
      </c>
      <c r="S15" s="219">
        <f>Q15*$C$14</f>
        <v>29262.423043631181</v>
      </c>
      <c r="U15" s="219">
        <f>S15*$C$14</f>
        <v>30286.607850158271</v>
      </c>
      <c r="W15" s="219">
        <f>U15*$C$14</f>
        <v>31346.639124913807</v>
      </c>
      <c r="Y15" s="219">
        <f>W15*$C$14</f>
        <v>32443.771494285789</v>
      </c>
      <c r="AA15" s="219">
        <f>Y15*$C$14</f>
        <v>33579.303496585788</v>
      </c>
      <c r="AC15" s="219">
        <f>AA15*$C$14</f>
        <v>34754.579118966285</v>
      </c>
      <c r="AE15" s="219">
        <f>AC15*$C$14</f>
        <v>35970.989388130103</v>
      </c>
      <c r="AG15" s="219">
        <f>AE15*$C$14</f>
        <v>37229.974016714652</v>
      </c>
    </row>
    <row r="16" spans="1:34" s="210" customFormat="1" ht="14">
      <c r="A16" s="210" t="s">
        <v>344</v>
      </c>
      <c r="C16" s="233"/>
      <c r="E16" s="222">
        <f>Application!W857</f>
        <v>48666</v>
      </c>
      <c r="F16" s="222"/>
      <c r="G16" s="222">
        <f t="shared" ref="G16:AG21" si="0">E16*$C$14</f>
        <v>50369.31</v>
      </c>
      <c r="H16" s="222"/>
      <c r="I16" s="222">
        <f t="shared" si="0"/>
        <v>52132.23584999999</v>
      </c>
      <c r="J16" s="222"/>
      <c r="K16" s="222">
        <f t="shared" si="0"/>
        <v>53956.864104749984</v>
      </c>
      <c r="L16" s="222"/>
      <c r="M16" s="222">
        <f t="shared" si="0"/>
        <v>55845.354348416229</v>
      </c>
      <c r="N16" s="222"/>
      <c r="O16" s="222">
        <f t="shared" si="0"/>
        <v>57799.941750610793</v>
      </c>
      <c r="P16" s="222"/>
      <c r="Q16" s="222">
        <f t="shared" si="0"/>
        <v>59822.939711882165</v>
      </c>
      <c r="R16" s="222"/>
      <c r="S16" s="222">
        <f t="shared" si="0"/>
        <v>61916.74260179804</v>
      </c>
      <c r="T16" s="222"/>
      <c r="U16" s="222">
        <f t="shared" si="0"/>
        <v>64083.828592860969</v>
      </c>
      <c r="V16" s="222"/>
      <c r="W16" s="222">
        <f t="shared" si="0"/>
        <v>66326.7625936111</v>
      </c>
      <c r="X16" s="222"/>
      <c r="Y16" s="222">
        <f t="shared" si="0"/>
        <v>68648.199284387476</v>
      </c>
      <c r="Z16" s="222"/>
      <c r="AA16" s="222">
        <f t="shared" si="0"/>
        <v>71050.88625934103</v>
      </c>
      <c r="AB16" s="222"/>
      <c r="AC16" s="222">
        <f t="shared" si="0"/>
        <v>73537.667278417954</v>
      </c>
      <c r="AD16" s="222"/>
      <c r="AE16" s="222">
        <f t="shared" si="0"/>
        <v>76111.485633162578</v>
      </c>
      <c r="AF16" s="222"/>
      <c r="AG16" s="222">
        <f t="shared" si="0"/>
        <v>78775.387630323268</v>
      </c>
    </row>
    <row r="17" spans="1:33" s="210" customFormat="1" ht="14">
      <c r="A17" s="210" t="s">
        <v>561</v>
      </c>
      <c r="C17" s="233"/>
      <c r="E17" s="222">
        <f>Application!W863</f>
        <v>70000</v>
      </c>
      <c r="F17" s="222"/>
      <c r="G17" s="222">
        <f t="shared" si="0"/>
        <v>72450</v>
      </c>
      <c r="H17" s="222"/>
      <c r="I17" s="222">
        <f t="shared" si="0"/>
        <v>74985.75</v>
      </c>
      <c r="J17" s="222"/>
      <c r="K17" s="222">
        <f t="shared" si="0"/>
        <v>77610.251250000001</v>
      </c>
      <c r="L17" s="222"/>
      <c r="M17" s="222">
        <f t="shared" si="0"/>
        <v>80326.610043749999</v>
      </c>
      <c r="N17" s="222"/>
      <c r="O17" s="222">
        <f t="shared" si="0"/>
        <v>83138.041395281238</v>
      </c>
      <c r="P17" s="222"/>
      <c r="Q17" s="222">
        <f t="shared" si="0"/>
        <v>86047.872844116078</v>
      </c>
      <c r="R17" s="222"/>
      <c r="S17" s="222">
        <f t="shared" si="0"/>
        <v>89059.548393660138</v>
      </c>
      <c r="T17" s="222"/>
      <c r="U17" s="222">
        <f t="shared" si="0"/>
        <v>92176.632587438231</v>
      </c>
      <c r="V17" s="222"/>
      <c r="W17" s="222">
        <f t="shared" si="0"/>
        <v>95402.814727998557</v>
      </c>
      <c r="X17" s="222"/>
      <c r="Y17" s="222">
        <f t="shared" si="0"/>
        <v>98741.913243478499</v>
      </c>
      <c r="Z17" s="222"/>
      <c r="AA17" s="222">
        <f t="shared" si="0"/>
        <v>102197.88020700024</v>
      </c>
      <c r="AB17" s="222"/>
      <c r="AC17" s="222">
        <f t="shared" si="0"/>
        <v>105774.80601424525</v>
      </c>
      <c r="AD17" s="222"/>
      <c r="AE17" s="222">
        <f t="shared" si="0"/>
        <v>109476.92422474382</v>
      </c>
      <c r="AF17" s="222"/>
      <c r="AG17" s="222">
        <f t="shared" si="0"/>
        <v>113308.61657260986</v>
      </c>
    </row>
    <row r="18" spans="1:33" s="210" customFormat="1" ht="14">
      <c r="A18" s="210" t="s">
        <v>842</v>
      </c>
      <c r="C18" s="233"/>
      <c r="E18" s="222">
        <f>Application!W870</f>
        <v>159667</v>
      </c>
      <c r="F18" s="222"/>
      <c r="G18" s="222">
        <f t="shared" si="0"/>
        <v>165255.345</v>
      </c>
      <c r="H18" s="222"/>
      <c r="I18" s="222">
        <f t="shared" si="0"/>
        <v>171039.282075</v>
      </c>
      <c r="J18" s="222"/>
      <c r="K18" s="222">
        <f t="shared" si="0"/>
        <v>177025.65694762499</v>
      </c>
      <c r="L18" s="222"/>
      <c r="M18" s="222">
        <f t="shared" si="0"/>
        <v>183221.55494079186</v>
      </c>
      <c r="N18" s="222"/>
      <c r="O18" s="222">
        <f t="shared" si="0"/>
        <v>189634.30936371957</v>
      </c>
      <c r="P18" s="222"/>
      <c r="Q18" s="222">
        <f t="shared" si="0"/>
        <v>196271.51019144975</v>
      </c>
      <c r="R18" s="222"/>
      <c r="S18" s="222">
        <f t="shared" si="0"/>
        <v>203141.01304815049</v>
      </c>
      <c r="T18" s="222"/>
      <c r="U18" s="222">
        <f t="shared" si="0"/>
        <v>210250.94850483575</v>
      </c>
      <c r="V18" s="222"/>
      <c r="W18" s="222">
        <f t="shared" si="0"/>
        <v>217609.73170250497</v>
      </c>
      <c r="X18" s="222"/>
      <c r="Y18" s="222">
        <f t="shared" si="0"/>
        <v>225226.07231209264</v>
      </c>
      <c r="Z18" s="222"/>
      <c r="AA18" s="222">
        <f t="shared" si="0"/>
        <v>233108.98484301587</v>
      </c>
      <c r="AB18" s="222"/>
      <c r="AC18" s="222">
        <f t="shared" si="0"/>
        <v>241267.79931252141</v>
      </c>
      <c r="AD18" s="222"/>
      <c r="AE18" s="222">
        <f t="shared" si="0"/>
        <v>249712.17228845964</v>
      </c>
      <c r="AF18" s="222"/>
      <c r="AG18" s="222">
        <f t="shared" si="0"/>
        <v>258452.09831855571</v>
      </c>
    </row>
    <row r="19" spans="1:33" s="210" customFormat="1" ht="14">
      <c r="A19" s="210" t="s">
        <v>155</v>
      </c>
      <c r="C19" s="233"/>
      <c r="E19" s="222">
        <f>Application!W872</f>
        <v>10000</v>
      </c>
      <c r="F19" s="222"/>
      <c r="G19" s="222">
        <f t="shared" si="0"/>
        <v>10350</v>
      </c>
      <c r="H19" s="222"/>
      <c r="I19" s="222">
        <f t="shared" si="0"/>
        <v>10712.25</v>
      </c>
      <c r="J19" s="222"/>
      <c r="K19" s="222">
        <f t="shared" si="0"/>
        <v>11087.178749999999</v>
      </c>
      <c r="L19" s="222"/>
      <c r="M19" s="222">
        <f t="shared" si="0"/>
        <v>11475.230006249998</v>
      </c>
      <c r="N19" s="222"/>
      <c r="O19" s="222">
        <f t="shared" si="0"/>
        <v>11876.863056468746</v>
      </c>
      <c r="P19" s="222"/>
      <c r="Q19" s="222">
        <f t="shared" si="0"/>
        <v>12292.553263445152</v>
      </c>
      <c r="R19" s="222"/>
      <c r="S19" s="222">
        <f t="shared" si="0"/>
        <v>12722.792627665731</v>
      </c>
      <c r="T19" s="222"/>
      <c r="U19" s="222">
        <f t="shared" si="0"/>
        <v>13168.09036963403</v>
      </c>
      <c r="V19" s="222"/>
      <c r="W19" s="222">
        <f t="shared" si="0"/>
        <v>13628.973532571221</v>
      </c>
      <c r="X19" s="222"/>
      <c r="Y19" s="222">
        <f t="shared" si="0"/>
        <v>14105.987606211213</v>
      </c>
      <c r="Z19" s="222"/>
      <c r="AA19" s="222">
        <f t="shared" si="0"/>
        <v>14599.697172428603</v>
      </c>
      <c r="AB19" s="222"/>
      <c r="AC19" s="222">
        <f t="shared" si="0"/>
        <v>15110.686573463603</v>
      </c>
      <c r="AD19" s="222"/>
      <c r="AE19" s="222">
        <f t="shared" si="0"/>
        <v>15639.560603534828</v>
      </c>
      <c r="AF19" s="222"/>
      <c r="AG19" s="222">
        <f t="shared" si="0"/>
        <v>16186.945224658546</v>
      </c>
    </row>
    <row r="20" spans="1:33" s="210" customFormat="1" ht="14">
      <c r="A20" s="210" t="s">
        <v>390</v>
      </c>
      <c r="C20" s="233"/>
      <c r="E20" s="222">
        <f>Application!W881</f>
        <v>52000</v>
      </c>
      <c r="F20" s="222"/>
      <c r="G20" s="222">
        <f t="shared" si="0"/>
        <v>53819.999999999993</v>
      </c>
      <c r="H20" s="222"/>
      <c r="I20" s="222">
        <f t="shared" si="0"/>
        <v>55703.69999999999</v>
      </c>
      <c r="J20" s="222"/>
      <c r="K20" s="222">
        <f t="shared" si="0"/>
        <v>57653.329499999985</v>
      </c>
      <c r="L20" s="222"/>
      <c r="M20" s="222">
        <f t="shared" si="0"/>
        <v>59671.196032499982</v>
      </c>
      <c r="N20" s="222"/>
      <c r="O20" s="222">
        <f t="shared" si="0"/>
        <v>61759.687893637478</v>
      </c>
      <c r="P20" s="222"/>
      <c r="Q20" s="222">
        <f t="shared" si="0"/>
        <v>63921.276969914783</v>
      </c>
      <c r="R20" s="222"/>
      <c r="S20" s="222">
        <f t="shared" si="0"/>
        <v>66158.5216638618</v>
      </c>
      <c r="T20" s="222"/>
      <c r="U20" s="222">
        <f t="shared" si="0"/>
        <v>68474.069922096955</v>
      </c>
      <c r="V20" s="222"/>
      <c r="W20" s="222">
        <f t="shared" si="0"/>
        <v>70870.662369370344</v>
      </c>
      <c r="X20" s="222"/>
      <c r="Y20" s="222">
        <f t="shared" si="0"/>
        <v>73351.135552298307</v>
      </c>
      <c r="Z20" s="222"/>
      <c r="AA20" s="222">
        <f t="shared" si="0"/>
        <v>75918.425296628746</v>
      </c>
      <c r="AB20" s="222"/>
      <c r="AC20" s="222">
        <f t="shared" si="0"/>
        <v>78575.57018201075</v>
      </c>
      <c r="AD20" s="222"/>
      <c r="AE20" s="222">
        <f t="shared" si="0"/>
        <v>81325.715138381114</v>
      </c>
      <c r="AF20" s="222"/>
      <c r="AG20" s="222">
        <f t="shared" si="0"/>
        <v>84172.115168224453</v>
      </c>
    </row>
    <row r="21" spans="1:33" s="210" customFormat="1" ht="14">
      <c r="A21" s="226" t="s">
        <v>962</v>
      </c>
      <c r="B21" s="226"/>
      <c r="C21" s="233"/>
      <c r="E21" s="232">
        <f>Application!W888</f>
        <v>65067</v>
      </c>
      <c r="F21" s="222"/>
      <c r="G21" s="232">
        <f t="shared" si="0"/>
        <v>67344.345000000001</v>
      </c>
      <c r="H21" s="222"/>
      <c r="I21" s="232">
        <f t="shared" si="0"/>
        <v>69701.397075000001</v>
      </c>
      <c r="J21" s="222"/>
      <c r="K21" s="232">
        <f t="shared" si="0"/>
        <v>72140.945972624992</v>
      </c>
      <c r="L21" s="222"/>
      <c r="M21" s="232">
        <f t="shared" si="0"/>
        <v>74665.879081666862</v>
      </c>
      <c r="N21" s="222"/>
      <c r="O21" s="232">
        <f t="shared" si="0"/>
        <v>77279.184849525191</v>
      </c>
      <c r="P21" s="222"/>
      <c r="Q21" s="232">
        <f t="shared" si="0"/>
        <v>79983.956319258563</v>
      </c>
      <c r="R21" s="222"/>
      <c r="S21" s="232">
        <f t="shared" si="0"/>
        <v>82783.394790432605</v>
      </c>
      <c r="T21" s="222"/>
      <c r="U21" s="232">
        <f t="shared" si="0"/>
        <v>85680.813608097742</v>
      </c>
      <c r="V21" s="222"/>
      <c r="W21" s="232">
        <f t="shared" si="0"/>
        <v>88679.64208438115</v>
      </c>
      <c r="X21" s="222"/>
      <c r="Y21" s="232">
        <f t="shared" si="0"/>
        <v>91783.429557334486</v>
      </c>
      <c r="Z21" s="222"/>
      <c r="AA21" s="232">
        <f t="shared" si="0"/>
        <v>94995.849591841179</v>
      </c>
      <c r="AB21" s="222"/>
      <c r="AC21" s="232">
        <f t="shared" si="0"/>
        <v>98320.704327555606</v>
      </c>
      <c r="AD21" s="222"/>
      <c r="AE21" s="232">
        <f t="shared" si="0"/>
        <v>101761.92897902004</v>
      </c>
      <c r="AF21" s="222"/>
      <c r="AG21" s="232">
        <f t="shared" si="0"/>
        <v>105323.59649328573</v>
      </c>
    </row>
    <row r="22" spans="1:33" s="223" customFormat="1" ht="14">
      <c r="A22" s="223" t="s">
        <v>843</v>
      </c>
      <c r="C22" s="233"/>
      <c r="E22" s="223">
        <f>SUM(E15:E21)</f>
        <v>428400</v>
      </c>
      <c r="G22" s="223">
        <f>SUM(G15:G21)</f>
        <v>443394</v>
      </c>
      <c r="I22" s="223">
        <f>SUM(I15:I21)</f>
        <v>458912.79</v>
      </c>
      <c r="K22" s="223">
        <f>SUM(K15:K21)</f>
        <v>474974.73764999997</v>
      </c>
      <c r="M22" s="223">
        <f>SUM(M15:M21)</f>
        <v>491598.85346774996</v>
      </c>
      <c r="O22" s="223">
        <f>SUM(O15:O21)</f>
        <v>508804.81333912106</v>
      </c>
      <c r="Q22" s="223">
        <f>SUM(Q15:Q21)</f>
        <v>526612.98180599033</v>
      </c>
      <c r="S22" s="223">
        <f>SUM(S15:S21)</f>
        <v>545044.43616919999</v>
      </c>
      <c r="U22" s="223">
        <f>SUM(U15:U21)</f>
        <v>564120.99143512198</v>
      </c>
      <c r="W22" s="223">
        <f>SUM(W15:W21)</f>
        <v>583865.22613535123</v>
      </c>
      <c r="Y22" s="223">
        <f>SUM(Y15:Y21)</f>
        <v>604300.50905008847</v>
      </c>
      <c r="AA22" s="223">
        <f>SUM(AA15:AA21)</f>
        <v>625451.02686684148</v>
      </c>
      <c r="AC22" s="223">
        <f>SUM(AC15:AC21)</f>
        <v>647341.8128071808</v>
      </c>
      <c r="AE22" s="223">
        <f>SUM(AE15:AE21)</f>
        <v>669998.77625543205</v>
      </c>
      <c r="AG22" s="223">
        <f>SUM(AG15:AG21)</f>
        <v>693448.73342437227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54800</v>
      </c>
      <c r="F27" s="222"/>
      <c r="G27" s="222">
        <f>E27*$C$27</f>
        <v>56717.999999999993</v>
      </c>
      <c r="H27" s="222"/>
      <c r="I27" s="222">
        <f>G27*$C$27</f>
        <v>58703.12999999999</v>
      </c>
      <c r="J27" s="222"/>
      <c r="K27" s="222">
        <f>I27*$C$27</f>
        <v>60757.739549999984</v>
      </c>
      <c r="L27" s="222"/>
      <c r="M27" s="222">
        <f>K27*$C$27</f>
        <v>62884.260434249976</v>
      </c>
      <c r="N27" s="222"/>
      <c r="O27" s="222">
        <f>M27*$C$27</f>
        <v>65085.209549448722</v>
      </c>
      <c r="P27" s="222"/>
      <c r="Q27" s="222">
        <f>O27*$C$27</f>
        <v>67363.191883679421</v>
      </c>
      <c r="R27" s="222"/>
      <c r="S27" s="222">
        <f>Q27*$C$27</f>
        <v>69720.903599608195</v>
      </c>
      <c r="T27" s="222"/>
      <c r="U27" s="222">
        <f>S27*$C$27</f>
        <v>72161.13522559448</v>
      </c>
      <c r="V27" s="222"/>
      <c r="W27" s="222">
        <f>U27*$C$27</f>
        <v>74686.774958490278</v>
      </c>
      <c r="X27" s="222"/>
      <c r="Y27" s="222">
        <f>W27*$C$27</f>
        <v>77300.812082037432</v>
      </c>
      <c r="Z27" s="222"/>
      <c r="AA27" s="222">
        <f>Y27*$C$27</f>
        <v>80006.340504908731</v>
      </c>
      <c r="AB27" s="222"/>
      <c r="AC27" s="222">
        <f>AA27*$C$27</f>
        <v>82806.562422580537</v>
      </c>
      <c r="AD27" s="222"/>
      <c r="AE27" s="222">
        <f>AC27*$C$27</f>
        <v>85704.792107370842</v>
      </c>
      <c r="AF27" s="222"/>
      <c r="AG27" s="222">
        <f>AE27*$C$27</f>
        <v>88704.459831128814</v>
      </c>
    </row>
    <row r="28" spans="1:33" s="210" customFormat="1" ht="14">
      <c r="A28" s="210" t="s">
        <v>846</v>
      </c>
      <c r="C28" s="237"/>
      <c r="E28" s="222">
        <f>Application!AC898</f>
        <v>15750</v>
      </c>
      <c r="F28" s="222"/>
      <c r="G28" s="222">
        <f>$E$28</f>
        <v>15750</v>
      </c>
      <c r="H28" s="222"/>
      <c r="I28" s="222">
        <f>$E$28</f>
        <v>15750</v>
      </c>
      <c r="J28" s="222"/>
      <c r="K28" s="222">
        <f>$E$28</f>
        <v>15750</v>
      </c>
      <c r="L28" s="222"/>
      <c r="M28" s="222">
        <f>$E$28</f>
        <v>15750</v>
      </c>
      <c r="N28" s="222"/>
      <c r="O28" s="222">
        <f>$E$28</f>
        <v>15750</v>
      </c>
      <c r="P28" s="222"/>
      <c r="Q28" s="222">
        <f>$E$28</f>
        <v>15750</v>
      </c>
      <c r="R28" s="222"/>
      <c r="S28" s="222">
        <f>$E$28</f>
        <v>15750</v>
      </c>
      <c r="T28" s="222"/>
      <c r="U28" s="222">
        <f>$E$28</f>
        <v>15750</v>
      </c>
      <c r="V28" s="222"/>
      <c r="W28" s="222">
        <f>$E$28</f>
        <v>15750</v>
      </c>
      <c r="X28" s="222"/>
      <c r="Y28" s="222">
        <f>$E$28</f>
        <v>15750</v>
      </c>
      <c r="Z28" s="222"/>
      <c r="AA28" s="222">
        <f>$E$28</f>
        <v>15750</v>
      </c>
      <c r="AB28" s="222"/>
      <c r="AC28" s="222">
        <f>$E$28</f>
        <v>15750</v>
      </c>
      <c r="AD28" s="222"/>
      <c r="AE28" s="222">
        <f>$E$28</f>
        <v>15750</v>
      </c>
      <c r="AF28" s="222"/>
      <c r="AG28" s="222">
        <f>$E$28</f>
        <v>15750</v>
      </c>
    </row>
    <row r="29" spans="1:33" s="210" customFormat="1" ht="14">
      <c r="A29" s="210" t="s">
        <v>1669</v>
      </c>
      <c r="C29" s="237"/>
      <c r="E29" s="222">
        <f>Application!AC899</f>
        <v>7900</v>
      </c>
      <c r="F29" s="222"/>
      <c r="G29" s="222">
        <f>$E$29</f>
        <v>7900</v>
      </c>
      <c r="H29" s="222"/>
      <c r="I29" s="222">
        <f>$E$29</f>
        <v>7900</v>
      </c>
      <c r="J29" s="222"/>
      <c r="K29" s="222">
        <f>$E$29</f>
        <v>7900</v>
      </c>
      <c r="L29" s="222"/>
      <c r="M29" s="222">
        <f>$E$29</f>
        <v>7900</v>
      </c>
      <c r="N29" s="222"/>
      <c r="O29" s="222">
        <f>$E$29</f>
        <v>7900</v>
      </c>
      <c r="P29" s="222"/>
      <c r="Q29" s="222">
        <f>$E$29</f>
        <v>7900</v>
      </c>
      <c r="R29" s="222"/>
      <c r="S29" s="222">
        <f>$E$29</f>
        <v>7900</v>
      </c>
      <c r="T29" s="222"/>
      <c r="U29" s="222">
        <f>$E$29</f>
        <v>7900</v>
      </c>
      <c r="V29" s="222"/>
      <c r="W29" s="222">
        <f>$E$29</f>
        <v>7900</v>
      </c>
      <c r="X29" s="222"/>
      <c r="Y29" s="222">
        <f>$E$29</f>
        <v>7900</v>
      </c>
      <c r="Z29" s="222"/>
      <c r="AA29" s="222">
        <f>$E$29</f>
        <v>7900</v>
      </c>
      <c r="AB29" s="222"/>
      <c r="AC29" s="222">
        <f>$E$29</f>
        <v>7900</v>
      </c>
      <c r="AD29" s="222"/>
      <c r="AE29" s="222">
        <f>$E$29</f>
        <v>7900</v>
      </c>
      <c r="AF29" s="222"/>
      <c r="AG29" s="222">
        <f>$E$29</f>
        <v>7900</v>
      </c>
    </row>
    <row r="30" spans="1:33" s="210" customFormat="1" ht="14">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506850</v>
      </c>
      <c r="G35" s="223">
        <f>SUM(G22:G33)</f>
        <v>523762</v>
      </c>
      <c r="I35" s="223">
        <f>SUM(I22:I33)</f>
        <v>541265.91999999993</v>
      </c>
      <c r="K35" s="223">
        <f>SUM(K22:K33)</f>
        <v>559382.47719999996</v>
      </c>
      <c r="M35" s="223">
        <f>SUM(M22:M33)</f>
        <v>578133.1139019999</v>
      </c>
      <c r="O35" s="223">
        <f>SUM(O22:O33)</f>
        <v>597540.02288856974</v>
      </c>
      <c r="Q35" s="223">
        <f>SUM(Q22:Q33)</f>
        <v>617626.1736896697</v>
      </c>
      <c r="S35" s="223">
        <f>SUM(S22:S33)</f>
        <v>638415.33976880822</v>
      </c>
      <c r="U35" s="223">
        <f>SUM(U22:U33)</f>
        <v>659932.12666071649</v>
      </c>
      <c r="W35" s="223">
        <f>SUM(W22:W33)</f>
        <v>682202.00109384151</v>
      </c>
      <c r="Y35" s="223">
        <f>SUM(Y22:Y33)</f>
        <v>705251.32113212592</v>
      </c>
      <c r="AA35" s="223">
        <f>SUM(AA22:AA33)</f>
        <v>729107.36737175018</v>
      </c>
      <c r="AC35" s="223">
        <f>SUM(AC22:AC33)</f>
        <v>753798.37522976135</v>
      </c>
      <c r="AE35" s="223">
        <f>SUM(AE22:AE33)</f>
        <v>779353.56836280285</v>
      </c>
      <c r="AG35" s="223">
        <f>SUM(AG22:AG33)</f>
        <v>805803.1932555011</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1252762.8</v>
      </c>
      <c r="G37" s="223">
        <f>G11-G35</f>
        <v>1279841.1199999996</v>
      </c>
      <c r="I37" s="223">
        <f>I11-I35</f>
        <v>1307427.2779999997</v>
      </c>
      <c r="K37" s="223">
        <f>K11-K35</f>
        <v>1335528.050749999</v>
      </c>
      <c r="M37" s="223">
        <f>M11-M35</f>
        <v>1364150.1772467494</v>
      </c>
      <c r="O37" s="223">
        <f>O11-O35</f>
        <v>1393300.3505388978</v>
      </c>
      <c r="Q37" s="223">
        <f>Q11-Q35</f>
        <v>1422985.2090734844</v>
      </c>
      <c r="S37" s="223">
        <f>S11-S35</f>
        <v>1453211.3275634251</v>
      </c>
      <c r="U37" s="223">
        <f>U11-U35</f>
        <v>1483985.207354822</v>
      </c>
      <c r="W37" s="223">
        <f>W11-W35</f>
        <v>1515313.2662720853</v>
      </c>
      <c r="Y37" s="223">
        <f>Y11-Y35</f>
        <v>1547201.8279179498</v>
      </c>
      <c r="AA37" s="223">
        <f>AA11-AA35</f>
        <v>1579657.1104045766</v>
      </c>
      <c r="AC37" s="223">
        <f>AC11-AC35</f>
        <v>1612685.2144909734</v>
      </c>
      <c r="AE37" s="223">
        <f>AE11-AE35</f>
        <v>1646292.1111009512</v>
      </c>
      <c r="AG37" s="223">
        <f>AG11-AG35</f>
        <v>1680483.628194846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 Perm Loan Tranche A</v>
      </c>
      <c r="B40" s="226"/>
      <c r="C40" s="220"/>
      <c r="E40" s="222">
        <f>Application!AF635</f>
        <v>1043205</v>
      </c>
      <c r="F40" s="222"/>
      <c r="G40" s="222">
        <f>$E$40</f>
        <v>1043205</v>
      </c>
      <c r="H40" s="222"/>
      <c r="I40" s="222">
        <f>$E$40</f>
        <v>1043205</v>
      </c>
      <c r="J40" s="222"/>
      <c r="K40" s="222">
        <f>$E$40</f>
        <v>1043205</v>
      </c>
      <c r="L40" s="222"/>
      <c r="M40" s="222">
        <f>$E$40</f>
        <v>1043205</v>
      </c>
      <c r="N40" s="222"/>
      <c r="O40" s="222">
        <f>$E$40</f>
        <v>1043205</v>
      </c>
      <c r="P40" s="222"/>
      <c r="Q40" s="222">
        <f>$E$40</f>
        <v>1043205</v>
      </c>
      <c r="R40" s="222"/>
      <c r="S40" s="222">
        <f>$E$40</f>
        <v>1043205</v>
      </c>
      <c r="T40" s="222"/>
      <c r="U40" s="222">
        <f>$E$40</f>
        <v>1043205</v>
      </c>
      <c r="V40" s="222"/>
      <c r="W40" s="222">
        <f>$E$40</f>
        <v>1043205</v>
      </c>
      <c r="X40" s="222"/>
      <c r="Y40" s="222">
        <f>$E$40</f>
        <v>1043205</v>
      </c>
      <c r="Z40" s="222"/>
      <c r="AA40" s="222">
        <f>$E$40</f>
        <v>1043205</v>
      </c>
      <c r="AB40" s="222"/>
      <c r="AC40" s="222">
        <f>$E$40</f>
        <v>1043205</v>
      </c>
      <c r="AD40" s="222"/>
      <c r="AE40" s="222">
        <f>$E$40</f>
        <v>1043205</v>
      </c>
      <c r="AF40" s="222"/>
      <c r="AG40" s="222">
        <f>$E$40</f>
        <v>1043205</v>
      </c>
    </row>
    <row r="41" spans="1:33" s="210" customFormat="1" ht="14">
      <c r="A41" s="225" t="str">
        <f>Application!C636</f>
        <v>Citi Perm Loan Tranche B</v>
      </c>
      <c r="B41" s="226"/>
      <c r="C41" s="220"/>
      <c r="E41" s="222">
        <f>Application!AF636</f>
        <v>45827</v>
      </c>
      <c r="F41" s="222"/>
      <c r="G41" s="222">
        <f>$E$41</f>
        <v>45827</v>
      </c>
      <c r="H41" s="222"/>
      <c r="I41" s="222">
        <f>$E$41</f>
        <v>45827</v>
      </c>
      <c r="J41" s="222"/>
      <c r="K41" s="222">
        <f>$E$41</f>
        <v>45827</v>
      </c>
      <c r="L41" s="222"/>
      <c r="M41" s="222">
        <f>$E$41</f>
        <v>45827</v>
      </c>
      <c r="N41" s="222"/>
      <c r="O41" s="222">
        <f>$E$41</f>
        <v>45827</v>
      </c>
      <c r="P41" s="222"/>
      <c r="Q41" s="222">
        <f>$E$41</f>
        <v>45827</v>
      </c>
      <c r="R41" s="222"/>
      <c r="S41" s="222">
        <f>$E$41</f>
        <v>45827</v>
      </c>
      <c r="T41" s="222"/>
      <c r="U41" s="222">
        <f>$E$41</f>
        <v>45827</v>
      </c>
      <c r="V41" s="222"/>
      <c r="W41" s="222">
        <f>$E$41</f>
        <v>45827</v>
      </c>
      <c r="X41" s="222"/>
      <c r="Y41" s="222">
        <f>$E$41</f>
        <v>45827</v>
      </c>
      <c r="Z41" s="222"/>
      <c r="AA41" s="222">
        <f>$E$41</f>
        <v>45827</v>
      </c>
      <c r="AB41" s="222"/>
      <c r="AC41" s="222">
        <f>$E$41</f>
        <v>45827</v>
      </c>
      <c r="AD41" s="222"/>
      <c r="AE41" s="222">
        <f>$E$41</f>
        <v>45827</v>
      </c>
      <c r="AF41" s="222"/>
      <c r="AG41" s="222">
        <f>$E$41</f>
        <v>45827</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1089032</v>
      </c>
      <c r="G43" s="223">
        <f>SUM(G40:G42)</f>
        <v>1089032</v>
      </c>
      <c r="I43" s="223">
        <f>SUM(I40:I42)</f>
        <v>1089032</v>
      </c>
      <c r="K43" s="223">
        <f>SUM(K40:K42)</f>
        <v>1089032</v>
      </c>
      <c r="M43" s="223">
        <f>SUM(M40:M42)</f>
        <v>1089032</v>
      </c>
      <c r="O43" s="223">
        <f>SUM(O40:O42)</f>
        <v>1089032</v>
      </c>
      <c r="Q43" s="223">
        <f>SUM(Q40:Q42)</f>
        <v>1089032</v>
      </c>
      <c r="S43" s="223">
        <f>SUM(S40:S42)</f>
        <v>1089032</v>
      </c>
      <c r="U43" s="223">
        <f>SUM(U40:U42)</f>
        <v>1089032</v>
      </c>
      <c r="W43" s="223">
        <f>SUM(W40:W42)</f>
        <v>1089032</v>
      </c>
      <c r="Y43" s="223">
        <f>SUM(Y40:Y42)</f>
        <v>1089032</v>
      </c>
      <c r="AA43" s="223">
        <f>SUM(AA40:AA42)</f>
        <v>1089032</v>
      </c>
      <c r="AC43" s="223">
        <f>SUM(AC40:AC42)</f>
        <v>1089032</v>
      </c>
      <c r="AE43" s="223">
        <f>SUM(AE40:AE42)</f>
        <v>1089032</v>
      </c>
      <c r="AG43" s="223">
        <f>SUM(AG40:AG42)</f>
        <v>1089032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163730.80000000005</v>
      </c>
      <c r="G45" s="223">
        <f>G37-G43</f>
        <v>190809.11999999965</v>
      </c>
      <c r="I45" s="223">
        <f>I37-I43</f>
        <v>218395.2779999997</v>
      </c>
      <c r="K45" s="223">
        <f>K37-K43</f>
        <v>246496.05074999901</v>
      </c>
      <c r="M45" s="223">
        <f>M37-M43</f>
        <v>275118.1772467494</v>
      </c>
      <c r="O45" s="223">
        <f>O37-O43</f>
        <v>304268.35053889779</v>
      </c>
      <c r="Q45" s="223">
        <f>Q37-Q43</f>
        <v>333953.20907348441</v>
      </c>
      <c r="S45" s="223">
        <f>S37-S43</f>
        <v>364179.32756342506</v>
      </c>
      <c r="U45" s="223">
        <f>U37-U43</f>
        <v>394953.20735482196</v>
      </c>
      <c r="W45" s="223">
        <f>W37-W43</f>
        <v>426281.26627208525</v>
      </c>
      <c r="Y45" s="223">
        <f>Y37-Y43</f>
        <v>458169.82791794976</v>
      </c>
      <c r="AA45" s="223">
        <f>AA37-AA43</f>
        <v>490625.11040457664</v>
      </c>
      <c r="AC45" s="223">
        <f>AC37-AC43</f>
        <v>523653.21449097339</v>
      </c>
      <c r="AE45" s="223">
        <f>AE37-AE43</f>
        <v>557260.11110095121</v>
      </c>
      <c r="AG45" s="223">
        <f>AG37-AG43</f>
        <v>591451.62819484598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8.8396867765453885E-2</v>
      </c>
      <c r="G47" s="227">
        <f>G45/(G4+G6+G8)</f>
        <v>0.10050363186331131</v>
      </c>
      <c r="I47" s="227">
        <f>I45/(I4+I6+I8)</f>
        <v>0.11222820223737295</v>
      </c>
      <c r="K47" s="227">
        <f>K45/(K4+K6+K8)</f>
        <v>0.12357905281461294</v>
      </c>
      <c r="M47" s="227">
        <f>M45/(M4+M6+M8)</f>
        <v>0.13456444256894737</v>
      </c>
      <c r="O47" s="227">
        <f>O45/(O4+O6+O8)</f>
        <v>0.14519242068328692</v>
      </c>
      <c r="Q47" s="227">
        <f>Q45/(Q4+Q6+Q8)</f>
        <v>0.15547083158490488</v>
      </c>
      <c r="S47" s="227">
        <f>S45/(S4+S6+S8)</f>
        <v>0.16540731985719134</v>
      </c>
      <c r="U47" s="227">
        <f>U45/(U4+U6+U8)</f>
        <v>0.17500933503080743</v>
      </c>
      <c r="W47" s="227">
        <f>W45/(W4+W6+W8)</f>
        <v>0.18428413625717324</v>
      </c>
      <c r="Y47" s="227">
        <f>Y45/(Y4+Y6+Y8)</f>
        <v>0.19323879686714662</v>
      </c>
      <c r="AA47" s="227">
        <f>AA45/(AA4+AA6+AA8)</f>
        <v>0.20188020881768909</v>
      </c>
      <c r="AC47" s="227">
        <f>AC45/(AC4+AC6+AC8)</f>
        <v>0.21021508702924513</v>
      </c>
      <c r="AE47" s="227">
        <f>AE45/(AE4+AE6+AE8)</f>
        <v>0.21824997361648441</v>
      </c>
      <c r="AG47" s="227">
        <f>AG45/(AG4+AG6+AG8)</f>
        <v>0.22599124201500531</v>
      </c>
    </row>
    <row r="48" spans="1:33" s="227" customFormat="1" ht="14">
      <c r="A48" s="227" t="s">
        <v>852</v>
      </c>
      <c r="C48" s="220"/>
      <c r="E48" s="227">
        <f>E45/E43</f>
        <v>0.15034526074532251</v>
      </c>
      <c r="G48" s="227">
        <f>G45/G43</f>
        <v>0.17520983772744939</v>
      </c>
      <c r="I48" s="227">
        <f>I45/I43</f>
        <v>0.2005407352584678</v>
      </c>
      <c r="K48" s="227">
        <f>K45/K43</f>
        <v>0.22634417606645077</v>
      </c>
      <c r="M48" s="227">
        <f>M45/M43</f>
        <v>0.25262634821267821</v>
      </c>
      <c r="O48" s="227">
        <f>O45/O43</f>
        <v>0.27939339756673615</v>
      </c>
      <c r="Q48" s="227">
        <f>Q45/Q43</f>
        <v>0.30665141986046729</v>
      </c>
      <c r="S48" s="227">
        <f>S45/S43</f>
        <v>0.33440645230206739</v>
      </c>
      <c r="U48" s="227">
        <f>U45/U43</f>
        <v>0.36266446473090042</v>
      </c>
      <c r="W48" s="227">
        <f>W45/W43</f>
        <v>0.39143135029281534</v>
      </c>
      <c r="Y48" s="227">
        <f>Y45/Y43</f>
        <v>0.42071291561492202</v>
      </c>
      <c r="AA48" s="227">
        <f>AA45/AA43</f>
        <v>0.45051487045796323</v>
      </c>
      <c r="AC48" s="227">
        <f>AC45/AC43</f>
        <v>0.48084281682353996</v>
      </c>
      <c r="AE48" s="227">
        <f>AE45/AE43</f>
        <v>0.51170223749251742</v>
      </c>
      <c r="AG48" s="227">
        <f>AG45/AG43</f>
        <v>0.54309848397002658</v>
      </c>
    </row>
    <row r="49" spans="1:34" s="228" customFormat="1" ht="14">
      <c r="A49" s="228" t="s">
        <v>850</v>
      </c>
      <c r="C49" s="229"/>
      <c r="E49" s="228">
        <f>E37/E43</f>
        <v>1.1503452607453224</v>
      </c>
      <c r="G49" s="228">
        <f>G37/G43</f>
        <v>1.1752098377274494</v>
      </c>
      <c r="I49" s="228">
        <f>I37/I43</f>
        <v>1.2005407352584678</v>
      </c>
      <c r="K49" s="228">
        <f>K37/K43</f>
        <v>1.2263441760664509</v>
      </c>
      <c r="M49" s="228">
        <f>M37/M43</f>
        <v>1.2526263482126783</v>
      </c>
      <c r="O49" s="228">
        <f>O37/O43</f>
        <v>1.2793933975667362</v>
      </c>
      <c r="Q49" s="228">
        <f>Q37/Q43</f>
        <v>1.3066514198604673</v>
      </c>
      <c r="S49" s="228">
        <f>S37/S43</f>
        <v>1.3344064523020673</v>
      </c>
      <c r="U49" s="228">
        <f>U37/U43</f>
        <v>1.3626644647309005</v>
      </c>
      <c r="W49" s="228">
        <f>W37/W43</f>
        <v>1.3914313502928153</v>
      </c>
      <c r="Y49" s="228">
        <f>Y37/Y43</f>
        <v>1.4207129156149221</v>
      </c>
      <c r="AA49" s="228">
        <f>AA37/AA43</f>
        <v>1.4505148704579633</v>
      </c>
      <c r="AC49" s="228">
        <f>AC37/AC43</f>
        <v>1.4808428168235399</v>
      </c>
      <c r="AE49" s="228">
        <f>AE37/AE43</f>
        <v>1.5117022374925173</v>
      </c>
      <c r="AG49" s="228">
        <f>AG37/AG43</f>
        <v>1.5430984839700266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2777</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1.0349999999999999</v>
      </c>
      <c r="E53" s="960">
        <v>6300</v>
      </c>
      <c r="G53" s="956">
        <f>E53*$C$53</f>
        <v>6520.4999999999991</v>
      </c>
      <c r="I53" s="956">
        <f>G53*$C$53</f>
        <v>6748.7174999999988</v>
      </c>
      <c r="K53" s="956">
        <f>I53*$C$53</f>
        <v>6984.9226124999986</v>
      </c>
      <c r="M53" s="956">
        <f>K53*$C$53</f>
        <v>7229.3949039374984</v>
      </c>
      <c r="O53" s="956">
        <f>M53*$C$53</f>
        <v>7482.4237255753105</v>
      </c>
      <c r="Q53" s="956">
        <f>O53*$C$53</f>
        <v>7744.3085559704459</v>
      </c>
      <c r="S53" s="956">
        <f>Q53*$C$53</f>
        <v>8015.3593554294112</v>
      </c>
      <c r="U53" s="956">
        <f>S53*$C$53</f>
        <v>8295.8969328694402</v>
      </c>
      <c r="W53" s="956">
        <f>U53*$C$53</f>
        <v>8586.2533255198705</v>
      </c>
      <c r="Y53" s="956">
        <f>W53*$C$53</f>
        <v>8886.7721919130654</v>
      </c>
      <c r="AA53" s="956">
        <f>Y53*$C$53</f>
        <v>9197.8092186300219</v>
      </c>
      <c r="AC53" s="956">
        <f>AA53*$C$53</f>
        <v>9519.7325412820719</v>
      </c>
      <c r="AE53" s="956">
        <f>AC53*$C$53</f>
        <v>9852.9231802269442</v>
      </c>
      <c r="AG53" s="956">
        <f>AE53*$C$53</f>
        <v>10197.775491534887</v>
      </c>
    </row>
    <row r="54" spans="1:34" s="3" customFormat="1">
      <c r="A54" s="3" t="s">
        <v>855</v>
      </c>
      <c r="C54" s="954"/>
      <c r="E54" s="961">
        <v>5000</v>
      </c>
      <c r="F54" s="956"/>
      <c r="G54" s="956">
        <f t="shared" ref="G54:AG57" si="1">E54*$C$53</f>
        <v>5175</v>
      </c>
      <c r="H54" s="956"/>
      <c r="I54" s="956">
        <f t="shared" si="1"/>
        <v>5356.125</v>
      </c>
      <c r="J54" s="956"/>
      <c r="K54" s="956">
        <f t="shared" si="1"/>
        <v>5543.5893749999996</v>
      </c>
      <c r="L54" s="956"/>
      <c r="M54" s="956">
        <f t="shared" si="1"/>
        <v>5737.615003124999</v>
      </c>
      <c r="N54" s="956"/>
      <c r="O54" s="956">
        <f t="shared" si="1"/>
        <v>5938.4315282343732</v>
      </c>
      <c r="P54" s="956"/>
      <c r="Q54" s="956">
        <f t="shared" si="1"/>
        <v>6146.276631722576</v>
      </c>
      <c r="R54" s="956"/>
      <c r="S54" s="956">
        <f t="shared" si="1"/>
        <v>6361.3963138328654</v>
      </c>
      <c r="T54" s="956"/>
      <c r="U54" s="956">
        <f t="shared" si="1"/>
        <v>6584.0451848170151</v>
      </c>
      <c r="V54" s="956"/>
      <c r="W54" s="956">
        <f t="shared" si="1"/>
        <v>6814.4867662856104</v>
      </c>
      <c r="X54" s="956"/>
      <c r="Y54" s="956">
        <f t="shared" si="1"/>
        <v>7052.9938031056063</v>
      </c>
      <c r="Z54" s="956"/>
      <c r="AA54" s="956">
        <f t="shared" si="1"/>
        <v>7299.8485862143016</v>
      </c>
      <c r="AB54" s="956"/>
      <c r="AC54" s="956">
        <f t="shared" si="1"/>
        <v>7555.3432867318015</v>
      </c>
      <c r="AD54" s="956"/>
      <c r="AE54" s="956">
        <f t="shared" si="1"/>
        <v>7819.7803017674141</v>
      </c>
      <c r="AF54" s="956"/>
      <c r="AG54" s="956">
        <f t="shared" si="1"/>
        <v>8093.472612329273</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2779</v>
      </c>
      <c r="B56" s="962"/>
      <c r="C56" s="954"/>
      <c r="E56" s="961">
        <v>10000</v>
      </c>
      <c r="F56" s="956"/>
      <c r="G56" s="956">
        <f t="shared" si="1"/>
        <v>10350</v>
      </c>
      <c r="H56" s="956"/>
      <c r="I56" s="956">
        <f t="shared" si="1"/>
        <v>10712.25</v>
      </c>
      <c r="J56" s="956"/>
      <c r="K56" s="956">
        <f t="shared" si="1"/>
        <v>11087.178749999999</v>
      </c>
      <c r="L56" s="956"/>
      <c r="M56" s="956">
        <f t="shared" si="1"/>
        <v>11475.230006249998</v>
      </c>
      <c r="N56" s="956"/>
      <c r="O56" s="956">
        <f t="shared" si="1"/>
        <v>11876.863056468746</v>
      </c>
      <c r="P56" s="956"/>
      <c r="Q56" s="956">
        <f t="shared" si="1"/>
        <v>12292.553263445152</v>
      </c>
      <c r="R56" s="956"/>
      <c r="S56" s="956">
        <f t="shared" si="1"/>
        <v>12722.792627665731</v>
      </c>
      <c r="T56" s="956"/>
      <c r="U56" s="956">
        <f t="shared" si="1"/>
        <v>13168.09036963403</v>
      </c>
      <c r="V56" s="956"/>
      <c r="W56" s="956">
        <f t="shared" si="1"/>
        <v>13628.973532571221</v>
      </c>
      <c r="X56" s="956"/>
      <c r="Y56" s="956">
        <f t="shared" si="1"/>
        <v>14105.987606211213</v>
      </c>
      <c r="Z56" s="956"/>
      <c r="AA56" s="956">
        <f t="shared" si="1"/>
        <v>14599.697172428603</v>
      </c>
      <c r="AB56" s="956"/>
      <c r="AC56" s="956">
        <f t="shared" si="1"/>
        <v>15110.686573463603</v>
      </c>
      <c r="AD56" s="956"/>
      <c r="AE56" s="956">
        <f t="shared" si="1"/>
        <v>15639.560603534828</v>
      </c>
      <c r="AF56" s="956"/>
      <c r="AG56" s="956">
        <f t="shared" si="1"/>
        <v>16186.945224658546</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21300</v>
      </c>
      <c r="F58" s="956"/>
      <c r="G58" s="956">
        <f>SUM(G53:G57)</f>
        <v>22045.5</v>
      </c>
      <c r="H58" s="956"/>
      <c r="I58" s="956">
        <f>SUM(I53:I57)</f>
        <v>22817.092499999999</v>
      </c>
      <c r="J58" s="956"/>
      <c r="K58" s="956">
        <f>SUM(K53:K57)</f>
        <v>23615.690737499997</v>
      </c>
      <c r="L58" s="956"/>
      <c r="M58" s="956">
        <f>SUM(M53:M57)</f>
        <v>24442.239913312493</v>
      </c>
      <c r="N58" s="956"/>
      <c r="O58" s="956">
        <f>SUM(O53:O57)</f>
        <v>25297.718310278433</v>
      </c>
      <c r="P58" s="956"/>
      <c r="Q58" s="956">
        <f>SUM(Q53:Q57)</f>
        <v>26183.138451138173</v>
      </c>
      <c r="R58" s="956"/>
      <c r="S58" s="956">
        <f>SUM(S53:S57)</f>
        <v>27099.548296928006</v>
      </c>
      <c r="T58" s="956"/>
      <c r="U58" s="956">
        <f>SUM(U53:U57)</f>
        <v>28048.032487320488</v>
      </c>
      <c r="V58" s="956"/>
      <c r="W58" s="956">
        <f>SUM(W53:W57)</f>
        <v>29029.713624376702</v>
      </c>
      <c r="X58" s="956"/>
      <c r="Y58" s="956">
        <f>SUM(Y53:Y57)</f>
        <v>30045.753601229884</v>
      </c>
      <c r="Z58" s="956"/>
      <c r="AA58" s="956">
        <f>SUM(AA53:AA57)</f>
        <v>31097.354977272924</v>
      </c>
      <c r="AB58" s="956"/>
      <c r="AC58" s="956">
        <f>SUM(AC53:AC57)</f>
        <v>32185.762401477477</v>
      </c>
      <c r="AD58" s="956"/>
      <c r="AE58" s="956">
        <f>SUM(AE53:AE57)</f>
        <v>33312.264085529183</v>
      </c>
      <c r="AF58" s="956"/>
      <c r="AG58" s="956">
        <f>SUM(AG53:AG57)</f>
        <v>34478.193328522706</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142430.80000000005</v>
      </c>
      <c r="G60" s="958">
        <f>G45-G58</f>
        <v>168763.61999999965</v>
      </c>
      <c r="I60" s="958">
        <f>I45-I58</f>
        <v>195578.1854999997</v>
      </c>
      <c r="K60" s="958">
        <f>K45-K58</f>
        <v>222880.360012499</v>
      </c>
      <c r="M60" s="958">
        <f>M45-M58</f>
        <v>250675.93733343692</v>
      </c>
      <c r="O60" s="958">
        <f>O45-O58</f>
        <v>278970.63222861936</v>
      </c>
      <c r="Q60" s="958">
        <f>Q45-Q58</f>
        <v>307770.07062234625</v>
      </c>
      <c r="S60" s="958">
        <f>S45-S58</f>
        <v>337079.77926649706</v>
      </c>
      <c r="U60" s="958">
        <f>U45-U58</f>
        <v>366905.17486750148</v>
      </c>
      <c r="W60" s="958">
        <f>W45-W58</f>
        <v>397251.55264770857</v>
      </c>
      <c r="Y60" s="958">
        <f>Y45-Y58</f>
        <v>428124.0743167199</v>
      </c>
      <c r="AA60" s="958">
        <f>AA45-AA58</f>
        <v>459527.75542730372</v>
      </c>
      <c r="AC60" s="958">
        <f>AC45-AC58</f>
        <v>491467.4520894959</v>
      </c>
      <c r="AE60" s="958">
        <f>AE45-AE58</f>
        <v>523947.84701542201</v>
      </c>
      <c r="AG60" s="958">
        <f>AG45-AG58</f>
        <v>556973.43486632325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142430.80000000005</v>
      </c>
      <c r="G62" s="958">
        <f>G60*$C$62</f>
        <v>168763.61999999965</v>
      </c>
      <c r="I62" s="958">
        <f>I60*$C$62</f>
        <v>195578.1854999997</v>
      </c>
      <c r="K62" s="958">
        <f>K60*$C$62</f>
        <v>222880.360012499</v>
      </c>
      <c r="M62" s="958">
        <f>M60*$C$62</f>
        <v>250675.93733343692</v>
      </c>
      <c r="O62" s="958">
        <f>O60*$C$62</f>
        <v>278970.63222861936</v>
      </c>
      <c r="Q62" s="958">
        <f>Q60*$C$62</f>
        <v>307770.07062234625</v>
      </c>
      <c r="S62" s="958">
        <f>S60*$C$62</f>
        <v>337079.77926649706</v>
      </c>
      <c r="U62" s="958">
        <f>U60*$C$62</f>
        <v>366905.17486750148</v>
      </c>
      <c r="W62" s="958">
        <f>W60*$C$62</f>
        <v>397251.55264770857</v>
      </c>
      <c r="Y62" s="958">
        <f>Y60*$C$62</f>
        <v>428124.0743167199</v>
      </c>
      <c r="AA62" s="958">
        <f>AA60*$C$62</f>
        <v>459527.75542730372</v>
      </c>
      <c r="AC62" s="958">
        <f>AC60*$C$62</f>
        <v>491467.4520894959</v>
      </c>
      <c r="AE62" s="958">
        <f>AE60*$C$62</f>
        <v>523947.84701542201</v>
      </c>
      <c r="AG62" s="958">
        <f>AG60*$C$62</f>
        <v>556973.43486632325</v>
      </c>
    </row>
    <row r="63" spans="1:34" s="958" customFormat="1">
      <c r="A63" s="2687" t="s">
        <v>2778</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85" t="s">
        <v>1710</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9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abSelected="1" workbookViewId="0">
      <selection activeCell="C106" sqref="C106"/>
    </sheetView>
  </sheetViews>
  <sheetFormatPr defaultColWidth="9.08984375" defaultRowHeight="12.5" zeroHeight="1"/>
  <cols>
    <col min="1" max="1" width="35.6328125" style="204" customWidth="1"/>
    <col min="2" max="4" width="14.6328125" style="204" customWidth="1"/>
    <col min="5" max="5" width="50.6328125" style="204" customWidth="1"/>
    <col min="6" max="253" width="9.08984375" style="204" customWidth="1"/>
    <col min="254" max="16384" width="9.089843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5000000</v>
      </c>
      <c r="C5" s="266">
        <f>'Sources and Uses Budget'!$C4</f>
        <v>5000000</v>
      </c>
      <c r="D5" s="270">
        <f>C5-B5</f>
        <v>0</v>
      </c>
      <c r="E5" s="268"/>
      <c r="F5" s="267"/>
    </row>
    <row r="6" spans="1:6" s="352" customFormat="1">
      <c r="A6" s="364" t="s">
        <v>28</v>
      </c>
      <c r="B6" s="266">
        <f>'Sources and Uses Budget'!$C5</f>
        <v>100000</v>
      </c>
      <c r="C6" s="266">
        <f>'Sources and Uses Budget'!$C5</f>
        <v>100000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5100000</v>
      </c>
      <c r="C9" s="270">
        <f>SUM(C5:C8)</f>
        <v>5100000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5600000</v>
      </c>
      <c r="C13" s="270">
        <f>SUM(C9+C12)</f>
        <v>5600000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21096973</v>
      </c>
      <c r="C31" s="266">
        <f>'Sources and Uses Budget'!$C30</f>
        <v>21096973</v>
      </c>
      <c r="D31" s="270">
        <f t="shared" si="0"/>
        <v>0</v>
      </c>
      <c r="E31" s="268"/>
      <c r="F31" s="267"/>
    </row>
    <row r="32" spans="1:6" s="352" customFormat="1">
      <c r="A32" s="145" t="s">
        <v>600</v>
      </c>
      <c r="B32" s="266">
        <f>'Sources and Uses Budget'!$C31</f>
        <v>1626982</v>
      </c>
      <c r="C32" s="266">
        <f>'Sources and Uses Budget'!$C31</f>
        <v>1626982</v>
      </c>
      <c r="D32" s="270">
        <f t="shared" si="0"/>
        <v>0</v>
      </c>
      <c r="E32" s="268"/>
      <c r="F32" s="267"/>
    </row>
    <row r="33" spans="1:6" s="352" customFormat="1">
      <c r="A33" s="145" t="s">
        <v>137</v>
      </c>
      <c r="B33" s="266">
        <f>'Sources and Uses Budget'!$C32</f>
        <v>1084655</v>
      </c>
      <c r="C33" s="266">
        <f>'Sources and Uses Budget'!$C32</f>
        <v>1084655</v>
      </c>
      <c r="D33" s="270">
        <f t="shared" si="0"/>
        <v>0</v>
      </c>
      <c r="E33" s="268"/>
      <c r="F33" s="267"/>
    </row>
    <row r="34" spans="1:6" s="352" customFormat="1">
      <c r="A34" s="145" t="s">
        <v>138</v>
      </c>
      <c r="B34" s="266">
        <f>'Sources and Uses Budget'!$C33</f>
        <v>1084655</v>
      </c>
      <c r="C34" s="266">
        <f>'Sources and Uses Budget'!$C33</f>
        <v>1084655</v>
      </c>
      <c r="D34" s="270">
        <f t="shared" si="0"/>
        <v>0</v>
      </c>
      <c r="E34" s="268"/>
      <c r="F34" s="267"/>
    </row>
    <row r="35" spans="1:6" s="352" customFormat="1">
      <c r="A35" s="145" t="s">
        <v>139</v>
      </c>
      <c r="B35" s="266">
        <f>'Sources and Uses Budget'!$C34</f>
        <v>4519395</v>
      </c>
      <c r="C35" s="266">
        <f>'Sources and Uses Budget'!$C34</f>
        <v>4519395</v>
      </c>
      <c r="D35" s="270">
        <f t="shared" si="0"/>
        <v>0</v>
      </c>
      <c r="E35" s="268"/>
      <c r="F35" s="267"/>
    </row>
    <row r="36" spans="1:6" s="352" customFormat="1">
      <c r="A36" s="145" t="s">
        <v>140</v>
      </c>
      <c r="B36" s="266">
        <f>'Sources and Uses Budget'!$C35</f>
        <v>309127</v>
      </c>
      <c r="C36" s="266">
        <f>'Sources and Uses Budget'!$C35</f>
        <v>309127</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30721787</v>
      </c>
      <c r="C39" s="270">
        <f>SUM(C30:C38)</f>
        <v>30721787</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950000</v>
      </c>
      <c r="C41" s="266">
        <f>'Sources and Uses Budget'!$C40</f>
        <v>950000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950000</v>
      </c>
      <c r="C43" s="270">
        <f>SUM(C41:C42)</f>
        <v>950000</v>
      </c>
      <c r="D43" s="270">
        <f t="shared" si="0"/>
        <v>0</v>
      </c>
      <c r="E43" s="268"/>
      <c r="F43" s="267"/>
    </row>
    <row r="44" spans="1:6" s="352" customFormat="1" ht="13">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3757811</v>
      </c>
      <c r="C46" s="266">
        <f>'Sources and Uses Budget'!$C45</f>
        <v>3757811</v>
      </c>
      <c r="D46" s="270">
        <f t="shared" si="0"/>
        <v>0</v>
      </c>
      <c r="E46" s="268"/>
      <c r="F46" s="267"/>
    </row>
    <row r="47" spans="1:6" s="352" customFormat="1">
      <c r="A47" s="145" t="s">
        <v>151</v>
      </c>
      <c r="B47" s="266">
        <f>'Sources and Uses Budget'!$C46</f>
        <v>310727</v>
      </c>
      <c r="C47" s="266">
        <f>'Sources and Uses Budget'!$C46</f>
        <v>310727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278214</v>
      </c>
      <c r="C49" s="266">
        <f>'Sources and Uses Budget'!$C48</f>
        <v>278214</v>
      </c>
      <c r="D49" s="270">
        <f t="shared" si="0"/>
        <v>0</v>
      </c>
      <c r="E49" s="268"/>
      <c r="F49" s="267"/>
    </row>
    <row r="50" spans="1:6" s="352" customFormat="1">
      <c r="A50" s="145" t="s">
        <v>57</v>
      </c>
      <c r="B50" s="266">
        <f>'Sources and Uses Budget'!$C49</f>
        <v>77680</v>
      </c>
      <c r="C50" s="266">
        <f>'Sources and Uses Budget'!$C49</f>
        <v>77680</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315000</v>
      </c>
      <c r="C53" s="266">
        <f>'Sources and Uses Budget'!$C52</f>
        <v>315000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4859432</v>
      </c>
      <c r="C55" s="273">
        <f>SUM(C46:C54)</f>
        <v>4859432</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Legal for Perm loan</v>
      </c>
      <c r="B62" s="266">
        <f>'Sources and Uses Budget'!$C61</f>
        <v>15000</v>
      </c>
      <c r="C62" s="266">
        <f>'Sources and Uses Budget'!$C61</f>
        <v>15000</v>
      </c>
      <c r="D62" s="270">
        <f t="shared" si="0"/>
        <v>0</v>
      </c>
      <c r="E62" s="268"/>
      <c r="F62" s="267"/>
    </row>
    <row r="63" spans="1:6" s="352" customFormat="1" ht="13.65" customHeight="1">
      <c r="A63" s="271" t="s">
        <v>301</v>
      </c>
      <c r="B63" s="270">
        <f>SUM(B57:B62)</f>
        <v>25000</v>
      </c>
      <c r="C63" s="270">
        <f>SUM(C57:C62)</f>
        <v>25000</v>
      </c>
      <c r="D63" s="270">
        <f t="shared" si="0"/>
        <v>0</v>
      </c>
      <c r="E63" s="268"/>
      <c r="F63" s="267"/>
    </row>
    <row r="64" spans="1:6" s="352" customFormat="1" ht="13">
      <c r="A64" s="274" t="s">
        <v>302</v>
      </c>
      <c r="B64" s="270">
        <f>SUM(B9+B12+B14+B15+B17+B26+B28+B39+B43+B44+B55+B63)</f>
        <v>42806219</v>
      </c>
      <c r="C64" s="270">
        <f>SUM(C9+C12+C14+C15+C17+C26+C28+C39+C43+C44+C55+C63)</f>
        <v>42806219</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3">
      <c r="A67" s="283" t="s">
        <v>1630</v>
      </c>
      <c r="B67" s="266">
        <f>'Sources and Uses Budget'!$C66</f>
        <v>0</v>
      </c>
      <c r="C67" s="266">
        <f>'Sources and Uses Budget'!$C66</f>
        <v>0</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Legal: Lender+Bond Issuer + MGP</v>
      </c>
      <c r="B70" s="266">
        <f>'Sources and Uses Budget'!$C69</f>
        <v>300000</v>
      </c>
      <c r="C70" s="266">
        <f>'Sources and Uses Budget'!$C69</f>
        <v>300000</v>
      </c>
      <c r="D70" s="270">
        <f t="shared" si="0"/>
        <v>0</v>
      </c>
      <c r="E70" s="268"/>
      <c r="F70" s="267"/>
    </row>
    <row r="71" spans="1:6" s="352" customFormat="1">
      <c r="A71" s="149" t="s">
        <v>1634</v>
      </c>
      <c r="B71" s="270">
        <f>SUM(B66:B70)</f>
        <v>400000</v>
      </c>
      <c r="C71" s="270">
        <f>SUM(C66:C70)</f>
        <v>400000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398971</v>
      </c>
      <c r="C76" s="266">
        <f>'Sources and Uses Budget'!$C75</f>
        <v>398971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398971</v>
      </c>
      <c r="C78" s="270">
        <f>SUM(C73:C77)</f>
        <v>398971</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1580000</v>
      </c>
      <c r="C80" s="266">
        <f>'Sources and Uses Budget'!$C79</f>
        <v>1580000</v>
      </c>
      <c r="D80" s="270">
        <f t="shared" si="1"/>
        <v>0</v>
      </c>
      <c r="E80" s="268"/>
      <c r="F80" s="267"/>
    </row>
    <row r="81" spans="1:6" s="352" customFormat="1">
      <c r="A81" s="510" t="s">
        <v>58</v>
      </c>
      <c r="B81" s="266">
        <f>'Sources and Uses Budget'!$C80</f>
        <v>426932</v>
      </c>
      <c r="C81" s="266">
        <f>'Sources and Uses Budget'!$C80</f>
        <v>426932</v>
      </c>
      <c r="D81" s="270">
        <f>C81-B81</f>
        <v>0</v>
      </c>
      <c r="E81" s="268"/>
      <c r="F81" s="267"/>
    </row>
    <row r="82" spans="1:6" s="352" customFormat="1" ht="13">
      <c r="A82" s="271" t="s">
        <v>1209</v>
      </c>
      <c r="B82" s="270">
        <f>SUM(B80:B81)</f>
        <v>2006932</v>
      </c>
      <c r="C82" s="270">
        <f>SUM(C80:C81)</f>
        <v>2006932</v>
      </c>
      <c r="D82" s="270">
        <f t="shared" si="1"/>
        <v>0</v>
      </c>
      <c r="E82" s="268"/>
      <c r="F82" s="267"/>
    </row>
    <row r="83" spans="1:6" s="352" customFormat="1" ht="13">
      <c r="A83" s="264" t="s">
        <v>765</v>
      </c>
      <c r="B83" s="264"/>
      <c r="C83" s="264"/>
      <c r="D83" s="264"/>
      <c r="E83" s="282"/>
      <c r="F83" s="264"/>
    </row>
    <row r="84" spans="1:6" s="352" customFormat="1" ht="13.65" customHeight="1">
      <c r="A84" s="269" t="s">
        <v>766</v>
      </c>
      <c r="B84" s="266">
        <f>'Sources and Uses Budget'!$C83</f>
        <v>70171</v>
      </c>
      <c r="C84" s="266">
        <f>'Sources and Uses Budget'!$C83</f>
        <v>70171</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1478594</v>
      </c>
      <c r="C86" s="266">
        <f>'Sources and Uses Budget'!$C85</f>
        <v>1478594</v>
      </c>
      <c r="D86" s="270">
        <f t="shared" si="1"/>
        <v>0</v>
      </c>
      <c r="E86" s="268"/>
      <c r="F86" s="267"/>
    </row>
    <row r="87" spans="1:6" s="352" customFormat="1">
      <c r="A87" s="269" t="s">
        <v>769</v>
      </c>
      <c r="B87" s="266">
        <f>'Sources and Uses Budget'!$C86</f>
        <v>726406</v>
      </c>
      <c r="C87" s="266">
        <f>'Sources and Uses Budget'!$C86</f>
        <v>726406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100000</v>
      </c>
      <c r="C89" s="266">
        <f>'Sources and Uses Budget'!$C88</f>
        <v>100000</v>
      </c>
      <c r="D89" s="270">
        <f t="shared" si="1"/>
        <v>0</v>
      </c>
      <c r="E89" s="268"/>
      <c r="F89" s="267"/>
    </row>
    <row r="90" spans="1:6" s="352" customFormat="1">
      <c r="A90" s="269" t="s">
        <v>772</v>
      </c>
      <c r="B90" s="266">
        <f>'Sources and Uses Budget'!$C89</f>
        <v>100000</v>
      </c>
      <c r="C90" s="266">
        <f>'Sources and Uses Budget'!$C89</f>
        <v>100000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105000</v>
      </c>
      <c r="C94" s="266">
        <f>'Sources and Uses Budget'!$C93</f>
        <v>105000</v>
      </c>
      <c r="D94" s="270">
        <f t="shared" si="1"/>
        <v>0</v>
      </c>
      <c r="E94" s="268"/>
      <c r="F94" s="267"/>
    </row>
    <row r="95" spans="1:6" s="352" customFormat="1">
      <c r="A95" s="272" t="s">
        <v>34</v>
      </c>
      <c r="B95" s="266">
        <f>'Sources and Uses Budget'!$C94</f>
        <v>5530</v>
      </c>
      <c r="C95" s="266">
        <f>'Sources and Uses Budget'!$C94</f>
        <v>5530</v>
      </c>
      <c r="D95" s="270">
        <f t="shared" si="1"/>
        <v>0</v>
      </c>
      <c r="E95" s="268"/>
      <c r="F95" s="267"/>
    </row>
    <row r="96" spans="1:6" s="352" customFormat="1">
      <c r="A96" s="272" t="s">
        <v>34</v>
      </c>
      <c r="B96" s="266">
        <f>'Sources and Uses Budget'!$C95</f>
        <v>500000</v>
      </c>
      <c r="C96" s="266">
        <f>'Sources and Uses Budget'!$C95</f>
        <v>500000</v>
      </c>
      <c r="D96" s="270">
        <f t="shared" si="1"/>
        <v>0</v>
      </c>
      <c r="E96" s="268"/>
      <c r="F96" s="267"/>
    </row>
    <row r="97" spans="1:6" s="352" customFormat="1" ht="13">
      <c r="A97" s="271" t="s">
        <v>774</v>
      </c>
      <c r="B97" s="270">
        <f>SUM(B84:B96)</f>
        <v>3220701</v>
      </c>
      <c r="C97" s="270">
        <f>SUM(C84:C96)</f>
        <v>3220701</v>
      </c>
      <c r="D97" s="270">
        <f t="shared" si="1"/>
        <v>0</v>
      </c>
      <c r="E97" s="268"/>
      <c r="F97" s="267"/>
    </row>
    <row r="98" spans="1:6" s="352" customFormat="1" ht="13">
      <c r="A98" s="271" t="s">
        <v>775</v>
      </c>
      <c r="B98" s="270">
        <f>SUM(B64+B71+B78+B82+B97)</f>
        <v>48832823</v>
      </c>
      <c r="C98" s="270">
        <f>SUM(C64+C71+C78+C82+C97)</f>
        <v>48832823</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6213407</v>
      </c>
      <c r="C100" s="266">
        <f>'Sources and Uses Budget'!$C99</f>
        <v>6213407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6213407</v>
      </c>
      <c r="C105" s="270">
        <f>SUM(C100:C104)</f>
        <v>6213407</v>
      </c>
      <c r="D105" s="270">
        <f t="shared" si="1"/>
        <v>0</v>
      </c>
      <c r="E105" s="268"/>
      <c r="F105" s="267"/>
    </row>
    <row r="106" spans="1:6" s="352" customFormat="1" ht="13">
      <c r="A106" s="271" t="s">
        <v>780</v>
      </c>
      <c r="B106" s="273">
        <f>SUM(B98+B105)</f>
        <v>55046230</v>
      </c>
      <c r="C106" s="273">
        <f>SUM(C98+C105)</f>
        <v>55046230</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5" customHeight="1" zeroHeight="1"/>
  <cols>
    <col min="1" max="10" width="10.6328125" style="402" customWidth="1"/>
    <col min="11" max="16384" width="8.90625" style="402" hidden="1"/>
  </cols>
  <sheetData>
    <row r="1" spans="1:10" ht="15.5">
      <c r="A1" s="1282" t="s">
        <v>1843</v>
      </c>
      <c r="B1" s="1283"/>
      <c r="C1" s="1283"/>
      <c r="D1" s="1283"/>
      <c r="E1" s="1283"/>
      <c r="F1" s="1283"/>
      <c r="G1" s="1283"/>
      <c r="H1" s="1283"/>
      <c r="I1" s="1283"/>
      <c r="J1" s="1283"/>
    </row>
    <row r="2" spans="1:10" ht="15.5">
      <c r="A2" s="1286" t="s">
        <v>1268</v>
      </c>
      <c r="B2" s="1287"/>
      <c r="C2" s="1287"/>
      <c r="D2" s="1287"/>
      <c r="E2" s="1287"/>
      <c r="F2" s="1287"/>
      <c r="G2" s="1287"/>
      <c r="H2" s="1287"/>
      <c r="I2" s="1287"/>
      <c r="J2" s="1287"/>
    </row>
    <row r="3" spans="1:10"/>
    <row r="4" spans="1:10" ht="12.75" customHeight="1">
      <c r="A4" s="1284" t="s">
        <v>2007</v>
      </c>
      <c r="B4" s="1284"/>
      <c r="C4" s="1284"/>
      <c r="D4" s="1284"/>
      <c r="E4" s="1284"/>
      <c r="F4" s="1284"/>
      <c r="G4" s="1284"/>
      <c r="H4" s="1284"/>
      <c r="I4" s="1284"/>
      <c r="J4" s="1284"/>
    </row>
    <row r="5" spans="1:10">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row r="10" spans="1:10" ht="12.75" customHeight="1">
      <c r="A10" s="1288" t="s">
        <v>1848</v>
      </c>
      <c r="B10" s="1288"/>
      <c r="C10" s="1288"/>
      <c r="D10" s="1288"/>
      <c r="E10" s="1288"/>
      <c r="F10" s="1288"/>
      <c r="G10" s="1288"/>
      <c r="H10" s="1288"/>
      <c r="I10" s="1288"/>
      <c r="J10" s="1288"/>
    </row>
    <row r="11" spans="1:10">
      <c r="A11" s="1288"/>
      <c r="B11" s="1288"/>
      <c r="C11" s="1288"/>
      <c r="D11" s="1288"/>
      <c r="E11" s="1288"/>
      <c r="F11" s="1288"/>
      <c r="G11" s="1288"/>
      <c r="H11" s="1288"/>
      <c r="I11" s="1288"/>
      <c r="J11" s="1288"/>
    </row>
    <row r="12" spans="1:10">
      <c r="A12" s="1288"/>
      <c r="B12" s="1288"/>
      <c r="C12" s="1288"/>
      <c r="D12" s="1288"/>
      <c r="E12" s="1288"/>
      <c r="F12" s="1288"/>
      <c r="G12" s="1288"/>
      <c r="H12" s="1288"/>
      <c r="I12" s="1288"/>
      <c r="J12" s="1288"/>
    </row>
    <row r="13" spans="1:10">
      <c r="A13" s="1288"/>
      <c r="B13" s="1288"/>
      <c r="C13" s="1288"/>
      <c r="D13" s="1288"/>
      <c r="E13" s="1288"/>
      <c r="F13" s="1288"/>
      <c r="G13" s="1288"/>
      <c r="H13" s="1288"/>
      <c r="I13" s="1288"/>
      <c r="J13" s="1288"/>
    </row>
    <row r="14" spans="1:10">
      <c r="A14" s="1288"/>
      <c r="B14" s="1288"/>
      <c r="C14" s="1288"/>
      <c r="D14" s="1288"/>
      <c r="E14" s="1288"/>
      <c r="F14" s="1288"/>
      <c r="G14" s="1288"/>
      <c r="H14" s="1288"/>
      <c r="I14" s="1288"/>
      <c r="J14" s="1288"/>
    </row>
    <row r="15" spans="1:10">
      <c r="A15" s="1288"/>
      <c r="B15" s="1288"/>
      <c r="C15" s="1288"/>
      <c r="D15" s="1288"/>
      <c r="E15" s="1288"/>
      <c r="F15" s="1288"/>
      <c r="G15" s="1288"/>
      <c r="H15" s="1288"/>
      <c r="I15" s="1288"/>
      <c r="J15" s="1288"/>
    </row>
    <row r="16" spans="1:10">
      <c r="A16" s="524"/>
      <c r="B16" s="524"/>
      <c r="C16" s="524"/>
      <c r="D16" s="524"/>
      <c r="E16" s="524"/>
      <c r="F16" s="524"/>
      <c r="G16" s="524"/>
      <c r="H16" s="524"/>
      <c r="I16" s="524"/>
      <c r="J16" s="524"/>
    </row>
    <row r="17" spans="1:10">
      <c r="A17" s="476" t="s">
        <v>1847</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87" t="s">
        <v>1189</v>
      </c>
      <c r="B19" s="1287"/>
      <c r="C19" s="1287"/>
      <c r="D19" s="1287"/>
      <c r="E19" s="1287"/>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284" t="s">
        <v>1190</v>
      </c>
      <c r="B76" s="1284"/>
      <c r="C76" s="1284"/>
      <c r="D76" s="1284"/>
      <c r="E76" s="1284"/>
      <c r="F76" s="1284"/>
      <c r="G76" s="1284"/>
      <c r="H76" s="1284"/>
      <c r="I76" s="1284"/>
      <c r="J76" s="1284"/>
    </row>
    <row r="77" spans="1:10">
      <c r="A77" s="1284"/>
      <c r="B77" s="1284"/>
      <c r="C77" s="1284"/>
      <c r="D77" s="1284"/>
      <c r="E77" s="1284"/>
      <c r="F77" s="1284"/>
      <c r="G77" s="1284"/>
      <c r="H77" s="1284"/>
      <c r="I77" s="1284"/>
      <c r="J77" s="1284"/>
    </row>
    <row r="78" spans="1:10">
      <c r="A78" s="1284"/>
      <c r="B78" s="1284"/>
      <c r="C78" s="1284"/>
      <c r="D78" s="1284"/>
      <c r="E78" s="1284"/>
      <c r="F78" s="1284"/>
      <c r="G78" s="1284"/>
      <c r="H78" s="1284"/>
      <c r="I78" s="1284"/>
      <c r="J78" s="1284"/>
    </row>
    <row r="79" spans="1:10"/>
    <row r="80" spans="1:10">
      <c r="A80" s="402" t="s">
        <v>1189</v>
      </c>
    </row>
    <row r="81" spans="1:9"/>
    <row r="82" spans="1:9"/>
    <row r="83" spans="1:9"/>
    <row r="84" spans="1:9"/>
    <row r="85" spans="1:9"/>
    <row r="86" spans="1:9"/>
    <row r="87" spans="1:9"/>
    <row r="88" spans="1:9"/>
    <row r="89" spans="1:9" ht="13">
      <c r="A89" s="1285" t="s">
        <v>1844</v>
      </c>
      <c r="B89" s="1285"/>
      <c r="C89" s="1285"/>
      <c r="D89" s="1285"/>
      <c r="E89" s="1285"/>
      <c r="F89" s="1285"/>
      <c r="G89" s="1285"/>
      <c r="H89" s="1285"/>
      <c r="I89" s="1285"/>
    </row>
    <row r="90" spans="1:9">
      <c r="A90" s="1277" t="s">
        <v>2005</v>
      </c>
      <c r="B90" s="1277"/>
      <c r="C90" s="1277"/>
      <c r="D90" s="1277"/>
      <c r="E90" s="1277"/>
    </row>
    <row r="91" spans="1:9">
      <c r="A91" s="1277" t="s">
        <v>2006</v>
      </c>
      <c r="B91" s="1277"/>
      <c r="C91" s="1277"/>
      <c r="D91" s="1277"/>
      <c r="E91" s="1277"/>
    </row>
    <row r="92" spans="1:9">
      <c r="A92" s="1277" t="s">
        <v>1845</v>
      </c>
      <c r="B92" s="1277"/>
      <c r="C92" s="1277"/>
      <c r="D92" s="1277"/>
      <c r="E92" s="1277"/>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FC1553"/>
  <sheetViews>
    <sheetView showGridLines="0" topLeftCell="A1123" zoomScaleNormal="100" workbookViewId="0">
      <selection activeCell="I806" sqref="I806"/>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3" width="8.90625" style="402" hidden="1" customWidth="1"/>
    <col min="14" max="16382" width="0" style="402" hidden="1"/>
    <col min="16383" max="16383" width="4" style="402" hidden="1" customWidth="1"/>
    <col min="16384" max="16384" width="8" style="402" customWidth="1"/>
  </cols>
  <sheetData>
    <row r="1" spans="1:13"/>
    <row r="2" spans="1:13">
      <c r="A2" s="1340" t="s">
        <v>2607</v>
      </c>
      <c r="B2" s="1340"/>
      <c r="C2" s="1340"/>
      <c r="D2" s="1340"/>
      <c r="E2" s="1340"/>
      <c r="F2" s="1340"/>
      <c r="G2" s="1340"/>
      <c r="H2" s="1340"/>
      <c r="I2" s="1340"/>
    </row>
    <row r="3" spans="1:13">
      <c r="A3" s="1330" t="s">
        <v>2174</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2173</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1101</v>
      </c>
      <c r="B9" s="1309"/>
      <c r="C9" s="1309"/>
      <c r="D9" s="1309"/>
      <c r="E9" s="1309"/>
      <c r="F9" s="1309"/>
      <c r="G9" s="1309"/>
      <c r="H9" s="1023"/>
      <c r="I9" s="1024"/>
    </row>
    <row r="10" spans="1:13">
      <c r="A10" s="482"/>
      <c r="B10" s="482"/>
      <c r="E10" s="404"/>
    </row>
    <row r="11" spans="1:13" ht="13.65" customHeight="1">
      <c r="C11" s="482"/>
      <c r="D11" s="1332" t="s">
        <v>1100</v>
      </c>
      <c r="E11" s="1332"/>
      <c r="F11" s="1332"/>
    </row>
    <row r="12" spans="1:13">
      <c r="C12" s="482"/>
      <c r="D12" s="1332"/>
      <c r="E12" s="1332"/>
      <c r="F12" s="1332"/>
    </row>
    <row r="13" spans="1:13">
      <c r="A13" s="483"/>
      <c r="B13" s="483"/>
      <c r="C13" s="483"/>
      <c r="D13" s="1310" t="s">
        <v>1090</v>
      </c>
      <c r="E13" s="1310"/>
      <c r="F13" s="1310"/>
      <c r="M13" s="96"/>
    </row>
    <row r="14" spans="1:13">
      <c r="A14" s="483"/>
      <c r="B14" s="483"/>
      <c r="C14" s="483"/>
      <c r="D14" s="476"/>
      <c r="L14" s="312"/>
    </row>
    <row r="15" spans="1:13">
      <c r="A15" s="484"/>
      <c r="B15" s="485" t="s">
        <v>2644</v>
      </c>
      <c r="C15" s="483"/>
      <c r="D15" s="1308" t="s">
        <v>1895</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1893</v>
      </c>
      <c r="F18" s="445"/>
      <c r="I18" s="490"/>
    </row>
    <row r="19" spans="1:9">
      <c r="A19" s="483"/>
      <c r="B19" s="483"/>
      <c r="C19" s="483"/>
      <c r="I19" s="490"/>
    </row>
    <row r="20" spans="1:9">
      <c r="A20" s="484"/>
      <c r="B20" s="485" t="s">
        <v>2644</v>
      </c>
      <c r="D20" s="1308" t="s">
        <v>1896</v>
      </c>
      <c r="E20" s="1308"/>
      <c r="F20" s="1308"/>
      <c r="I20" s="490"/>
    </row>
    <row r="21" spans="1:9">
      <c r="A21" s="484"/>
      <c r="D21" s="1308"/>
      <c r="E21" s="1308"/>
      <c r="F21" s="1308"/>
      <c r="I21" s="490"/>
    </row>
    <row r="22" spans="1:9">
      <c r="A22" s="484"/>
      <c r="D22" s="392"/>
      <c r="E22" s="96" t="s">
        <v>1892</v>
      </c>
      <c r="F22" s="392"/>
      <c r="I22" s="490"/>
    </row>
    <row r="23" spans="1:9">
      <c r="A23" s="484"/>
      <c r="B23" s="484"/>
      <c r="D23" s="446"/>
      <c r="I23" s="490"/>
    </row>
    <row r="24" spans="1:9">
      <c r="A24" s="484"/>
      <c r="B24" s="485" t="s">
        <v>2645</v>
      </c>
      <c r="D24" s="1308" t="s">
        <v>1091</v>
      </c>
      <c r="E24" s="1308"/>
      <c r="F24" s="1308"/>
      <c r="I24" s="490"/>
    </row>
    <row r="25" spans="1:9">
      <c r="A25" s="484"/>
      <c r="B25" s="484"/>
      <c r="D25" s="1308"/>
      <c r="E25" s="1308"/>
      <c r="F25" s="1308"/>
      <c r="I25" s="490"/>
    </row>
    <row r="26" spans="1:9">
      <c r="I26" s="490"/>
    </row>
    <row r="27" spans="1:9">
      <c r="A27" s="484"/>
      <c r="B27" s="485" t="s">
        <v>2644</v>
      </c>
      <c r="D27" s="1308" t="s">
        <v>2008</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2644</v>
      </c>
      <c r="D33" s="1308" t="s">
        <v>2009</v>
      </c>
      <c r="E33" s="1308"/>
      <c r="F33" s="1308"/>
      <c r="I33" s="490"/>
    </row>
    <row r="34" spans="1:9">
      <c r="D34" s="1308"/>
      <c r="E34" s="1308"/>
      <c r="F34" s="1308"/>
      <c r="I34" s="490"/>
    </row>
    <row r="35" spans="1:9">
      <c r="A35" s="484"/>
      <c r="B35" s="484"/>
      <c r="D35" s="447"/>
      <c r="I35" s="490"/>
    </row>
    <row r="36" spans="1:9" ht="14.4" customHeight="1">
      <c r="A36" s="484"/>
      <c r="B36" s="485" t="s">
        <v>2645</v>
      </c>
      <c r="D36" s="1308" t="s">
        <v>1214</v>
      </c>
      <c r="E36" s="1308"/>
      <c r="F36" s="1308"/>
      <c r="I36" s="490"/>
    </row>
    <row r="37" spans="1:9">
      <c r="A37" s="484"/>
      <c r="B37" s="484"/>
      <c r="D37" s="1308"/>
      <c r="E37" s="1308"/>
      <c r="F37" s="1308"/>
      <c r="I37" s="490"/>
    </row>
    <row r="38" spans="1:9">
      <c r="A38" s="484"/>
      <c r="B38" s="484"/>
      <c r="D38" s="1308"/>
      <c r="E38" s="1308"/>
      <c r="F38" s="1308"/>
      <c r="I38" s="490"/>
    </row>
    <row r="39" spans="1:9">
      <c r="A39" s="484"/>
      <c r="B39" s="484"/>
      <c r="D39" s="1308"/>
      <c r="E39" s="1308"/>
      <c r="F39" s="1308"/>
      <c r="I39" s="490"/>
    </row>
    <row r="40" spans="1:9">
      <c r="A40" s="484"/>
      <c r="B40" s="484"/>
      <c r="I40" s="490"/>
    </row>
    <row r="41" spans="1:9">
      <c r="A41" s="484"/>
      <c r="B41" s="485" t="s">
        <v>2645</v>
      </c>
      <c r="D41" s="1308" t="s">
        <v>1092</v>
      </c>
      <c r="E41" s="1308"/>
      <c r="F41" s="1308"/>
      <c r="I41" s="490"/>
    </row>
    <row r="42" spans="1:9">
      <c r="A42" s="484"/>
      <c r="B42" s="484"/>
      <c r="D42" s="1308"/>
      <c r="E42" s="1308"/>
      <c r="F42" s="1308"/>
      <c r="I42" s="490"/>
    </row>
    <row r="43" spans="1:9">
      <c r="A43" s="484"/>
      <c r="B43" s="484"/>
      <c r="D43" s="1308"/>
      <c r="E43" s="1308"/>
      <c r="F43" s="1308"/>
      <c r="I43" s="490"/>
    </row>
    <row r="44" spans="1:9">
      <c r="A44" s="484"/>
      <c r="B44" s="484"/>
      <c r="D44" s="1308"/>
      <c r="E44" s="1308"/>
      <c r="F44" s="1308"/>
      <c r="I44" s="490"/>
    </row>
    <row r="45" spans="1:9">
      <c r="A45" s="484"/>
      <c r="B45" s="484"/>
      <c r="D45" s="1308"/>
      <c r="E45" s="1308"/>
      <c r="F45" s="1308"/>
      <c r="I45" s="490"/>
    </row>
    <row r="46" spans="1:9">
      <c r="A46" s="484"/>
      <c r="B46" s="484"/>
      <c r="D46" s="445"/>
      <c r="E46" s="445"/>
      <c r="F46" s="445"/>
      <c r="I46" s="490"/>
    </row>
    <row r="47" spans="1:9">
      <c r="A47" s="484"/>
      <c r="B47" s="485" t="s">
        <v>2645</v>
      </c>
      <c r="D47" s="1308" t="s">
        <v>1093</v>
      </c>
      <c r="E47" s="1308"/>
      <c r="F47" s="1308"/>
      <c r="I47" s="490"/>
    </row>
    <row r="48" spans="1:9">
      <c r="A48" s="484"/>
      <c r="B48" s="484"/>
      <c r="D48" s="1308"/>
      <c r="E48" s="1308"/>
      <c r="F48" s="1308"/>
      <c r="I48" s="490"/>
    </row>
    <row r="49" spans="1:9">
      <c r="A49" s="484"/>
      <c r="B49" s="484"/>
      <c r="D49" s="1308"/>
      <c r="E49" s="1308"/>
      <c r="F49" s="1308"/>
      <c r="I49" s="490"/>
    </row>
    <row r="50" spans="1:9" ht="23.25" customHeight="1">
      <c r="A50" s="484"/>
      <c r="B50" s="484"/>
      <c r="D50" s="1308"/>
      <c r="E50" s="1308"/>
      <c r="F50" s="1308"/>
      <c r="I50" s="490"/>
    </row>
    <row r="51" spans="1:9">
      <c r="A51" s="484"/>
      <c r="B51" s="484"/>
      <c r="D51" s="446"/>
      <c r="I51" s="490"/>
    </row>
    <row r="52" spans="1:9" ht="14.4" customHeight="1">
      <c r="A52" s="484"/>
      <c r="B52" s="485" t="s">
        <v>2645</v>
      </c>
      <c r="D52" s="1308" t="s">
        <v>1094</v>
      </c>
      <c r="E52" s="1308"/>
      <c r="F52" s="1308"/>
      <c r="I52" s="490"/>
    </row>
    <row r="53" spans="1:9">
      <c r="A53" s="484"/>
      <c r="B53" s="484"/>
      <c r="D53" s="1308"/>
      <c r="E53" s="1308"/>
      <c r="F53" s="1308"/>
      <c r="I53" s="490"/>
    </row>
    <row r="54" spans="1:9">
      <c r="A54" s="484"/>
      <c r="B54" s="484"/>
      <c r="D54" s="1308"/>
      <c r="E54" s="1308"/>
      <c r="F54" s="1308"/>
      <c r="I54" s="490"/>
    </row>
    <row r="55" spans="1:9">
      <c r="A55" s="484"/>
      <c r="B55" s="484"/>
      <c r="I55" s="490"/>
    </row>
    <row r="56" spans="1:9">
      <c r="A56" s="484"/>
      <c r="B56" s="485" t="s">
        <v>2645</v>
      </c>
      <c r="D56" s="1335" t="s">
        <v>1095</v>
      </c>
      <c r="E56" s="1335"/>
      <c r="F56" s="1335"/>
      <c r="I56" s="490"/>
    </row>
    <row r="57" spans="1:9">
      <c r="A57" s="484"/>
      <c r="B57" s="484"/>
      <c r="D57" s="1335"/>
      <c r="E57" s="1335"/>
      <c r="F57" s="1335"/>
      <c r="I57" s="490"/>
    </row>
    <row r="58" spans="1:9">
      <c r="A58" s="484"/>
      <c r="B58" s="484"/>
      <c r="D58" s="392" t="s">
        <v>1894</v>
      </c>
      <c r="E58" s="445"/>
      <c r="F58" s="445"/>
      <c r="I58" s="490"/>
    </row>
    <row r="59" spans="1:9">
      <c r="A59" s="484"/>
      <c r="B59" s="484"/>
      <c r="D59" s="445"/>
      <c r="E59" s="312" t="s">
        <v>1893</v>
      </c>
      <c r="F59" s="445"/>
      <c r="I59" s="490"/>
    </row>
    <row r="60" spans="1:9">
      <c r="D60" s="447"/>
      <c r="I60" s="490"/>
    </row>
    <row r="61" spans="1:9">
      <c r="A61" s="484"/>
      <c r="B61" s="485" t="s">
        <v>2645</v>
      </c>
      <c r="D61" s="1308" t="s">
        <v>1096</v>
      </c>
      <c r="E61" s="1308"/>
      <c r="F61" s="1308"/>
      <c r="I61" s="490"/>
    </row>
    <row r="62" spans="1:9">
      <c r="D62" s="1308"/>
      <c r="E62" s="1308"/>
      <c r="F62" s="1308"/>
      <c r="I62" s="490"/>
    </row>
    <row r="63" spans="1:9">
      <c r="D63" s="1308"/>
      <c r="E63" s="1308"/>
      <c r="F63" s="1308"/>
      <c r="I63" s="490"/>
    </row>
    <row r="64" spans="1:9">
      <c r="I64" s="490"/>
    </row>
    <row r="65" spans="1:9">
      <c r="A65" s="484"/>
      <c r="B65" s="485" t="s">
        <v>2645</v>
      </c>
      <c r="D65" s="1308" t="s">
        <v>1097</v>
      </c>
      <c r="E65" s="1308"/>
      <c r="F65" s="1308"/>
      <c r="I65" s="490"/>
    </row>
    <row r="66" spans="1:9">
      <c r="D66" s="1308"/>
      <c r="E66" s="1308"/>
      <c r="F66" s="1308"/>
      <c r="I66" s="490"/>
    </row>
    <row r="67" spans="1:9">
      <c r="I67" s="490"/>
    </row>
    <row r="68" spans="1:9">
      <c r="A68" s="484"/>
      <c r="B68" s="485" t="s">
        <v>2644</v>
      </c>
      <c r="D68" s="1308" t="s">
        <v>1098</v>
      </c>
      <c r="E68" s="1308"/>
      <c r="F68" s="1308"/>
      <c r="I68" s="490"/>
    </row>
    <row r="69" spans="1:9">
      <c r="D69" s="1308"/>
      <c r="E69" s="1308"/>
      <c r="F69" s="1308"/>
      <c r="I69" s="490"/>
    </row>
    <row r="70" spans="1:9">
      <c r="D70" s="1308"/>
      <c r="E70" s="1308"/>
      <c r="F70" s="1308"/>
      <c r="I70" s="490"/>
    </row>
    <row r="71" spans="1:9">
      <c r="I71" s="490"/>
    </row>
    <row r="72" spans="1:9">
      <c r="A72" s="484"/>
      <c r="B72" s="485" t="s">
        <v>2644</v>
      </c>
      <c r="D72" s="1308" t="s">
        <v>1099</v>
      </c>
      <c r="E72" s="1308"/>
      <c r="F72" s="1308"/>
      <c r="I72" s="490"/>
    </row>
    <row r="73" spans="1:9">
      <c r="D73" s="1308"/>
      <c r="E73" s="1308"/>
      <c r="F73" s="1308"/>
      <c r="I73" s="490"/>
    </row>
    <row r="74" spans="1:9">
      <c r="A74" s="484"/>
      <c r="B74" s="484"/>
      <c r="D74" s="446"/>
      <c r="I74" s="490"/>
    </row>
    <row r="75" spans="1:9">
      <c r="A75" s="1309" t="s">
        <v>1044</v>
      </c>
      <c r="B75" s="1309"/>
      <c r="C75" s="1309"/>
      <c r="D75" s="1309"/>
      <c r="E75" s="1309"/>
      <c r="F75" s="1309"/>
      <c r="G75" s="1309"/>
      <c r="H75" s="1023"/>
      <c r="I75" s="1147"/>
    </row>
    <row r="76" spans="1:9">
      <c r="I76" s="490"/>
    </row>
    <row r="77" spans="1:9">
      <c r="C77" s="486"/>
      <c r="D77" s="1328" t="s">
        <v>1102</v>
      </c>
      <c r="E77" s="1328"/>
      <c r="F77" s="1328"/>
      <c r="I77" s="490"/>
    </row>
    <row r="78" spans="1:9">
      <c r="A78" s="446"/>
      <c r="B78" s="446"/>
      <c r="D78" s="1308" t="s">
        <v>1117</v>
      </c>
      <c r="E78" s="1308"/>
      <c r="F78" s="1308"/>
      <c r="I78" s="490"/>
    </row>
    <row r="79" spans="1:9">
      <c r="A79" s="446"/>
      <c r="B79" s="446"/>
      <c r="I79" s="490"/>
    </row>
    <row r="80" spans="1:9" ht="13.65" customHeight="1">
      <c r="A80" s="484"/>
      <c r="B80" s="485" t="s">
        <v>2644</v>
      </c>
      <c r="D80" s="1308" t="s">
        <v>1245</v>
      </c>
      <c r="E80" s="1308"/>
      <c r="F80" s="1308"/>
      <c r="I80" s="490"/>
    </row>
    <row r="81" spans="1:9">
      <c r="A81" s="484"/>
      <c r="B81" s="484"/>
      <c r="D81" s="1308"/>
      <c r="E81" s="1308"/>
      <c r="F81" s="1308"/>
      <c r="I81" s="490"/>
    </row>
    <row r="82" spans="1:9">
      <c r="A82" s="484"/>
      <c r="B82" s="484"/>
      <c r="D82" s="1308"/>
      <c r="E82" s="1308"/>
      <c r="F82" s="1308"/>
      <c r="I82" s="490"/>
    </row>
    <row r="83" spans="1:9">
      <c r="A83" s="484"/>
      <c r="B83" s="484"/>
      <c r="D83" s="1308"/>
      <c r="E83" s="1308"/>
      <c r="F83" s="1308"/>
      <c r="I83" s="490"/>
    </row>
    <row r="84" spans="1:9">
      <c r="A84" s="484"/>
      <c r="B84" s="484"/>
      <c r="D84" s="1308"/>
      <c r="E84" s="1308"/>
      <c r="F84" s="1308"/>
      <c r="I84" s="490"/>
    </row>
    <row r="85" spans="1:9">
      <c r="A85" s="484"/>
      <c r="B85" s="484"/>
      <c r="D85" s="1308"/>
      <c r="E85" s="1308"/>
      <c r="F85" s="1308"/>
      <c r="I85" s="490"/>
    </row>
    <row r="86" spans="1:9">
      <c r="A86" s="484"/>
      <c r="B86" s="484"/>
      <c r="D86" s="1308"/>
      <c r="E86" s="1308"/>
      <c r="F86" s="1308"/>
      <c r="I86" s="490"/>
    </row>
    <row r="87" spans="1:9">
      <c r="A87" s="484"/>
      <c r="B87" s="484"/>
      <c r="D87" s="1308"/>
      <c r="E87" s="1308"/>
      <c r="F87" s="1308"/>
      <c r="I87" s="490"/>
    </row>
    <row r="88" spans="1:9">
      <c r="A88" s="484"/>
      <c r="B88" s="484"/>
      <c r="D88" s="385"/>
      <c r="E88" s="385"/>
      <c r="F88" s="385"/>
      <c r="I88" s="490"/>
    </row>
    <row r="89" spans="1:9" ht="15" customHeight="1">
      <c r="A89" s="484"/>
      <c r="B89" s="485" t="s">
        <v>2644</v>
      </c>
      <c r="D89" s="1308" t="s">
        <v>1731</v>
      </c>
      <c r="E89" s="1308"/>
      <c r="F89" s="1308"/>
      <c r="I89" s="490"/>
    </row>
    <row r="90" spans="1:9">
      <c r="A90" s="484"/>
      <c r="B90" s="484"/>
      <c r="D90" s="1308"/>
      <c r="E90" s="1308"/>
      <c r="F90" s="1308"/>
      <c r="I90" s="490"/>
    </row>
    <row r="91" spans="1:9">
      <c r="A91" s="484"/>
      <c r="B91" s="484"/>
      <c r="D91" s="445"/>
      <c r="E91" s="445"/>
      <c r="F91" s="445"/>
      <c r="I91" s="490"/>
    </row>
    <row r="92" spans="1:9">
      <c r="A92" s="484"/>
      <c r="B92" s="485" t="s">
        <v>2644</v>
      </c>
      <c r="D92" s="1308" t="s">
        <v>1734</v>
      </c>
      <c r="E92" s="1308"/>
      <c r="F92" s="1308"/>
      <c r="I92" s="490"/>
    </row>
    <row r="93" spans="1:9">
      <c r="A93" s="484"/>
      <c r="B93" s="484"/>
      <c r="D93" s="1308"/>
      <c r="E93" s="1308"/>
      <c r="F93" s="1308"/>
      <c r="I93" s="490"/>
    </row>
    <row r="94" spans="1:9">
      <c r="A94" s="484"/>
      <c r="B94" s="484"/>
      <c r="D94" s="1308"/>
      <c r="E94" s="1308"/>
      <c r="F94" s="1308"/>
      <c r="I94" s="490"/>
    </row>
    <row r="95" spans="1:9">
      <c r="A95" s="484"/>
      <c r="B95" s="484"/>
      <c r="D95" s="445"/>
      <c r="E95" s="445"/>
      <c r="F95" s="445"/>
      <c r="I95" s="490"/>
    </row>
    <row r="96" spans="1:9">
      <c r="A96" s="484"/>
      <c r="B96" s="485" t="s">
        <v>2644</v>
      </c>
      <c r="D96" s="1308" t="s">
        <v>1733</v>
      </c>
      <c r="E96" s="1308"/>
      <c r="F96" s="1308"/>
      <c r="I96" s="490"/>
    </row>
    <row r="97" spans="1:9" s="982" customFormat="1">
      <c r="A97" s="980"/>
      <c r="B97" s="980"/>
      <c r="C97" s="981"/>
      <c r="D97" s="1308"/>
      <c r="E97" s="1308"/>
      <c r="F97" s="1308"/>
      <c r="I97" s="1148"/>
    </row>
    <row r="98" spans="1:9">
      <c r="A98" s="484"/>
      <c r="B98" s="484"/>
      <c r="D98" s="392"/>
      <c r="E98" s="312" t="s">
        <v>1897</v>
      </c>
      <c r="F98" s="445"/>
      <c r="I98" s="490"/>
    </row>
    <row r="99" spans="1:9">
      <c r="A99" s="484"/>
      <c r="B99" s="484"/>
      <c r="D99" s="385"/>
      <c r="E99" s="385"/>
      <c r="F99" s="385"/>
      <c r="I99" s="490"/>
    </row>
    <row r="100" spans="1:9">
      <c r="A100" s="484"/>
      <c r="B100" s="485" t="s">
        <v>2645</v>
      </c>
      <c r="D100" s="1308" t="s">
        <v>1732</v>
      </c>
      <c r="E100" s="1308"/>
      <c r="F100" s="1308"/>
      <c r="I100" s="490"/>
    </row>
    <row r="101" spans="1:9">
      <c r="A101" s="484"/>
      <c r="B101" s="484"/>
      <c r="D101" s="1308"/>
      <c r="E101" s="1308"/>
      <c r="F101" s="1308"/>
      <c r="I101" s="490"/>
    </row>
    <row r="102" spans="1:9">
      <c r="A102" s="484"/>
      <c r="B102" s="484"/>
      <c r="D102" s="445"/>
      <c r="E102" s="445"/>
      <c r="F102" s="445"/>
      <c r="I102" s="490"/>
    </row>
    <row r="103" spans="1:9" ht="14.4" customHeight="1">
      <c r="A103" s="484"/>
      <c r="B103" s="485" t="s">
        <v>2645</v>
      </c>
      <c r="D103" s="1308" t="s">
        <v>1194</v>
      </c>
      <c r="E103" s="1308"/>
      <c r="F103" s="1308"/>
      <c r="I103" s="490"/>
    </row>
    <row r="104" spans="1:9">
      <c r="A104" s="484"/>
      <c r="B104" s="484"/>
      <c r="D104" s="1308"/>
      <c r="E104" s="1308"/>
      <c r="F104" s="1308"/>
      <c r="I104" s="490"/>
    </row>
    <row r="105" spans="1:9">
      <c r="A105" s="484"/>
      <c r="B105" s="484"/>
      <c r="D105" s="1308"/>
      <c r="E105" s="1308"/>
      <c r="F105" s="1308"/>
      <c r="I105" s="490"/>
    </row>
    <row r="106" spans="1:9">
      <c r="A106" s="484"/>
      <c r="B106" s="484"/>
      <c r="D106" s="1308"/>
      <c r="E106" s="1308"/>
      <c r="F106" s="1308"/>
      <c r="I106" s="490"/>
    </row>
    <row r="107" spans="1:9">
      <c r="A107" s="484"/>
      <c r="B107" s="484"/>
      <c r="D107" s="1308"/>
      <c r="E107" s="1308"/>
      <c r="F107" s="1308"/>
      <c r="I107" s="490"/>
    </row>
    <row r="108" spans="1:9">
      <c r="A108" s="484"/>
      <c r="B108" s="484"/>
      <c r="D108" s="1308"/>
      <c r="E108" s="1308"/>
      <c r="F108" s="1308"/>
      <c r="I108" s="490"/>
    </row>
    <row r="109" spans="1:9">
      <c r="A109" s="484"/>
      <c r="B109" s="484"/>
      <c r="D109" s="1308"/>
      <c r="E109" s="1308"/>
      <c r="F109" s="1308"/>
      <c r="I109" s="490"/>
    </row>
    <row r="110" spans="1:9">
      <c r="A110" s="484"/>
      <c r="B110" s="484"/>
      <c r="D110" s="1308"/>
      <c r="E110" s="1308"/>
      <c r="F110" s="1308"/>
      <c r="I110" s="490"/>
    </row>
    <row r="111" spans="1:9">
      <c r="A111" s="484"/>
      <c r="B111" s="484"/>
      <c r="D111" s="1308"/>
      <c r="E111" s="1308"/>
      <c r="F111" s="1308"/>
      <c r="I111" s="490"/>
    </row>
    <row r="112" spans="1:9">
      <c r="A112" s="484"/>
      <c r="B112" s="484"/>
      <c r="D112" s="1308"/>
      <c r="E112" s="1308"/>
      <c r="F112" s="1308"/>
      <c r="I112" s="490"/>
    </row>
    <row r="113" spans="1:9">
      <c r="A113" s="484"/>
      <c r="B113" s="484"/>
      <c r="D113" s="1308"/>
      <c r="E113" s="1308"/>
      <c r="F113" s="1308"/>
      <c r="I113" s="490"/>
    </row>
    <row r="114" spans="1:9">
      <c r="A114" s="484"/>
      <c r="B114" s="484"/>
      <c r="D114" s="1308"/>
      <c r="E114" s="1308"/>
      <c r="F114" s="1308"/>
      <c r="I114" s="490"/>
    </row>
    <row r="115" spans="1:9">
      <c r="A115" s="484"/>
      <c r="B115" s="484"/>
      <c r="D115" s="1308"/>
      <c r="E115" s="1308"/>
      <c r="F115" s="1308"/>
      <c r="I115" s="490"/>
    </row>
    <row r="116" spans="1:9">
      <c r="A116" s="484"/>
      <c r="B116" s="484"/>
      <c r="D116" s="1308"/>
      <c r="E116" s="1308"/>
      <c r="F116" s="1308"/>
      <c r="I116" s="490"/>
    </row>
    <row r="117" spans="1:9">
      <c r="A117" s="484"/>
      <c r="B117" s="484"/>
      <c r="D117" s="1308"/>
      <c r="E117" s="1308"/>
      <c r="F117" s="1308"/>
      <c r="I117" s="490"/>
    </row>
    <row r="118" spans="1:9">
      <c r="A118" s="484"/>
      <c r="B118" s="484"/>
      <c r="D118" s="524"/>
      <c r="E118" s="524"/>
      <c r="F118" s="524"/>
      <c r="I118" s="490"/>
    </row>
    <row r="119" spans="1:9" ht="14.25" customHeight="1">
      <c r="A119" s="484"/>
      <c r="B119" s="485" t="s">
        <v>2645</v>
      </c>
      <c r="D119" s="1334" t="s">
        <v>1103</v>
      </c>
      <c r="E119" s="1334"/>
      <c r="F119" s="1334"/>
      <c r="I119" s="490"/>
    </row>
    <row r="120" spans="1:9">
      <c r="A120" s="484"/>
      <c r="B120" s="484"/>
      <c r="D120" s="1334"/>
      <c r="E120" s="1334"/>
      <c r="F120" s="1334"/>
      <c r="I120" s="490"/>
    </row>
    <row r="121" spans="1:9">
      <c r="A121" s="484"/>
      <c r="B121" s="484"/>
      <c r="D121" s="1334"/>
      <c r="E121" s="1334"/>
      <c r="F121" s="1334"/>
      <c r="I121" s="490"/>
    </row>
    <row r="122" spans="1:9">
      <c r="A122" s="484"/>
      <c r="B122" s="484"/>
      <c r="D122" s="1334"/>
      <c r="E122" s="1334"/>
      <c r="F122" s="1334"/>
      <c r="I122" s="490"/>
    </row>
    <row r="123" spans="1:9">
      <c r="A123" s="484"/>
      <c r="B123" s="484"/>
      <c r="D123" s="1334"/>
      <c r="E123" s="1334"/>
      <c r="F123" s="1334"/>
      <c r="I123" s="490"/>
    </row>
    <row r="124" spans="1:9">
      <c r="A124" s="484"/>
      <c r="B124" s="484"/>
      <c r="D124" s="1334"/>
      <c r="E124" s="1334"/>
      <c r="F124" s="1334"/>
      <c r="I124" s="490"/>
    </row>
    <row r="125" spans="1:9">
      <c r="A125" s="484"/>
      <c r="B125" s="484"/>
      <c r="D125" s="1334"/>
      <c r="E125" s="1334"/>
      <c r="F125" s="1334"/>
      <c r="I125" s="490"/>
    </row>
    <row r="126" spans="1:9">
      <c r="A126" s="484"/>
      <c r="B126" s="484"/>
      <c r="D126" s="1334"/>
      <c r="E126" s="1334"/>
      <c r="F126" s="1334"/>
      <c r="I126" s="490"/>
    </row>
    <row r="127" spans="1:9">
      <c r="C127" s="402"/>
      <c r="D127" s="525"/>
      <c r="E127" s="525"/>
      <c r="F127" s="525"/>
      <c r="I127" s="490"/>
    </row>
    <row r="128" spans="1:9">
      <c r="A128" s="484"/>
      <c r="B128" s="485" t="s">
        <v>2645</v>
      </c>
      <c r="C128" s="402"/>
      <c r="D128" s="1334" t="s">
        <v>2010</v>
      </c>
      <c r="E128" s="1334"/>
      <c r="F128" s="1334"/>
      <c r="I128" s="490"/>
    </row>
    <row r="129" spans="1:9">
      <c r="A129" s="484"/>
      <c r="B129" s="484"/>
      <c r="C129" s="402"/>
      <c r="D129" s="1334"/>
      <c r="E129" s="1334"/>
      <c r="F129" s="1334"/>
      <c r="I129" s="490"/>
    </row>
    <row r="130" spans="1:9">
      <c r="I130" s="490"/>
    </row>
    <row r="131" spans="1:9">
      <c r="A131" s="484"/>
      <c r="B131" s="485" t="s">
        <v>2644</v>
      </c>
      <c r="D131" s="1308" t="s">
        <v>1104</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c r="A137" s="484"/>
      <c r="B137" s="485" t="s">
        <v>2644</v>
      </c>
      <c r="D137" s="1308" t="s">
        <v>1105</v>
      </c>
      <c r="E137" s="1308"/>
      <c r="F137" s="1308"/>
      <c r="I137" s="490"/>
    </row>
    <row r="138" spans="1:9" s="417" customFormat="1" ht="13.65" customHeight="1">
      <c r="A138" s="488"/>
      <c r="B138" s="488"/>
      <c r="C138" s="488"/>
      <c r="D138" s="1308"/>
      <c r="E138" s="1308"/>
      <c r="F138" s="1308"/>
      <c r="I138" s="1149"/>
    </row>
    <row r="139" spans="1:9" ht="13.65" customHeight="1">
      <c r="D139" s="1308"/>
      <c r="E139" s="1308"/>
      <c r="F139" s="1308"/>
      <c r="I139" s="490"/>
    </row>
    <row r="140" spans="1:9" ht="13.65" customHeight="1">
      <c r="D140" s="1308"/>
      <c r="E140" s="1308"/>
      <c r="F140" s="1308"/>
      <c r="I140" s="490"/>
    </row>
    <row r="141" spans="1:9" ht="13.65" customHeight="1">
      <c r="D141" s="1308"/>
      <c r="E141" s="1308"/>
      <c r="F141" s="1308"/>
      <c r="I141" s="490"/>
    </row>
    <row r="142" spans="1:9" ht="13.65" customHeight="1">
      <c r="A142" s="489"/>
      <c r="B142" s="489"/>
      <c r="D142" s="1308"/>
      <c r="E142" s="1308"/>
      <c r="F142" s="1308"/>
      <c r="I142" s="490"/>
    </row>
    <row r="143" spans="1:9" ht="13.65" customHeight="1">
      <c r="D143" s="1308"/>
      <c r="E143" s="1308"/>
      <c r="F143" s="1308"/>
      <c r="I143" s="490"/>
    </row>
    <row r="144" spans="1:9" ht="13.65" customHeight="1">
      <c r="D144" s="1308"/>
      <c r="E144" s="1308"/>
      <c r="F144" s="1308"/>
      <c r="I144" s="490"/>
    </row>
    <row r="145" spans="2:9" ht="13.65" customHeight="1">
      <c r="D145" s="1308"/>
      <c r="E145" s="1308"/>
      <c r="F145" s="1308"/>
      <c r="I145" s="490"/>
    </row>
    <row r="146" spans="2:9" ht="13.65" customHeight="1">
      <c r="D146" s="1308"/>
      <c r="E146" s="1308"/>
      <c r="F146" s="1308"/>
      <c r="I146" s="490"/>
    </row>
    <row r="147" spans="2:9" ht="13.65" customHeight="1">
      <c r="D147" s="1308"/>
      <c r="E147" s="1308"/>
      <c r="F147" s="1308"/>
      <c r="I147" s="490"/>
    </row>
    <row r="148" spans="2:9" ht="13.65" customHeight="1">
      <c r="D148" s="1308"/>
      <c r="E148" s="1308"/>
      <c r="F148" s="1308"/>
      <c r="I148" s="490"/>
    </row>
    <row r="149" spans="2:9" ht="13.65" customHeight="1">
      <c r="D149" s="1308"/>
      <c r="E149" s="1308"/>
      <c r="F149" s="1308"/>
      <c r="I149" s="490"/>
    </row>
    <row r="150" spans="2:9" ht="13.65" customHeight="1">
      <c r="D150" s="476"/>
      <c r="E150" s="446"/>
      <c r="F150" s="446"/>
      <c r="I150" s="490"/>
    </row>
    <row r="151" spans="2:9" ht="13.65" customHeight="1">
      <c r="B151" s="485" t="s">
        <v>2645</v>
      </c>
      <c r="D151" s="1308" t="s">
        <v>1177</v>
      </c>
      <c r="E151" s="1308"/>
      <c r="F151" s="1308"/>
      <c r="I151" s="490"/>
    </row>
    <row r="152" spans="2:9" ht="13.65" customHeight="1">
      <c r="D152" s="1308"/>
      <c r="E152" s="1308"/>
      <c r="F152" s="1308"/>
      <c r="I152" s="490"/>
    </row>
    <row r="153" spans="2:9" ht="13.65" customHeight="1">
      <c r="D153" s="1308"/>
      <c r="E153" s="1308"/>
      <c r="F153" s="1308"/>
      <c r="I153" s="490"/>
    </row>
    <row r="154" spans="2:9" ht="13.65" customHeight="1">
      <c r="D154" s="1308"/>
      <c r="E154" s="1308"/>
      <c r="F154" s="1308"/>
      <c r="I154" s="490"/>
    </row>
    <row r="155" spans="2:9" ht="13.65" customHeight="1">
      <c r="D155" s="1308"/>
      <c r="E155" s="1308"/>
      <c r="F155" s="1308"/>
      <c r="I155" s="490"/>
    </row>
    <row r="156" spans="2:9" ht="13.65" customHeight="1">
      <c r="D156" s="1308"/>
      <c r="E156" s="1308"/>
      <c r="F156" s="1308"/>
      <c r="I156" s="490"/>
    </row>
    <row r="157" spans="2:9" ht="13.65" customHeight="1">
      <c r="D157" s="1308"/>
      <c r="E157" s="1308"/>
      <c r="F157" s="1308"/>
      <c r="I157" s="490"/>
    </row>
    <row r="158" spans="2:9" ht="13.65" customHeight="1">
      <c r="D158" s="1308"/>
      <c r="E158" s="1308"/>
      <c r="F158" s="1308"/>
      <c r="I158" s="490"/>
    </row>
    <row r="159" spans="2:9" ht="13.65" customHeight="1">
      <c r="D159" s="1308"/>
      <c r="E159" s="1308"/>
      <c r="F159" s="1308"/>
      <c r="I159" s="490"/>
    </row>
    <row r="160" spans="2:9" ht="13.65" customHeight="1">
      <c r="D160" s="1308"/>
      <c r="E160" s="1308"/>
      <c r="F160" s="1308"/>
      <c r="I160" s="490"/>
    </row>
    <row r="161" spans="1:9" ht="13.65" customHeight="1">
      <c r="D161" s="1308"/>
      <c r="E161" s="1308"/>
      <c r="F161" s="1308"/>
      <c r="I161" s="490"/>
    </row>
    <row r="162" spans="1:9" ht="13.65" customHeight="1">
      <c r="D162" s="1308"/>
      <c r="E162" s="1308"/>
      <c r="F162" s="1308"/>
      <c r="I162" s="490"/>
    </row>
    <row r="163" spans="1:9" ht="13.65" customHeight="1">
      <c r="D163" s="1308"/>
      <c r="E163" s="1308"/>
      <c r="F163" s="1308"/>
      <c r="I163" s="490"/>
    </row>
    <row r="164" spans="1:9" ht="13.65" customHeight="1">
      <c r="D164" s="1308"/>
      <c r="E164" s="1308"/>
      <c r="F164" s="1308"/>
      <c r="I164" s="490"/>
    </row>
    <row r="165" spans="1:9" ht="13.65" customHeight="1">
      <c r="D165" s="1308"/>
      <c r="E165" s="1308"/>
      <c r="F165" s="1308"/>
      <c r="I165" s="490"/>
    </row>
    <row r="166" spans="1:9" ht="13.65" customHeight="1">
      <c r="D166" s="1308"/>
      <c r="E166" s="1308"/>
      <c r="F166" s="1308"/>
      <c r="I166" s="490"/>
    </row>
    <row r="167" spans="1:9" ht="13.65" customHeight="1">
      <c r="D167" s="1308"/>
      <c r="E167" s="1308"/>
      <c r="F167" s="1308"/>
      <c r="I167" s="490"/>
    </row>
    <row r="168" spans="1:9" ht="13.65" customHeight="1">
      <c r="D168" s="1308"/>
      <c r="E168" s="1308"/>
      <c r="F168" s="1308"/>
      <c r="I168" s="490"/>
    </row>
    <row r="169" spans="1:9" ht="13.65" customHeight="1">
      <c r="D169" s="1331" t="s">
        <v>2032</v>
      </c>
      <c r="E169" s="1331"/>
      <c r="F169" s="1331"/>
      <c r="G169" s="507"/>
      <c r="I169" s="490"/>
    </row>
    <row r="170" spans="1:9" ht="13.65" customHeight="1">
      <c r="D170" s="1318"/>
      <c r="E170" s="1318"/>
      <c r="F170" s="1318"/>
      <c r="G170" s="1318"/>
      <c r="I170" s="490"/>
    </row>
    <row r="171" spans="1:9" ht="14.4" customHeight="1">
      <c r="A171" s="489"/>
      <c r="B171" s="485" t="s">
        <v>2645</v>
      </c>
      <c r="C171" s="476"/>
      <c r="D171" s="1280" t="s">
        <v>2168</v>
      </c>
      <c r="E171" s="1280"/>
      <c r="F171" s="1280"/>
      <c r="G171" s="476"/>
      <c r="I171" s="490"/>
    </row>
    <row r="172" spans="1:9" ht="14.4" customHeight="1">
      <c r="A172" s="489"/>
      <c r="B172" s="489"/>
      <c r="C172" s="476"/>
      <c r="D172" s="1280"/>
      <c r="E172" s="1280"/>
      <c r="F172" s="1280"/>
      <c r="G172" s="476"/>
      <c r="I172" s="490"/>
    </row>
    <row r="173" spans="1:9" ht="14.4" customHeight="1">
      <c r="A173" s="489"/>
      <c r="B173" s="489"/>
      <c r="C173" s="476"/>
      <c r="D173" s="1280"/>
      <c r="E173" s="1280"/>
      <c r="F173" s="1280"/>
      <c r="G173" s="476"/>
      <c r="I173" s="490"/>
    </row>
    <row r="174" spans="1:9" ht="14.4" customHeight="1">
      <c r="A174" s="489"/>
      <c r="B174" s="489"/>
      <c r="C174" s="476"/>
      <c r="D174" s="1280"/>
      <c r="E174" s="1280"/>
      <c r="F174" s="1280"/>
      <c r="G174" s="476"/>
      <c r="I174" s="490"/>
    </row>
    <row r="175" spans="1:9" ht="13.65" customHeight="1">
      <c r="A175" s="489"/>
      <c r="B175" s="489"/>
      <c r="C175" s="476"/>
      <c r="D175" s="1280"/>
      <c r="E175" s="1280"/>
      <c r="F175" s="1280"/>
      <c r="G175" s="476"/>
      <c r="I175" s="490"/>
    </row>
    <row r="176" spans="1:9" ht="13.65" customHeight="1">
      <c r="A176" s="489"/>
      <c r="B176" s="489"/>
      <c r="C176" s="476"/>
      <c r="D176" s="476"/>
      <c r="E176" s="476"/>
      <c r="F176" s="476"/>
      <c r="G176" s="476"/>
      <c r="I176" s="490"/>
    </row>
    <row r="177" spans="1:9" ht="13.65" customHeight="1">
      <c r="A177" s="489"/>
      <c r="B177" s="485" t="s">
        <v>2644</v>
      </c>
      <c r="C177" s="476"/>
      <c r="D177" s="1280" t="s">
        <v>1106</v>
      </c>
      <c r="E177" s="1280"/>
      <c r="F177" s="1280"/>
      <c r="G177" s="476"/>
      <c r="I177" s="490"/>
    </row>
    <row r="178" spans="1:9" ht="13.65" customHeight="1">
      <c r="A178" s="489"/>
      <c r="B178" s="489"/>
      <c r="C178" s="476"/>
      <c r="D178" s="1280"/>
      <c r="E178" s="1280"/>
      <c r="F178" s="1280"/>
      <c r="G178" s="476"/>
      <c r="I178" s="490"/>
    </row>
    <row r="179" spans="1:9" ht="13.65" customHeight="1">
      <c r="A179" s="489"/>
      <c r="B179" s="489"/>
      <c r="C179" s="476"/>
      <c r="D179" s="1280"/>
      <c r="E179" s="1280"/>
      <c r="F179" s="1280"/>
      <c r="G179" s="476"/>
      <c r="I179" s="490"/>
    </row>
    <row r="180" spans="1:9" ht="13.65" customHeight="1">
      <c r="A180" s="489"/>
      <c r="B180" s="489"/>
      <c r="C180" s="476"/>
      <c r="D180" s="1280"/>
      <c r="E180" s="1280"/>
      <c r="F180" s="1280"/>
      <c r="G180" s="476"/>
      <c r="I180" s="490"/>
    </row>
    <row r="181" spans="1:9" ht="13.65" customHeight="1">
      <c r="D181" s="446"/>
      <c r="E181" s="446"/>
      <c r="F181" s="446"/>
      <c r="I181" s="490"/>
    </row>
    <row r="182" spans="1:9" ht="13.65" hidden="1" customHeight="1">
      <c r="B182" s="485" t="s">
        <v>307</v>
      </c>
      <c r="D182" s="1324" t="s">
        <v>2011</v>
      </c>
      <c r="E182" s="1324"/>
      <c r="F182" s="1324"/>
      <c r="I182" s="490"/>
    </row>
    <row r="183" spans="1:9" ht="13.65" hidden="1" customHeight="1">
      <c r="D183" s="1324"/>
      <c r="E183" s="1324"/>
      <c r="F183" s="1324"/>
      <c r="I183" s="490"/>
    </row>
    <row r="184" spans="1:9" ht="13.65" hidden="1" customHeight="1">
      <c r="D184" s="1324"/>
      <c r="E184" s="1324"/>
      <c r="F184" s="1324"/>
      <c r="I184" s="490"/>
    </row>
    <row r="185" spans="1:9" ht="13.65" customHeight="1">
      <c r="A185" s="490"/>
      <c r="B185" s="490"/>
      <c r="E185" s="446"/>
      <c r="F185" s="446"/>
      <c r="I185" s="490"/>
    </row>
    <row r="186" spans="1:9">
      <c r="A186" s="1309" t="s">
        <v>2012</v>
      </c>
      <c r="B186" s="1309"/>
      <c r="C186" s="1309"/>
      <c r="D186" s="1309"/>
      <c r="E186" s="1309"/>
      <c r="F186" s="1309"/>
      <c r="G186" s="1309"/>
      <c r="H186" s="1023"/>
      <c r="I186" s="1147"/>
    </row>
    <row r="187" spans="1:9" ht="12" customHeight="1">
      <c r="D187" s="446"/>
      <c r="E187" s="446"/>
      <c r="F187" s="446"/>
      <c r="I187" s="490"/>
    </row>
    <row r="188" spans="1:9">
      <c r="B188" s="1314" t="s">
        <v>446</v>
      </c>
      <c r="C188" s="1314"/>
      <c r="D188" s="1314"/>
      <c r="E188" s="1314"/>
      <c r="F188" s="1314"/>
      <c r="I188" s="490"/>
    </row>
    <row r="189" spans="1:9">
      <c r="B189" s="392" t="s">
        <v>1849</v>
      </c>
      <c r="C189" s="392"/>
      <c r="D189" s="392"/>
      <c r="E189" s="392"/>
      <c r="F189" s="392"/>
      <c r="I189" s="490"/>
    </row>
    <row r="190" spans="1:9" ht="12" customHeight="1">
      <c r="A190" s="482"/>
      <c r="B190" s="482"/>
      <c r="C190" s="482"/>
      <c r="I190" s="490"/>
    </row>
    <row r="191" spans="1:9">
      <c r="A191" s="1309" t="s">
        <v>1045</v>
      </c>
      <c r="B191" s="1309"/>
      <c r="C191" s="1309"/>
      <c r="D191" s="1309"/>
      <c r="E191" s="1309"/>
      <c r="F191" s="1309"/>
      <c r="G191" s="1309"/>
      <c r="H191" s="1023"/>
      <c r="I191" s="1147"/>
    </row>
    <row r="192" spans="1:9" ht="12" customHeight="1">
      <c r="A192" s="404"/>
      <c r="B192" s="404"/>
      <c r="E192" s="404"/>
      <c r="I192" s="490"/>
    </row>
    <row r="193" spans="1:9" ht="13.65" customHeight="1">
      <c r="A193" s="404"/>
      <c r="B193" s="404"/>
      <c r="D193" s="1328" t="s">
        <v>1735</v>
      </c>
      <c r="E193" s="1328"/>
      <c r="F193" s="1328"/>
      <c r="I193" s="490"/>
    </row>
    <row r="194" spans="1:9">
      <c r="A194" s="404"/>
      <c r="B194" s="404"/>
      <c r="D194" s="1328"/>
      <c r="E194" s="1328"/>
      <c r="F194" s="1328"/>
      <c r="I194" s="490"/>
    </row>
    <row r="195" spans="1:9">
      <c r="A195" s="404"/>
      <c r="B195" s="404"/>
      <c r="D195" s="1314" t="s">
        <v>1195</v>
      </c>
      <c r="E195" s="1314"/>
      <c r="F195" s="1314"/>
      <c r="I195" s="490"/>
    </row>
    <row r="196" spans="1:9">
      <c r="A196" s="404"/>
      <c r="B196" s="404"/>
      <c r="D196" s="392"/>
      <c r="E196" s="392"/>
      <c r="F196" s="392"/>
      <c r="I196" s="490"/>
    </row>
    <row r="197" spans="1:9">
      <c r="A197" s="404"/>
      <c r="B197" s="485" t="s">
        <v>2644</v>
      </c>
      <c r="D197" s="1298" t="s">
        <v>1736</v>
      </c>
      <c r="E197" s="1298"/>
      <c r="F197" s="1298"/>
      <c r="I197" s="490"/>
    </row>
    <row r="198" spans="1:9">
      <c r="A198" s="404"/>
      <c r="B198" s="404"/>
      <c r="D198" s="1289" t="s">
        <v>1875</v>
      </c>
      <c r="E198" s="1289"/>
      <c r="F198" s="1289"/>
      <c r="I198" s="490"/>
    </row>
    <row r="199" spans="1:9">
      <c r="A199" s="404"/>
      <c r="B199" s="404"/>
      <c r="D199" s="96" t="s">
        <v>1737</v>
      </c>
      <c r="E199" s="1336" t="s">
        <v>1898</v>
      </c>
      <c r="F199" s="1336"/>
      <c r="I199" s="490"/>
    </row>
    <row r="200" spans="1:9">
      <c r="A200" s="404"/>
      <c r="B200" s="404"/>
      <c r="D200" s="3"/>
      <c r="E200" s="3"/>
      <c r="F200" s="3"/>
      <c r="I200" s="490"/>
    </row>
    <row r="201" spans="1:9">
      <c r="A201" s="404"/>
      <c r="B201" s="485" t="s">
        <v>2645</v>
      </c>
      <c r="D201" s="1289" t="s">
        <v>1738</v>
      </c>
      <c r="E201" s="1289"/>
      <c r="F201" s="1289"/>
      <c r="I201" s="490"/>
    </row>
    <row r="202" spans="1:9">
      <c r="A202" s="404"/>
      <c r="B202" s="404"/>
      <c r="D202" s="1298" t="s">
        <v>1875</v>
      </c>
      <c r="E202" s="1298"/>
      <c r="F202" s="1298"/>
      <c r="I202" s="490"/>
    </row>
    <row r="203" spans="1:9">
      <c r="A203" s="404"/>
      <c r="B203" s="404"/>
      <c r="D203" s="57" t="s">
        <v>1739</v>
      </c>
      <c r="E203" s="1336" t="s">
        <v>1899</v>
      </c>
      <c r="F203" s="1336"/>
      <c r="I203" s="490"/>
    </row>
    <row r="204" spans="1:9">
      <c r="A204" s="404"/>
      <c r="B204" s="404"/>
      <c r="D204" s="3"/>
      <c r="E204" s="3"/>
      <c r="F204" s="3"/>
      <c r="I204" s="490"/>
    </row>
    <row r="205" spans="1:9">
      <c r="A205" s="404"/>
      <c r="B205" s="485" t="s">
        <v>2645</v>
      </c>
      <c r="D205" s="1289" t="s">
        <v>1740</v>
      </c>
      <c r="E205" s="1289"/>
      <c r="F205" s="1289"/>
      <c r="I205" s="490"/>
    </row>
    <row r="206" spans="1:9">
      <c r="A206" s="404"/>
      <c r="B206" s="404"/>
      <c r="D206" s="1298" t="s">
        <v>1875</v>
      </c>
      <c r="E206" s="1298"/>
      <c r="F206" s="1298"/>
      <c r="I206" s="490"/>
    </row>
    <row r="207" spans="1:9">
      <c r="A207" s="404"/>
      <c r="B207" s="404"/>
      <c r="D207" s="57" t="s">
        <v>1737</v>
      </c>
      <c r="E207" s="1336" t="s">
        <v>1900</v>
      </c>
      <c r="F207" s="1336"/>
      <c r="I207" s="490"/>
    </row>
    <row r="208" spans="1:9">
      <c r="A208" s="404"/>
      <c r="B208" s="404"/>
      <c r="D208" s="392"/>
      <c r="E208" s="392"/>
      <c r="F208" s="392"/>
      <c r="I208" s="490"/>
    </row>
    <row r="209" spans="1:9" ht="14.25" customHeight="1">
      <c r="A209" s="484"/>
      <c r="B209" s="485" t="s">
        <v>2645</v>
      </c>
      <c r="D209" s="386" t="s">
        <v>1868</v>
      </c>
      <c r="E209" s="385"/>
      <c r="F209" s="385"/>
      <c r="I209" s="490"/>
    </row>
    <row r="210" spans="1:9">
      <c r="A210" s="484"/>
      <c r="B210" s="484"/>
      <c r="D210" s="1298" t="s">
        <v>1875</v>
      </c>
      <c r="E210" s="1298"/>
      <c r="F210" s="1298"/>
      <c r="I210" s="490"/>
    </row>
    <row r="211" spans="1:9">
      <c r="D211" s="385"/>
      <c r="E211" s="1336" t="s">
        <v>1901</v>
      </c>
      <c r="F211" s="1336"/>
      <c r="I211" s="490"/>
    </row>
    <row r="212" spans="1:9">
      <c r="D212" s="447"/>
      <c r="I212" s="490"/>
    </row>
    <row r="213" spans="1:9">
      <c r="B213" s="485" t="s">
        <v>2645</v>
      </c>
      <c r="D213" s="1289" t="s">
        <v>1741</v>
      </c>
      <c r="E213" s="1289"/>
      <c r="F213" s="1289"/>
      <c r="I213" s="490"/>
    </row>
    <row r="214" spans="1:9">
      <c r="D214" s="1298" t="s">
        <v>1875</v>
      </c>
      <c r="E214" s="1298"/>
      <c r="F214" s="1298"/>
      <c r="I214" s="490"/>
    </row>
    <row r="215" spans="1:9">
      <c r="D215" s="57" t="s">
        <v>1737</v>
      </c>
      <c r="E215" s="1336" t="s">
        <v>1902</v>
      </c>
      <c r="F215" s="1336"/>
      <c r="I215" s="490"/>
    </row>
    <row r="216" spans="1:9">
      <c r="D216" s="451"/>
      <c r="E216" s="451"/>
      <c r="F216" s="451"/>
      <c r="I216" s="490"/>
    </row>
    <row r="217" spans="1:9">
      <c r="A217" s="484"/>
      <c r="B217" s="485" t="s">
        <v>2645</v>
      </c>
      <c r="D217" s="1308" t="s">
        <v>1216</v>
      </c>
      <c r="E217" s="1308"/>
      <c r="F217" s="1308"/>
      <c r="I217" s="490"/>
    </row>
    <row r="218" spans="1:9" ht="14.4" customHeight="1">
      <c r="A218" s="484"/>
      <c r="B218" s="402"/>
      <c r="D218" s="1308"/>
      <c r="E218" s="1308"/>
      <c r="F218" s="1308"/>
      <c r="I218" s="490"/>
    </row>
    <row r="219" spans="1:9">
      <c r="A219" s="484"/>
      <c r="D219" s="1308"/>
      <c r="E219" s="1308"/>
      <c r="F219" s="1308"/>
      <c r="I219" s="490"/>
    </row>
    <row r="220" spans="1:9">
      <c r="A220" s="484"/>
      <c r="D220" s="1308"/>
      <c r="E220" s="1308"/>
      <c r="F220" s="1308"/>
      <c r="I220" s="490"/>
    </row>
    <row r="221" spans="1:9">
      <c r="D221" s="451"/>
      <c r="E221" s="451"/>
      <c r="F221" s="451"/>
      <c r="I221" s="490"/>
    </row>
    <row r="222" spans="1:9">
      <c r="A222" s="1309" t="s">
        <v>1046</v>
      </c>
      <c r="B222" s="1309"/>
      <c r="C222" s="1309"/>
      <c r="D222" s="1309"/>
      <c r="E222" s="1309"/>
      <c r="F222" s="1309"/>
      <c r="G222" s="1309"/>
      <c r="H222" s="1023"/>
      <c r="I222" s="1147"/>
    </row>
    <row r="223" spans="1:9" ht="12" customHeight="1">
      <c r="D223" s="446"/>
      <c r="E223" s="446"/>
      <c r="F223" s="446"/>
      <c r="I223" s="490"/>
    </row>
    <row r="224" spans="1:9">
      <c r="C224" s="486"/>
      <c r="D224" s="1311" t="s">
        <v>208</v>
      </c>
      <c r="E224" s="1311"/>
      <c r="F224" s="1311"/>
      <c r="I224" s="490"/>
    </row>
    <row r="225" spans="1:9">
      <c r="A225" s="482"/>
      <c r="B225" s="482"/>
      <c r="C225" s="482"/>
      <c r="D225" s="1310" t="s">
        <v>1120</v>
      </c>
      <c r="E225" s="1310"/>
      <c r="F225" s="1310"/>
      <c r="I225" s="490"/>
    </row>
    <row r="226" spans="1:9" ht="12" customHeight="1">
      <c r="A226" s="490"/>
      <c r="B226" s="490"/>
      <c r="C226" s="490"/>
      <c r="I226" s="490"/>
    </row>
    <row r="227" spans="1:9" ht="13.65" customHeight="1">
      <c r="A227" s="490"/>
      <c r="C227" s="490"/>
      <c r="D227" s="1311" t="s">
        <v>546</v>
      </c>
      <c r="E227" s="1311"/>
      <c r="F227" s="1311"/>
      <c r="I227" s="490"/>
    </row>
    <row r="228" spans="1:9">
      <c r="A228" s="484"/>
      <c r="B228" s="485" t="s">
        <v>2644</v>
      </c>
      <c r="D228" s="1308" t="s">
        <v>1742</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c r="A231" s="484"/>
      <c r="B231" s="484"/>
      <c r="D231" s="1308"/>
      <c r="E231" s="1308"/>
      <c r="F231" s="1308"/>
      <c r="I231" s="490"/>
    </row>
    <row r="232" spans="1:9">
      <c r="A232" s="484"/>
      <c r="B232" s="484"/>
      <c r="D232" s="445"/>
      <c r="E232" s="445"/>
      <c r="F232" s="445"/>
      <c r="I232" s="490"/>
    </row>
    <row r="233" spans="1:9">
      <c r="A233" s="484"/>
      <c r="B233" s="485" t="s">
        <v>2644</v>
      </c>
      <c r="D233" s="1308" t="s">
        <v>1743</v>
      </c>
      <c r="E233" s="1308"/>
      <c r="F233" s="1308"/>
      <c r="I233" s="490"/>
    </row>
    <row r="234" spans="1:9">
      <c r="A234" s="484"/>
      <c r="B234" s="484"/>
      <c r="D234" s="1308"/>
      <c r="E234" s="1308"/>
      <c r="F234" s="1308"/>
      <c r="I234" s="490"/>
    </row>
    <row r="235" spans="1:9">
      <c r="A235" s="484"/>
      <c r="B235" s="484"/>
      <c r="D235" s="1308"/>
      <c r="E235" s="1308"/>
      <c r="F235" s="1308"/>
      <c r="I235" s="490"/>
    </row>
    <row r="236" spans="1:9">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c r="A239" s="484"/>
      <c r="B239" s="484"/>
      <c r="D239" s="1308" t="s">
        <v>1118</v>
      </c>
      <c r="E239" s="1308"/>
      <c r="F239" s="1308"/>
      <c r="I239" s="490"/>
    </row>
    <row r="240" spans="1:9">
      <c r="A240" s="484"/>
      <c r="B240" s="484"/>
      <c r="D240" s="1308"/>
      <c r="E240" s="1308"/>
      <c r="F240" s="1308"/>
      <c r="I240" s="490"/>
    </row>
    <row r="241" spans="1:9">
      <c r="A241" s="484"/>
      <c r="B241" s="484"/>
      <c r="D241" s="1308"/>
      <c r="E241" s="1308"/>
      <c r="F241" s="1308"/>
      <c r="I241" s="490"/>
    </row>
    <row r="242" spans="1:9">
      <c r="A242" s="484"/>
      <c r="B242" s="484"/>
      <c r="D242" s="1308"/>
      <c r="E242" s="1308"/>
      <c r="F242" s="1308"/>
      <c r="I242" s="490"/>
    </row>
    <row r="243" spans="1:9">
      <c r="A243" s="484"/>
      <c r="B243" s="484"/>
      <c r="D243" s="1308"/>
      <c r="E243" s="1308"/>
      <c r="F243" s="1308"/>
      <c r="I243" s="490"/>
    </row>
    <row r="244" spans="1:9">
      <c r="A244" s="484"/>
      <c r="B244" s="484"/>
      <c r="D244" s="446"/>
      <c r="E244" s="446"/>
      <c r="F244" s="446"/>
      <c r="I244" s="490"/>
    </row>
    <row r="245" spans="1:9">
      <c r="A245" s="484"/>
      <c r="B245" s="485" t="s">
        <v>2644</v>
      </c>
      <c r="D245" s="1308" t="s">
        <v>2013</v>
      </c>
      <c r="E245" s="1308"/>
      <c r="F245" s="1308"/>
      <c r="I245" s="490"/>
    </row>
    <row r="246" spans="1:9">
      <c r="A246" s="484"/>
      <c r="B246" s="484"/>
      <c r="D246" s="1308"/>
      <c r="E246" s="1308"/>
      <c r="F246" s="1308"/>
      <c r="I246" s="490"/>
    </row>
    <row r="247" spans="1:9">
      <c r="A247" s="484"/>
      <c r="B247" s="484"/>
      <c r="D247" s="1308"/>
      <c r="E247" s="1308"/>
      <c r="F247" s="1308"/>
      <c r="I247" s="490"/>
    </row>
    <row r="248" spans="1:9">
      <c r="A248" s="484"/>
      <c r="B248" s="484"/>
      <c r="E248" s="1031" t="s">
        <v>1869</v>
      </c>
      <c r="I248" s="490"/>
    </row>
    <row r="249" spans="1:9">
      <c r="A249" s="484"/>
      <c r="B249" s="484"/>
      <c r="D249" s="446"/>
      <c r="E249" s="446"/>
      <c r="F249" s="446"/>
      <c r="I249" s="490"/>
    </row>
    <row r="250" spans="1:9" ht="14.4" customHeight="1">
      <c r="A250" s="484"/>
      <c r="B250" s="485" t="s">
        <v>2645</v>
      </c>
      <c r="D250" s="1308" t="s">
        <v>2014</v>
      </c>
      <c r="E250" s="1308"/>
      <c r="F250" s="1308"/>
      <c r="I250" s="490"/>
    </row>
    <row r="251" spans="1:9">
      <c r="A251" s="484"/>
      <c r="B251" s="484"/>
      <c r="D251" s="1308"/>
      <c r="E251" s="1308"/>
      <c r="F251" s="1308"/>
      <c r="I251" s="490"/>
    </row>
    <row r="252" spans="1:9">
      <c r="A252" s="484"/>
      <c r="B252" s="484"/>
      <c r="D252" s="1308"/>
      <c r="E252" s="1308"/>
      <c r="F252" s="1308"/>
      <c r="I252" s="490"/>
    </row>
    <row r="253" spans="1:9">
      <c r="A253" s="484"/>
      <c r="B253" s="484"/>
      <c r="D253" s="1308"/>
      <c r="E253" s="1308"/>
      <c r="F253" s="1308"/>
      <c r="I253" s="490"/>
    </row>
    <row r="254" spans="1:9">
      <c r="A254" s="484"/>
      <c r="B254" s="484"/>
      <c r="D254" s="1308"/>
      <c r="E254" s="1308"/>
      <c r="F254" s="1308"/>
      <c r="I254" s="490"/>
    </row>
    <row r="255" spans="1:9">
      <c r="A255" s="484"/>
      <c r="B255" s="484"/>
      <c r="D255" s="445"/>
      <c r="E255" s="445"/>
      <c r="F255" s="445"/>
      <c r="I255" s="490"/>
    </row>
    <row r="256" spans="1:9">
      <c r="A256" s="484"/>
      <c r="B256" s="485" t="s">
        <v>2644</v>
      </c>
      <c r="D256" s="392" t="s">
        <v>2015</v>
      </c>
      <c r="E256" s="445"/>
      <c r="F256" s="445"/>
      <c r="I256" s="490"/>
    </row>
    <row r="257" spans="1:9">
      <c r="A257" s="484"/>
      <c r="B257" s="484"/>
      <c r="E257" s="1031" t="s">
        <v>1870</v>
      </c>
      <c r="I257" s="490"/>
    </row>
    <row r="258" spans="1:9">
      <c r="D258" s="446"/>
      <c r="E258" s="446"/>
      <c r="F258" s="446"/>
      <c r="I258" s="490"/>
    </row>
    <row r="259" spans="1:9">
      <c r="A259" s="484"/>
      <c r="B259" s="485" t="s">
        <v>2644</v>
      </c>
      <c r="D259" s="1308" t="s">
        <v>1119</v>
      </c>
      <c r="E259" s="1308"/>
      <c r="F259" s="1308"/>
      <c r="I259" s="490"/>
    </row>
    <row r="260" spans="1:9">
      <c r="A260" s="484"/>
      <c r="B260" s="484"/>
      <c r="D260" s="1308"/>
      <c r="E260" s="1308"/>
      <c r="F260" s="1308"/>
      <c r="I260" s="490"/>
    </row>
    <row r="261" spans="1:9">
      <c r="D261" s="491"/>
      <c r="I261" s="490"/>
    </row>
    <row r="262" spans="1:9">
      <c r="A262" s="1309" t="s">
        <v>1047</v>
      </c>
      <c r="B262" s="1309"/>
      <c r="C262" s="1309"/>
      <c r="D262" s="1309"/>
      <c r="E262" s="1309"/>
      <c r="F262" s="1309"/>
      <c r="G262" s="1309"/>
      <c r="H262" s="1023"/>
      <c r="I262" s="1147"/>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269</v>
      </c>
      <c r="E266" s="1311"/>
      <c r="F266" s="1311"/>
      <c r="I266" s="490"/>
    </row>
    <row r="267" spans="1:9" ht="14.4" customHeight="1">
      <c r="A267" s="484"/>
      <c r="B267" s="485" t="s">
        <v>2644</v>
      </c>
      <c r="D267" s="1308" t="s">
        <v>1196</v>
      </c>
      <c r="E267" s="1308"/>
      <c r="F267" s="1308"/>
      <c r="I267" s="490"/>
    </row>
    <row r="268" spans="1:9">
      <c r="D268" s="1308"/>
      <c r="E268" s="1308"/>
      <c r="F268" s="1308"/>
      <c r="I268" s="490"/>
    </row>
    <row r="269" spans="1:9">
      <c r="E269" s="1031" t="s">
        <v>1871</v>
      </c>
      <c r="I269" s="490"/>
    </row>
    <row r="270" spans="1:9">
      <c r="D270" s="446"/>
      <c r="E270" s="446"/>
      <c r="F270" s="446"/>
      <c r="I270" s="490"/>
    </row>
    <row r="271" spans="1:9" ht="14.4" customHeight="1">
      <c r="A271" s="484"/>
      <c r="B271" s="485" t="s">
        <v>2645</v>
      </c>
      <c r="D271" s="1308" t="s">
        <v>2016</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c r="A278" s="484"/>
      <c r="B278" s="485" t="s">
        <v>2645</v>
      </c>
      <c r="D278" s="1308" t="s">
        <v>1122</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1048</v>
      </c>
      <c r="B282" s="1309"/>
      <c r="C282" s="1309"/>
      <c r="D282" s="1309"/>
      <c r="E282" s="1309"/>
      <c r="F282" s="1309"/>
      <c r="G282" s="1309"/>
      <c r="H282" s="1023"/>
      <c r="I282" s="1147"/>
    </row>
    <row r="283" spans="1:9">
      <c r="D283" s="492"/>
      <c r="E283" s="446"/>
      <c r="F283" s="446"/>
      <c r="I283" s="490"/>
    </row>
    <row r="284" spans="1:9">
      <c r="C284" s="482"/>
      <c r="D284" s="1328" t="s">
        <v>1123</v>
      </c>
      <c r="E284" s="1328"/>
      <c r="F284" s="1328"/>
      <c r="I284" s="490"/>
    </row>
    <row r="285" spans="1:9">
      <c r="C285" s="482"/>
      <c r="D285" s="1328"/>
      <c r="E285" s="1328"/>
      <c r="F285" s="1328"/>
      <c r="I285" s="490"/>
    </row>
    <row r="286" spans="1:9">
      <c r="A286" s="483"/>
      <c r="B286" s="483"/>
      <c r="C286" s="483"/>
      <c r="D286" s="404"/>
      <c r="I286" s="490"/>
    </row>
    <row r="287" spans="1:9">
      <c r="C287" s="483"/>
      <c r="D287" s="1311" t="s">
        <v>209</v>
      </c>
      <c r="E287" s="1311"/>
      <c r="F287" s="1311"/>
      <c r="I287" s="490"/>
    </row>
    <row r="288" spans="1:9" ht="15.75" customHeight="1">
      <c r="A288" s="484"/>
      <c r="B288" s="484"/>
      <c r="D288" s="1337" t="s">
        <v>1124</v>
      </c>
      <c r="E288" s="1337"/>
      <c r="F288" s="1337"/>
      <c r="I288" s="490"/>
    </row>
    <row r="289" spans="1:9">
      <c r="E289" s="446"/>
      <c r="F289" s="446"/>
      <c r="I289" s="490"/>
    </row>
    <row r="290" spans="1:9">
      <c r="A290" s="484"/>
      <c r="B290" s="485" t="s">
        <v>2645</v>
      </c>
      <c r="D290" s="1308" t="s">
        <v>1125</v>
      </c>
      <c r="E290" s="1308"/>
      <c r="F290" s="1308"/>
      <c r="I290" s="490"/>
    </row>
    <row r="291" spans="1:9">
      <c r="A291" s="484"/>
      <c r="B291" s="484"/>
      <c r="D291" s="1308"/>
      <c r="E291" s="1308"/>
      <c r="F291" s="1308"/>
      <c r="I291" s="490"/>
    </row>
    <row r="292" spans="1:9">
      <c r="D292" s="446"/>
      <c r="E292" s="446"/>
      <c r="F292" s="446"/>
      <c r="I292" s="490"/>
    </row>
    <row r="293" spans="1:9">
      <c r="A293" s="484"/>
      <c r="B293" s="485" t="s">
        <v>2645</v>
      </c>
      <c r="D293" s="1308" t="s">
        <v>1126</v>
      </c>
      <c r="E293" s="1308"/>
      <c r="F293" s="1308"/>
      <c r="I293" s="490"/>
    </row>
    <row r="294" spans="1:9">
      <c r="A294" s="484"/>
      <c r="B294" s="484"/>
      <c r="D294" s="1308"/>
      <c r="E294" s="1308"/>
      <c r="F294" s="1308"/>
      <c r="I294" s="490"/>
    </row>
    <row r="295" spans="1:9">
      <c r="A295" s="484"/>
      <c r="B295" s="484"/>
      <c r="D295" s="1308"/>
      <c r="E295" s="1308"/>
      <c r="F295" s="1308"/>
      <c r="I295" s="490"/>
    </row>
    <row r="296" spans="1:9">
      <c r="D296" s="446"/>
      <c r="E296" s="446"/>
      <c r="F296" s="446"/>
      <c r="I296" s="490"/>
    </row>
    <row r="297" spans="1:9">
      <c r="A297" s="484"/>
      <c r="B297" s="485" t="s">
        <v>2645</v>
      </c>
      <c r="D297" s="1308" t="s">
        <v>1127</v>
      </c>
      <c r="E297" s="1308"/>
      <c r="F297" s="1308"/>
      <c r="I297" s="490"/>
    </row>
    <row r="298" spans="1:9">
      <c r="A298" s="484"/>
      <c r="B298" s="484"/>
      <c r="D298" s="1308"/>
      <c r="E298" s="1308"/>
      <c r="F298" s="1308"/>
      <c r="I298" s="490"/>
    </row>
    <row r="299" spans="1:9">
      <c r="A299" s="490"/>
      <c r="B299" s="490"/>
      <c r="E299" s="446"/>
      <c r="F299" s="446"/>
      <c r="I299" s="490"/>
    </row>
    <row r="300" spans="1:9">
      <c r="A300" s="1309" t="s">
        <v>1049</v>
      </c>
      <c r="B300" s="1309"/>
      <c r="C300" s="1309"/>
      <c r="D300" s="1309"/>
      <c r="E300" s="1309"/>
      <c r="F300" s="1309"/>
      <c r="G300" s="1309"/>
      <c r="H300" s="1023"/>
      <c r="I300" s="1147"/>
    </row>
    <row r="301" spans="1:9">
      <c r="A301" s="490"/>
      <c r="B301" s="490"/>
      <c r="D301" s="446"/>
      <c r="E301" s="446"/>
      <c r="F301" s="446"/>
      <c r="I301" s="490"/>
    </row>
    <row r="302" spans="1:9">
      <c r="C302" s="490"/>
      <c r="D302" s="1311" t="s">
        <v>682</v>
      </c>
      <c r="E302" s="1311"/>
      <c r="F302" s="1311"/>
      <c r="I302" s="490"/>
    </row>
    <row r="303" spans="1:9">
      <c r="C303" s="490"/>
      <c r="D303" s="1310" t="s">
        <v>1128</v>
      </c>
      <c r="E303" s="1310"/>
      <c r="F303" s="1310"/>
      <c r="I303" s="490"/>
    </row>
    <row r="304" spans="1:9">
      <c r="C304" s="490"/>
      <c r="D304" s="493"/>
      <c r="I304" s="490"/>
    </row>
    <row r="305" spans="1:9">
      <c r="B305" s="485" t="s">
        <v>2645</v>
      </c>
      <c r="D305" s="1310" t="s">
        <v>1129</v>
      </c>
      <c r="E305" s="1310"/>
      <c r="F305" s="1310"/>
      <c r="I305" s="490"/>
    </row>
    <row r="306" spans="1:9">
      <c r="A306" s="484"/>
      <c r="B306" s="484"/>
      <c r="D306" s="494"/>
      <c r="E306" s="495"/>
      <c r="F306" s="495"/>
      <c r="I306" s="490"/>
    </row>
    <row r="307" spans="1:9" ht="13.65" customHeight="1">
      <c r="B307" s="485" t="s">
        <v>2645</v>
      </c>
      <c r="D307" s="1321" t="s">
        <v>1219</v>
      </c>
      <c r="E307" s="1321"/>
      <c r="F307" s="1321"/>
      <c r="I307" s="490"/>
    </row>
    <row r="308" spans="1:9">
      <c r="A308" s="484"/>
      <c r="B308" s="484"/>
      <c r="D308" s="1321"/>
      <c r="E308" s="1321"/>
      <c r="F308" s="1321"/>
      <c r="I308" s="490"/>
    </row>
    <row r="309" spans="1:9">
      <c r="A309" s="484"/>
      <c r="B309" s="484"/>
      <c r="D309" s="1321"/>
      <c r="E309" s="1321"/>
      <c r="F309" s="1321"/>
      <c r="I309" s="490"/>
    </row>
    <row r="310" spans="1:9">
      <c r="A310" s="484"/>
      <c r="B310" s="484"/>
      <c r="D310" s="1321"/>
      <c r="E310" s="1321"/>
      <c r="F310" s="1321"/>
      <c r="I310" s="490"/>
    </row>
    <row r="311" spans="1:9">
      <c r="A311" s="484"/>
      <c r="B311" s="484"/>
      <c r="D311" s="1321"/>
      <c r="E311" s="1321"/>
      <c r="F311" s="1321"/>
      <c r="I311" s="490"/>
    </row>
    <row r="312" spans="1:9">
      <c r="A312" s="484"/>
      <c r="B312" s="484"/>
      <c r="D312" s="494"/>
      <c r="E312" s="495"/>
      <c r="F312" s="495"/>
      <c r="I312" s="490"/>
    </row>
    <row r="313" spans="1:9" ht="13.65" customHeight="1">
      <c r="B313" s="485" t="s">
        <v>2645</v>
      </c>
      <c r="D313" s="1321" t="s">
        <v>1130</v>
      </c>
      <c r="E313" s="1321"/>
      <c r="F313" s="1321"/>
      <c r="I313" s="490"/>
    </row>
    <row r="314" spans="1:9">
      <c r="D314" s="1321"/>
      <c r="E314" s="1321"/>
      <c r="F314" s="1321"/>
      <c r="I314" s="490"/>
    </row>
    <row r="315" spans="1:9">
      <c r="A315" s="484"/>
      <c r="B315" s="484"/>
      <c r="D315" s="494"/>
      <c r="E315" s="495"/>
      <c r="F315" s="495"/>
      <c r="I315" s="490"/>
    </row>
    <row r="316" spans="1:9">
      <c r="B316" s="485" t="s">
        <v>2645</v>
      </c>
      <c r="D316" s="1310" t="s">
        <v>1131</v>
      </c>
      <c r="E316" s="1310"/>
      <c r="F316" s="1310"/>
      <c r="I316" s="490"/>
    </row>
    <row r="317" spans="1:9">
      <c r="E317" s="446"/>
      <c r="F317" s="446"/>
      <c r="I317" s="490"/>
    </row>
    <row r="318" spans="1:9">
      <c r="A318" s="484"/>
      <c r="B318" s="485" t="s">
        <v>2645</v>
      </c>
      <c r="D318" s="1308" t="s">
        <v>2199</v>
      </c>
      <c r="E318" s="1308"/>
      <c r="F318" s="1308"/>
      <c r="I318" s="490"/>
    </row>
    <row r="319" spans="1:9">
      <c r="A319" s="484"/>
      <c r="B319" s="484"/>
      <c r="D319" s="1308"/>
      <c r="E319" s="1308"/>
      <c r="F319" s="1308"/>
      <c r="I319" s="490"/>
    </row>
    <row r="320" spans="1:9">
      <c r="A320" s="484"/>
      <c r="B320" s="484"/>
      <c r="D320" s="1308"/>
      <c r="E320" s="1308"/>
      <c r="F320" s="1308"/>
      <c r="I320" s="490"/>
    </row>
    <row r="321" spans="1:9">
      <c r="A321" s="484"/>
      <c r="B321" s="484"/>
      <c r="D321" s="1308"/>
      <c r="E321" s="1308"/>
      <c r="F321" s="1308"/>
      <c r="I321" s="490"/>
    </row>
    <row r="322" spans="1:9">
      <c r="A322" s="484"/>
      <c r="B322" s="484"/>
      <c r="D322" s="1308"/>
      <c r="E322" s="1308"/>
      <c r="F322" s="1308"/>
      <c r="I322" s="490"/>
    </row>
    <row r="323" spans="1:9">
      <c r="A323" s="484"/>
      <c r="B323" s="484"/>
      <c r="D323" s="1308"/>
      <c r="E323" s="1308"/>
      <c r="F323" s="1308"/>
      <c r="I323" s="490"/>
    </row>
    <row r="324" spans="1:9">
      <c r="A324" s="484"/>
      <c r="B324" s="484"/>
      <c r="D324" s="1308"/>
      <c r="E324" s="1308"/>
      <c r="F324" s="1308"/>
      <c r="I324" s="490"/>
    </row>
    <row r="325" spans="1:9">
      <c r="A325" s="484"/>
      <c r="B325" s="484"/>
      <c r="D325" s="1308"/>
      <c r="E325" s="1308"/>
      <c r="F325" s="1308"/>
      <c r="I325" s="490"/>
    </row>
    <row r="326" spans="1:9">
      <c r="A326" s="484"/>
      <c r="B326" s="484"/>
      <c r="D326" s="1308"/>
      <c r="E326" s="1308"/>
      <c r="F326" s="1308"/>
      <c r="I326" s="490"/>
    </row>
    <row r="327" spans="1:9">
      <c r="A327" s="484"/>
      <c r="B327" s="484"/>
      <c r="D327" s="1308"/>
      <c r="E327" s="1308"/>
      <c r="F327" s="1308"/>
      <c r="I327" s="490"/>
    </row>
    <row r="328" spans="1:9">
      <c r="A328" s="484"/>
      <c r="B328" s="484"/>
      <c r="D328" s="1308"/>
      <c r="E328" s="1308"/>
      <c r="F328" s="1308"/>
      <c r="I328" s="490"/>
    </row>
    <row r="329" spans="1:9">
      <c r="A329" s="484"/>
      <c r="B329" s="484"/>
      <c r="D329" s="1308"/>
      <c r="E329" s="1308"/>
      <c r="F329" s="1308"/>
      <c r="I329" s="490"/>
    </row>
    <row r="330" spans="1:9">
      <c r="A330" s="484"/>
      <c r="B330" s="484"/>
      <c r="D330" s="1308"/>
      <c r="E330" s="1308"/>
      <c r="F330" s="1308"/>
      <c r="I330" s="490"/>
    </row>
    <row r="331" spans="1:9">
      <c r="A331" s="484"/>
      <c r="B331" s="484"/>
      <c r="D331" s="1308"/>
      <c r="E331" s="1308"/>
      <c r="F331" s="1308"/>
      <c r="I331" s="490"/>
    </row>
    <row r="332" spans="1:9">
      <c r="A332" s="484"/>
      <c r="B332" s="484"/>
      <c r="D332" s="1308"/>
      <c r="E332" s="1308"/>
      <c r="F332" s="1308"/>
      <c r="I332" s="490"/>
    </row>
    <row r="333" spans="1:9">
      <c r="D333" s="446"/>
      <c r="E333" s="446"/>
      <c r="F333" s="446"/>
      <c r="I333" s="490"/>
    </row>
    <row r="334" spans="1:9">
      <c r="A334" s="484"/>
      <c r="B334" s="485" t="s">
        <v>2645</v>
      </c>
      <c r="D334" s="1308" t="s">
        <v>1132</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2645</v>
      </c>
      <c r="D344" s="1308" t="s">
        <v>1876</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9" t="s">
        <v>979</v>
      </c>
      <c r="E351" s="1319"/>
      <c r="F351" s="1319"/>
      <c r="G351" s="1022"/>
      <c r="H351" s="1022"/>
      <c r="I351" s="1150"/>
    </row>
    <row r="352" spans="1:9" ht="13.5" thickTop="1">
      <c r="D352" s="1329" t="s">
        <v>2200</v>
      </c>
      <c r="E352" s="1329"/>
      <c r="F352" s="1329"/>
      <c r="I352" s="490"/>
    </row>
    <row r="353" spans="1:9">
      <c r="D353" s="446"/>
      <c r="E353" s="446"/>
      <c r="F353" s="446"/>
      <c r="I353" s="490"/>
    </row>
    <row r="354" spans="1:9">
      <c r="A354" s="476"/>
      <c r="B354" s="476"/>
      <c r="C354" s="476"/>
      <c r="D354" s="447"/>
      <c r="E354" s="447"/>
      <c r="F354" s="446"/>
      <c r="I354" s="490"/>
    </row>
    <row r="355" spans="1:9">
      <c r="A355" s="484"/>
      <c r="B355" s="485" t="s">
        <v>2645</v>
      </c>
      <c r="C355" s="487"/>
      <c r="D355" s="1310" t="s">
        <v>1874</v>
      </c>
      <c r="E355" s="1310"/>
      <c r="F355" s="1310"/>
      <c r="I355" s="490"/>
    </row>
    <row r="356" spans="1:9" ht="12.75" customHeight="1">
      <c r="D356" s="1032"/>
      <c r="E356" s="96" t="s">
        <v>1873</v>
      </c>
      <c r="F356" s="1032"/>
      <c r="I356" s="490"/>
    </row>
    <row r="357" spans="1:9">
      <c r="D357" s="1308" t="s">
        <v>1239</v>
      </c>
      <c r="E357" s="1308"/>
      <c r="F357" s="1308"/>
      <c r="I357" s="490"/>
    </row>
    <row r="358" spans="1:9">
      <c r="D358" s="1308"/>
      <c r="E358" s="1308"/>
      <c r="F358" s="1308"/>
      <c r="I358" s="490"/>
    </row>
    <row r="359" spans="1:9">
      <c r="D359" s="1308"/>
      <c r="E359" s="1308"/>
      <c r="F359" s="1308"/>
      <c r="I359" s="490"/>
    </row>
    <row r="360" spans="1:9">
      <c r="A360" s="484"/>
      <c r="B360" s="485" t="s">
        <v>2645</v>
      </c>
      <c r="C360" s="476"/>
      <c r="D360" s="1318" t="s">
        <v>2017</v>
      </c>
      <c r="E360" s="1318"/>
      <c r="F360" s="1318"/>
      <c r="I360" s="480"/>
    </row>
    <row r="361" spans="1:9">
      <c r="A361" s="476"/>
      <c r="B361" s="476"/>
      <c r="C361" s="476"/>
      <c r="D361" s="447"/>
      <c r="E361" s="447"/>
      <c r="F361" s="446"/>
      <c r="I361" s="490"/>
    </row>
    <row r="362" spans="1:9">
      <c r="A362" s="476"/>
      <c r="B362" s="485" t="s">
        <v>2645</v>
      </c>
      <c r="C362" s="476"/>
      <c r="D362" s="1280" t="s">
        <v>2018</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5" customHeight="1">
      <c r="A375" s="476"/>
      <c r="B375" s="485" t="s">
        <v>2645</v>
      </c>
      <c r="C375" s="476"/>
      <c r="D375" s="1288" t="s">
        <v>1221</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2645</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c r="A387" s="484"/>
      <c r="B387" s="485" t="s">
        <v>2645</v>
      </c>
      <c r="C387" s="476"/>
      <c r="D387" s="1280" t="s">
        <v>1133</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1134</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65" customHeight="1">
      <c r="A401" s="476"/>
      <c r="B401" s="476"/>
      <c r="C401" s="476"/>
      <c r="D401" s="1280" t="s">
        <v>1135</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2645</v>
      </c>
      <c r="C420" s="476"/>
      <c r="D420" s="1280" t="s">
        <v>1136</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4" customHeight="1">
      <c r="A423" s="484"/>
      <c r="B423" s="485" t="s">
        <v>2645</v>
      </c>
      <c r="D423" s="1280" t="s">
        <v>1856</v>
      </c>
      <c r="E423" s="1280"/>
      <c r="F423" s="1280"/>
      <c r="I423" s="490"/>
    </row>
    <row r="424" spans="1:9" ht="14.4" customHeight="1">
      <c r="A424" s="484"/>
      <c r="D424" s="1280"/>
      <c r="E424" s="1280"/>
      <c r="F424" s="1280"/>
      <c r="I424" s="490"/>
    </row>
    <row r="425" spans="1:9" ht="14.4" customHeight="1">
      <c r="A425" s="484"/>
      <c r="D425" s="1280"/>
      <c r="E425" s="1280"/>
      <c r="F425" s="1280"/>
      <c r="I425" s="490"/>
    </row>
    <row r="426" spans="1:9" ht="14.4" customHeight="1">
      <c r="A426" s="484"/>
      <c r="D426" s="1280"/>
      <c r="E426" s="1280"/>
      <c r="F426" s="1280"/>
      <c r="I426" s="490"/>
    </row>
    <row r="427" spans="1:9" ht="14.4" customHeight="1">
      <c r="A427" s="484"/>
      <c r="D427" s="1280"/>
      <c r="E427" s="1280"/>
      <c r="F427" s="1280"/>
      <c r="I427" s="490"/>
    </row>
    <row r="428" spans="1:9" ht="14.4" customHeight="1">
      <c r="A428" s="484"/>
      <c r="D428" s="385"/>
      <c r="E428" s="385"/>
      <c r="F428" s="385"/>
      <c r="I428" s="490"/>
    </row>
    <row r="429" spans="1:9" ht="13.65" customHeight="1">
      <c r="A429" s="484"/>
      <c r="B429" s="485" t="s">
        <v>2645</v>
      </c>
      <c r="C429" s="476"/>
      <c r="D429" s="1280" t="s">
        <v>1240</v>
      </c>
      <c r="E429" s="1280"/>
      <c r="F429" s="1280"/>
      <c r="I429" s="490"/>
    </row>
    <row r="430" spans="1:9">
      <c r="A430" s="497"/>
      <c r="B430" s="497"/>
      <c r="C430" s="476"/>
      <c r="D430" s="1280"/>
      <c r="E430" s="1280"/>
      <c r="F430" s="1280"/>
      <c r="I430" s="490"/>
    </row>
    <row r="431" spans="1:9">
      <c r="A431" s="497"/>
      <c r="B431" s="497"/>
      <c r="C431" s="476"/>
      <c r="D431" s="1280"/>
      <c r="E431" s="1280"/>
      <c r="F431" s="1280"/>
      <c r="I431" s="490"/>
    </row>
    <row r="432" spans="1:9">
      <c r="A432" s="497"/>
      <c r="B432" s="497"/>
      <c r="C432" s="476"/>
      <c r="D432" s="1280"/>
      <c r="E432" s="1280"/>
      <c r="F432" s="1280"/>
      <c r="I432" s="490"/>
    </row>
    <row r="433" spans="1:9" ht="15.75" customHeight="1">
      <c r="A433" s="497"/>
      <c r="B433" s="497"/>
      <c r="C433" s="476"/>
      <c r="D433" s="1339" t="s">
        <v>2614</v>
      </c>
      <c r="E433" s="1280"/>
      <c r="F433" s="1280"/>
      <c r="I433" s="490"/>
    </row>
    <row r="434" spans="1:9">
      <c r="D434" s="446"/>
      <c r="E434" s="446"/>
      <c r="F434" s="446"/>
      <c r="I434" s="490"/>
    </row>
    <row r="435" spans="1:9">
      <c r="A435" s="484"/>
      <c r="B435" s="485" t="s">
        <v>2645</v>
      </c>
      <c r="C435" s="487"/>
      <c r="D435" s="1308" t="s">
        <v>2019</v>
      </c>
      <c r="E435" s="1308"/>
      <c r="F435" s="1308"/>
      <c r="I435" s="490"/>
    </row>
    <row r="436" spans="1:9">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65" customHeight="1">
      <c r="D465" s="1308"/>
      <c r="E465" s="1308"/>
      <c r="F465" s="1308"/>
      <c r="I465" s="490"/>
    </row>
    <row r="466" spans="1:9">
      <c r="D466" s="446"/>
      <c r="E466" s="446"/>
      <c r="F466" s="446"/>
      <c r="I466" s="490"/>
    </row>
    <row r="467" spans="1:9">
      <c r="A467" s="484"/>
      <c r="B467" s="485" t="s">
        <v>2645</v>
      </c>
      <c r="C467" s="487"/>
      <c r="D467" s="1308" t="s">
        <v>1137</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c r="B471" s="485" t="s">
        <v>2645</v>
      </c>
      <c r="C471" s="484"/>
      <c r="D471" s="1308" t="s">
        <v>1197</v>
      </c>
      <c r="E471" s="1308"/>
      <c r="F471" s="1308"/>
      <c r="I471" s="490"/>
    </row>
    <row r="472" spans="1:9">
      <c r="D472" s="1308"/>
      <c r="E472" s="1308"/>
      <c r="F472" s="1308"/>
      <c r="I472" s="490"/>
    </row>
    <row r="473" spans="1:9">
      <c r="D473" s="446"/>
      <c r="E473" s="446"/>
      <c r="F473" s="446"/>
      <c r="I473" s="490"/>
    </row>
    <row r="474" spans="1:9">
      <c r="B474" s="485" t="s">
        <v>2645</v>
      </c>
      <c r="C474" s="484"/>
      <c r="D474" s="1308" t="s">
        <v>1138</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2645</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2645</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2645</v>
      </c>
      <c r="C486" s="402"/>
      <c r="D486" s="1308"/>
      <c r="E486" s="1308"/>
      <c r="F486" s="1308"/>
      <c r="I486" s="490"/>
    </row>
    <row r="487" spans="1:9">
      <c r="A487" s="402"/>
      <c r="C487" s="402"/>
      <c r="D487" s="1308"/>
      <c r="E487" s="1308"/>
      <c r="F487" s="1308"/>
      <c r="I487" s="490"/>
    </row>
    <row r="488" spans="1:9">
      <c r="A488" s="402"/>
      <c r="B488" s="485" t="s">
        <v>2645</v>
      </c>
      <c r="C488" s="402"/>
      <c r="D488" s="1308" t="s">
        <v>1139</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2645</v>
      </c>
      <c r="D494" s="1310" t="s">
        <v>1140</v>
      </c>
      <c r="E494" s="1310"/>
      <c r="F494" s="1310"/>
      <c r="I494" s="490"/>
    </row>
    <row r="495" spans="1:9">
      <c r="A495" s="446"/>
      <c r="B495" s="446"/>
      <c r="I495" s="490"/>
    </row>
    <row r="496" spans="1:9">
      <c r="A496" s="1309" t="s">
        <v>1050</v>
      </c>
      <c r="B496" s="1309"/>
      <c r="C496" s="1309"/>
      <c r="D496" s="1309"/>
      <c r="E496" s="1309"/>
      <c r="F496" s="1309"/>
      <c r="G496" s="1309"/>
      <c r="H496" s="1023"/>
      <c r="I496" s="1147"/>
    </row>
    <row r="497" spans="1:9">
      <c r="A497" s="446"/>
      <c r="B497" s="446"/>
      <c r="I497" s="490"/>
    </row>
    <row r="498" spans="1:9">
      <c r="D498" s="1338" t="s">
        <v>883</v>
      </c>
      <c r="E498" s="1338"/>
      <c r="F498" s="1338"/>
      <c r="I498" s="490"/>
    </row>
    <row r="499" spans="1:9">
      <c r="A499" s="484"/>
      <c r="B499" s="484"/>
      <c r="D499" s="1318" t="s">
        <v>1141</v>
      </c>
      <c r="E499" s="1318"/>
      <c r="F499" s="1318"/>
      <c r="I499" s="490"/>
    </row>
    <row r="500" spans="1:9">
      <c r="A500" s="484"/>
      <c r="B500" s="484"/>
      <c r="D500" s="447"/>
      <c r="I500" s="490"/>
    </row>
    <row r="501" spans="1:9">
      <c r="A501" s="484"/>
      <c r="B501" s="485" t="s">
        <v>2645</v>
      </c>
      <c r="D501" s="1280" t="s">
        <v>1142</v>
      </c>
      <c r="E501" s="1280"/>
      <c r="F501" s="1280"/>
      <c r="I501" s="490"/>
    </row>
    <row r="502" spans="1:9">
      <c r="A502" s="484"/>
      <c r="B502" s="484"/>
      <c r="D502" s="1280"/>
      <c r="E502" s="1280"/>
      <c r="F502" s="1280"/>
      <c r="I502" s="490"/>
    </row>
    <row r="503" spans="1:9">
      <c r="A503" s="484"/>
      <c r="B503" s="484"/>
      <c r="D503" s="446"/>
      <c r="I503" s="490"/>
    </row>
    <row r="504" spans="1:9" ht="12.75" customHeight="1">
      <c r="B504" s="485" t="s">
        <v>2644</v>
      </c>
      <c r="D504" s="1324" t="s">
        <v>1273</v>
      </c>
      <c r="E504" s="1324"/>
      <c r="F504" s="1324"/>
      <c r="I504" s="490"/>
    </row>
    <row r="505" spans="1:9">
      <c r="A505" s="484"/>
      <c r="D505" s="1324"/>
      <c r="E505" s="1324"/>
      <c r="F505" s="1324"/>
      <c r="I505" s="490"/>
    </row>
    <row r="506" spans="1:9">
      <c r="A506" s="484"/>
      <c r="B506" s="484"/>
      <c r="D506" s="1324"/>
      <c r="E506" s="1324"/>
      <c r="F506" s="1324"/>
      <c r="I506" s="490"/>
    </row>
    <row r="507" spans="1:9">
      <c r="A507" s="484"/>
      <c r="B507" s="484"/>
      <c r="D507" s="1324"/>
      <c r="E507" s="1324"/>
      <c r="F507" s="1324"/>
      <c r="I507" s="490"/>
    </row>
    <row r="508" spans="1:9">
      <c r="A508" s="484"/>
      <c r="D508" s="520"/>
      <c r="E508" s="520"/>
      <c r="F508" s="520"/>
      <c r="I508" s="490"/>
    </row>
    <row r="509" spans="1:9">
      <c r="A509" s="484"/>
      <c r="B509" s="485" t="s">
        <v>2644</v>
      </c>
      <c r="D509" s="1310" t="s">
        <v>1143</v>
      </c>
      <c r="E509" s="1310"/>
      <c r="F509" s="1310"/>
      <c r="I509" s="490"/>
    </row>
    <row r="510" spans="1:9">
      <c r="A510" s="484"/>
      <c r="B510" s="484"/>
      <c r="D510" s="446"/>
      <c r="I510" s="490"/>
    </row>
    <row r="511" spans="1:9">
      <c r="A511" s="484"/>
      <c r="B511" s="485" t="s">
        <v>2644</v>
      </c>
      <c r="D511" s="1308" t="s">
        <v>1144</v>
      </c>
      <c r="E511" s="1308"/>
      <c r="F511" s="1308"/>
      <c r="I511" s="490"/>
    </row>
    <row r="512" spans="1:9">
      <c r="A512" s="484"/>
      <c r="D512" s="1308"/>
      <c r="E512" s="1308"/>
      <c r="F512" s="1308"/>
      <c r="I512" s="490"/>
    </row>
    <row r="513" spans="1:9">
      <c r="A513" s="490"/>
      <c r="B513" s="490"/>
      <c r="D513" s="447"/>
      <c r="I513" s="490"/>
    </row>
    <row r="514" spans="1:9">
      <c r="A514" s="490"/>
      <c r="B514" s="485" t="s">
        <v>2645</v>
      </c>
      <c r="D514" s="1310" t="s">
        <v>1145</v>
      </c>
      <c r="E514" s="1310"/>
      <c r="F514" s="1310"/>
      <c r="I514" s="490"/>
    </row>
    <row r="515" spans="1:9">
      <c r="D515" s="446"/>
      <c r="E515" s="446"/>
      <c r="F515" s="446"/>
      <c r="I515" s="490"/>
    </row>
    <row r="516" spans="1:9">
      <c r="B516" s="485" t="s">
        <v>2645</v>
      </c>
      <c r="D516" s="1308" t="s">
        <v>2223</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c r="A520" s="484"/>
      <c r="B520" s="484"/>
      <c r="D520" s="446"/>
      <c r="I520" s="490"/>
    </row>
    <row r="521" spans="1:9">
      <c r="A521" s="1309" t="s">
        <v>1051</v>
      </c>
      <c r="B521" s="1309"/>
      <c r="C521" s="1309"/>
      <c r="D521" s="1309"/>
      <c r="E521" s="1309"/>
      <c r="F521" s="1309"/>
      <c r="G521" s="1309"/>
      <c r="H521" s="1023"/>
      <c r="I521" s="1147"/>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2644</v>
      </c>
      <c r="C527" s="483"/>
      <c r="D527" s="1280" t="s">
        <v>2020</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2644</v>
      </c>
      <c r="D530" s="386" t="s">
        <v>1877</v>
      </c>
      <c r="E530" s="385"/>
      <c r="F530" s="385"/>
      <c r="I530" s="490"/>
    </row>
    <row r="531" spans="1:9">
      <c r="A531" s="483"/>
      <c r="B531" s="483"/>
      <c r="C531" s="483"/>
      <c r="D531" s="385"/>
      <c r="E531" s="96" t="s">
        <v>1878</v>
      </c>
      <c r="I531" s="490"/>
    </row>
    <row r="532" spans="1:9">
      <c r="A532" s="483"/>
      <c r="B532" s="483"/>
      <c r="D532" s="1288" t="s">
        <v>2021</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25" customHeight="1">
      <c r="A536" s="483"/>
      <c r="B536" s="485" t="s">
        <v>2645</v>
      </c>
      <c r="C536" s="483"/>
      <c r="D536" s="1308" t="s">
        <v>2638</v>
      </c>
      <c r="E536" s="1308"/>
      <c r="F536" s="1308"/>
      <c r="I536" s="490"/>
    </row>
    <row r="537" spans="1:9" ht="13.2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1052</v>
      </c>
      <c r="B540" s="1309"/>
      <c r="C540" s="1309"/>
      <c r="D540" s="1309"/>
      <c r="E540" s="1309"/>
      <c r="F540" s="1309"/>
      <c r="G540" s="1309"/>
      <c r="H540" s="1023"/>
      <c r="I540" s="1147"/>
    </row>
    <row r="541" spans="1:9">
      <c r="A541" s="446"/>
      <c r="B541" s="446"/>
      <c r="C541" s="487"/>
      <c r="F541" s="448"/>
      <c r="I541" s="490"/>
    </row>
    <row r="542" spans="1:9">
      <c r="B542" s="1314" t="s">
        <v>446</v>
      </c>
      <c r="C542" s="1314"/>
      <c r="D542" s="1314"/>
      <c r="E542" s="1314"/>
      <c r="F542" s="1314"/>
      <c r="I542" s="490"/>
    </row>
    <row r="543" spans="1:9">
      <c r="A543" s="446"/>
      <c r="B543" s="446"/>
      <c r="C543" s="487"/>
      <c r="D543" s="446"/>
      <c r="F543" s="446"/>
      <c r="I543" s="490"/>
    </row>
    <row r="544" spans="1:9">
      <c r="A544" s="1312" t="s">
        <v>1053</v>
      </c>
      <c r="B544" s="1312"/>
      <c r="C544" s="1312"/>
      <c r="D544" s="1312"/>
      <c r="E544" s="1312"/>
      <c r="F544" s="1312"/>
      <c r="G544" s="1312"/>
      <c r="H544" s="1023"/>
      <c r="I544" s="1147"/>
    </row>
    <row r="545" spans="1:9">
      <c r="A545" s="446"/>
      <c r="B545" s="446"/>
      <c r="C545" s="487"/>
      <c r="D545" s="446"/>
      <c r="F545" s="446"/>
      <c r="I545" s="490"/>
    </row>
    <row r="546" spans="1:9">
      <c r="C546" s="487"/>
      <c r="D546" s="1311" t="s">
        <v>683</v>
      </c>
      <c r="E546" s="1311"/>
      <c r="F546" s="1311"/>
      <c r="I546" s="490"/>
    </row>
    <row r="547" spans="1:9">
      <c r="C547" s="487"/>
      <c r="D547" s="1310" t="s">
        <v>1081</v>
      </c>
      <c r="E547" s="1310"/>
      <c r="F547" s="1310"/>
      <c r="I547" s="490"/>
    </row>
    <row r="548" spans="1:9">
      <c r="C548" s="487"/>
      <c r="D548" s="446"/>
      <c r="E548" s="446"/>
      <c r="F548" s="446"/>
      <c r="I548" s="490"/>
    </row>
    <row r="549" spans="1:9" ht="13.65" customHeight="1">
      <c r="A549" s="484"/>
      <c r="B549" s="485" t="s">
        <v>2644</v>
      </c>
      <c r="C549" s="487"/>
      <c r="D549" s="1310" t="s">
        <v>884</v>
      </c>
      <c r="E549" s="1310"/>
      <c r="F549" s="1310"/>
      <c r="I549" s="490"/>
    </row>
    <row r="550" spans="1:9" ht="13.65" customHeight="1">
      <c r="A550" s="487"/>
      <c r="B550" s="487"/>
      <c r="C550" s="487"/>
      <c r="D550" s="446"/>
      <c r="I550" s="490"/>
    </row>
    <row r="551" spans="1:9">
      <c r="A551" s="484"/>
      <c r="B551" s="485" t="s">
        <v>2644</v>
      </c>
      <c r="C551" s="487"/>
      <c r="D551" s="1308" t="s">
        <v>1082</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c r="A554" s="484"/>
      <c r="B554" s="485" t="s">
        <v>2644</v>
      </c>
      <c r="C554" s="487"/>
      <c r="D554" s="1308" t="s">
        <v>1083</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c r="A557" s="484"/>
      <c r="B557" s="485" t="s">
        <v>2644</v>
      </c>
      <c r="C557" s="487"/>
      <c r="D557" s="1308" t="s">
        <v>1084</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c r="A560" s="484"/>
      <c r="B560" s="485" t="s">
        <v>2644</v>
      </c>
      <c r="C560" s="487"/>
      <c r="D560" s="1308" t="s">
        <v>1085</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c r="A564" s="484"/>
      <c r="B564" s="485" t="s">
        <v>2645</v>
      </c>
      <c r="C564" s="487"/>
      <c r="D564" s="1308" t="s">
        <v>2201</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c r="A567" s="484"/>
      <c r="B567" s="485" t="s">
        <v>2645</v>
      </c>
      <c r="C567" s="487"/>
      <c r="D567" s="1308" t="s">
        <v>1086</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c r="A570" s="484"/>
      <c r="B570" s="485" t="s">
        <v>2644</v>
      </c>
      <c r="C570" s="487"/>
      <c r="D570" s="1310" t="s">
        <v>1087</v>
      </c>
      <c r="E570" s="1310"/>
      <c r="F570" s="1310"/>
      <c r="I570" s="490"/>
    </row>
    <row r="571" spans="1:9">
      <c r="A571" s="490"/>
      <c r="B571" s="490"/>
      <c r="C571" s="487"/>
      <c r="D571" s="1310" t="s">
        <v>1880</v>
      </c>
      <c r="E571" s="1310"/>
      <c r="F571" s="1310"/>
      <c r="I571" s="490"/>
    </row>
    <row r="572" spans="1:9">
      <c r="A572" s="490"/>
      <c r="B572" s="490"/>
      <c r="C572" s="487"/>
      <c r="E572" s="96" t="s">
        <v>1879</v>
      </c>
      <c r="F572" s="404"/>
      <c r="I572" s="490"/>
    </row>
    <row r="573" spans="1:9">
      <c r="A573" s="484"/>
      <c r="B573" s="484"/>
      <c r="C573" s="487"/>
      <c r="E573" s="446"/>
      <c r="F573" s="446"/>
      <c r="I573" s="490"/>
    </row>
    <row r="574" spans="1:9">
      <c r="A574" s="484"/>
      <c r="B574" s="485" t="s">
        <v>2644</v>
      </c>
      <c r="C574" s="487"/>
      <c r="D574" s="1310" t="s">
        <v>1088</v>
      </c>
      <c r="E574" s="1310"/>
      <c r="F574" s="1310"/>
      <c r="I574" s="490"/>
    </row>
    <row r="575" spans="1:9">
      <c r="C575" s="487"/>
      <c r="D575" s="1308" t="s">
        <v>1089</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c r="A579" s="484"/>
      <c r="B579" s="485" t="s">
        <v>2644</v>
      </c>
      <c r="C579" s="487"/>
      <c r="D579" s="1308" t="s">
        <v>2022</v>
      </c>
      <c r="E579" s="1308"/>
      <c r="F579" s="1308"/>
      <c r="I579" s="490"/>
    </row>
    <row r="580" spans="1:9">
      <c r="A580" s="484"/>
      <c r="B580" s="484"/>
      <c r="C580" s="487"/>
      <c r="D580" s="1308"/>
      <c r="E580" s="1308"/>
      <c r="F580" s="1308"/>
      <c r="I580" s="490"/>
    </row>
    <row r="581" spans="1:9">
      <c r="A581" s="484"/>
      <c r="B581" s="484"/>
      <c r="C581" s="487"/>
      <c r="D581" s="1308"/>
      <c r="E581" s="1308"/>
      <c r="F581" s="1308"/>
      <c r="I581" s="490"/>
    </row>
    <row r="582" spans="1:9">
      <c r="A582" s="484"/>
      <c r="B582" s="484"/>
      <c r="C582" s="487"/>
      <c r="D582" s="1308"/>
      <c r="E582" s="1308"/>
      <c r="F582" s="1308"/>
      <c r="I582" s="490"/>
    </row>
    <row r="583" spans="1:9">
      <c r="A583" s="484"/>
      <c r="B583" s="484"/>
      <c r="C583" s="487"/>
      <c r="D583" s="446"/>
      <c r="E583" s="446"/>
      <c r="F583" s="446"/>
      <c r="I583" s="490"/>
    </row>
    <row r="584" spans="1:9">
      <c r="A584" s="1309" t="s">
        <v>1054</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210</v>
      </c>
      <c r="E586" s="1328"/>
      <c r="F586" s="1328"/>
      <c r="I586" s="490"/>
    </row>
    <row r="587" spans="1:9">
      <c r="A587" s="483"/>
      <c r="B587" s="483"/>
      <c r="C587" s="483"/>
      <c r="D587" s="1324" t="s">
        <v>1067</v>
      </c>
      <c r="E587" s="1324"/>
      <c r="F587" s="1324"/>
      <c r="I587" s="490"/>
    </row>
    <row r="588" spans="1:9">
      <c r="A588" s="402"/>
      <c r="B588" s="402"/>
      <c r="C588" s="483"/>
      <c r="D588" s="499"/>
      <c r="I588" s="490"/>
    </row>
    <row r="589" spans="1:9" hidden="1">
      <c r="A589" s="483"/>
      <c r="B589" s="485" t="s">
        <v>307</v>
      </c>
      <c r="D589" s="1324" t="s">
        <v>888</v>
      </c>
      <c r="E589" s="1324"/>
      <c r="F589" s="1324"/>
      <c r="I589" s="490"/>
    </row>
    <row r="590" spans="1:9" hidden="1">
      <c r="A590" s="490"/>
      <c r="B590" s="490"/>
      <c r="D590" s="476"/>
      <c r="I590" s="490"/>
    </row>
    <row r="591" spans="1:9">
      <c r="A591" s="490"/>
      <c r="B591" s="485" t="s">
        <v>2644</v>
      </c>
      <c r="D591" s="1324" t="s">
        <v>2023</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2645</v>
      </c>
      <c r="D595" s="1324" t="s">
        <v>1068</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2644</v>
      </c>
      <c r="D600" s="1324" t="s">
        <v>2024</v>
      </c>
      <c r="E600" s="1324"/>
      <c r="F600" s="1324"/>
      <c r="I600" s="490"/>
    </row>
    <row r="601" spans="1:9">
      <c r="A601" s="490"/>
      <c r="B601" s="490"/>
      <c r="D601" s="1324"/>
      <c r="E601" s="1324"/>
      <c r="F601" s="1324"/>
      <c r="I601" s="490"/>
    </row>
    <row r="602" spans="1:9">
      <c r="A602" s="490"/>
      <c r="B602" s="490"/>
      <c r="D602" s="499"/>
      <c r="I602" s="490"/>
    </row>
    <row r="603" spans="1:9">
      <c r="A603" s="490"/>
      <c r="B603" s="485" t="s">
        <v>2645</v>
      </c>
      <c r="D603" s="1324" t="s">
        <v>1069</v>
      </c>
      <c r="E603" s="1324"/>
      <c r="F603" s="1324"/>
      <c r="I603" s="490"/>
    </row>
    <row r="604" spans="1:9">
      <c r="A604" s="490"/>
      <c r="B604" s="490"/>
      <c r="D604" s="1324"/>
      <c r="E604" s="1324"/>
      <c r="F604" s="1324"/>
      <c r="I604" s="490"/>
    </row>
    <row r="605" spans="1:9">
      <c r="A605" s="484"/>
      <c r="B605" s="484"/>
      <c r="D605" s="499"/>
      <c r="I605" s="490"/>
    </row>
    <row r="606" spans="1:9">
      <c r="A606" s="1309" t="s">
        <v>1055</v>
      </c>
      <c r="B606" s="1309"/>
      <c r="C606" s="1309"/>
      <c r="D606" s="1309"/>
      <c r="E606" s="1309"/>
      <c r="F606" s="1309"/>
      <c r="G606" s="1309"/>
      <c r="H606" s="1023"/>
      <c r="I606" s="1147"/>
    </row>
    <row r="607" spans="1:9">
      <c r="I607" s="490"/>
    </row>
    <row r="608" spans="1:9">
      <c r="D608" s="1311" t="s">
        <v>1107</v>
      </c>
      <c r="E608" s="1311"/>
      <c r="F608" s="1311"/>
      <c r="I608" s="490"/>
    </row>
    <row r="609" spans="1:9">
      <c r="D609" s="1290" t="s">
        <v>1108</v>
      </c>
      <c r="E609" s="1290"/>
      <c r="F609" s="1290"/>
      <c r="I609" s="490"/>
    </row>
    <row r="610" spans="1:9">
      <c r="D610" s="444"/>
      <c r="I610" s="490"/>
    </row>
    <row r="611" spans="1:9" ht="14.25" customHeight="1">
      <c r="A611" s="484"/>
      <c r="B611" s="485" t="s">
        <v>2644</v>
      </c>
      <c r="D611" s="1325" t="s">
        <v>1881</v>
      </c>
      <c r="E611" s="1325"/>
      <c r="F611" s="1325"/>
      <c r="I611" s="490"/>
    </row>
    <row r="612" spans="1:9">
      <c r="D612" s="1325"/>
      <c r="E612" s="1325"/>
      <c r="F612" s="1325"/>
      <c r="I612" s="490"/>
    </row>
    <row r="613" spans="1:9">
      <c r="D613" s="385"/>
      <c r="E613" s="1031" t="s">
        <v>1882</v>
      </c>
      <c r="F613" s="385"/>
      <c r="I613" s="490"/>
    </row>
    <row r="614" spans="1:9">
      <c r="I614" s="490"/>
    </row>
    <row r="615" spans="1:9">
      <c r="A615" s="1309" t="s">
        <v>1056</v>
      </c>
      <c r="B615" s="1309"/>
      <c r="C615" s="1309"/>
      <c r="D615" s="1309"/>
      <c r="E615" s="1309"/>
      <c r="F615" s="1309"/>
      <c r="G615" s="1309"/>
      <c r="H615" s="1023"/>
      <c r="I615" s="1147"/>
    </row>
    <row r="616" spans="1:9">
      <c r="A616" s="446"/>
      <c r="B616" s="446"/>
      <c r="I616" s="490"/>
    </row>
    <row r="617" spans="1:9">
      <c r="A617" s="482"/>
      <c r="B617" s="482"/>
      <c r="C617" s="482"/>
      <c r="D617" s="1320" t="s">
        <v>1109</v>
      </c>
      <c r="E617" s="1320"/>
      <c r="F617" s="1320"/>
      <c r="I617" s="490"/>
    </row>
    <row r="618" spans="1:9">
      <c r="A618" s="482"/>
      <c r="B618" s="482"/>
      <c r="C618" s="482"/>
      <c r="D618" s="1320"/>
      <c r="E618" s="1320"/>
      <c r="F618" s="1320"/>
      <c r="I618" s="490"/>
    </row>
    <row r="619" spans="1:9">
      <c r="C619" s="483"/>
      <c r="D619" s="1290" t="s">
        <v>1110</v>
      </c>
      <c r="E619" s="1290"/>
      <c r="F619" s="1290"/>
      <c r="I619" s="490"/>
    </row>
    <row r="620" spans="1:9">
      <c r="C620" s="483"/>
      <c r="D620" s="444"/>
      <c r="E620" s="444"/>
      <c r="F620" s="444"/>
      <c r="I620" s="490"/>
    </row>
    <row r="621" spans="1:9">
      <c r="B621" s="485" t="s">
        <v>2644</v>
      </c>
      <c r="C621" s="483"/>
      <c r="D621" s="1289" t="s">
        <v>2605</v>
      </c>
      <c r="E621" s="1289"/>
      <c r="F621" s="1289"/>
      <c r="I621" s="490"/>
    </row>
    <row r="622" spans="1:9">
      <c r="C622" s="483"/>
      <c r="D622" s="444"/>
      <c r="E622" s="444"/>
      <c r="F622" s="444"/>
      <c r="I622" s="490"/>
    </row>
    <row r="623" spans="1:9" ht="12.75" customHeight="1">
      <c r="A623" s="490"/>
      <c r="B623" s="485" t="s">
        <v>2644</v>
      </c>
      <c r="D623" s="1307" t="s">
        <v>1111</v>
      </c>
      <c r="E623" s="1307"/>
      <c r="F623" s="1307"/>
      <c r="I623" s="490"/>
    </row>
    <row r="624" spans="1:9">
      <c r="D624" s="1307"/>
      <c r="E624" s="1307"/>
      <c r="F624" s="1307"/>
      <c r="I624" s="490"/>
    </row>
    <row r="625" spans="1:9">
      <c r="I625" s="490"/>
    </row>
    <row r="626" spans="1:9">
      <c r="B626" s="485" t="s">
        <v>2644</v>
      </c>
      <c r="D626" s="1307" t="s">
        <v>1112</v>
      </c>
      <c r="E626" s="1307"/>
      <c r="F626" s="1307"/>
      <c r="I626" s="490"/>
    </row>
    <row r="627" spans="1:9">
      <c r="C627" s="500"/>
      <c r="D627" s="1307"/>
      <c r="E627" s="1307"/>
      <c r="F627" s="1307"/>
      <c r="I627" s="490"/>
    </row>
    <row r="628" spans="1:9">
      <c r="C628" s="500"/>
      <c r="I628" s="490"/>
    </row>
    <row r="629" spans="1:9">
      <c r="B629" s="485" t="s">
        <v>2645</v>
      </c>
      <c r="C629" s="500"/>
      <c r="D629" s="1307" t="s">
        <v>1113</v>
      </c>
      <c r="E629" s="1307"/>
      <c r="F629" s="1307"/>
      <c r="I629" s="490"/>
    </row>
    <row r="630" spans="1:9">
      <c r="C630" s="500"/>
      <c r="D630" s="1307"/>
      <c r="E630" s="1307"/>
      <c r="F630" s="1307"/>
      <c r="I630" s="500"/>
    </row>
    <row r="631" spans="1:9">
      <c r="C631" s="500"/>
      <c r="I631" s="490"/>
    </row>
    <row r="632" spans="1:9">
      <c r="B632" s="485" t="s">
        <v>2645</v>
      </c>
      <c r="C632" s="500"/>
      <c r="D632" s="1289" t="s">
        <v>2550</v>
      </c>
      <c r="E632" s="1289"/>
      <c r="F632" s="1289"/>
      <c r="I632" s="490"/>
    </row>
    <row r="633" spans="1:9">
      <c r="C633" s="500"/>
      <c r="I633" s="490"/>
    </row>
    <row r="634" spans="1:9">
      <c r="A634" s="1309" t="s">
        <v>1057</v>
      </c>
      <c r="B634" s="1309"/>
      <c r="C634" s="1309"/>
      <c r="D634" s="1309"/>
      <c r="E634" s="1309"/>
      <c r="F634" s="1309"/>
      <c r="G634" s="1309"/>
      <c r="H634" s="1023"/>
      <c r="I634" s="1147"/>
    </row>
    <row r="635" spans="1:9">
      <c r="A635" s="482"/>
      <c r="B635" s="482"/>
      <c r="C635" s="482"/>
      <c r="I635" s="490"/>
    </row>
    <row r="636" spans="1:9">
      <c r="C636" s="490"/>
      <c r="D636" s="1311" t="s">
        <v>1114</v>
      </c>
      <c r="E636" s="1311"/>
      <c r="F636" s="1311"/>
      <c r="I636" s="490"/>
    </row>
    <row r="637" spans="1:9">
      <c r="A637" s="490"/>
      <c r="B637" s="490"/>
      <c r="D637" s="404"/>
      <c r="I637" s="490"/>
    </row>
    <row r="638" spans="1:9" ht="14.25" customHeight="1">
      <c r="A638" s="484"/>
      <c r="B638" s="485" t="s">
        <v>2644</v>
      </c>
      <c r="D638" s="1325" t="s">
        <v>2025</v>
      </c>
      <c r="E638" s="1325"/>
      <c r="F638" s="1325"/>
      <c r="I638" s="490"/>
    </row>
    <row r="639" spans="1:9">
      <c r="D639" s="1325"/>
      <c r="E639" s="1325"/>
      <c r="F639" s="1325"/>
      <c r="I639" s="490"/>
    </row>
    <row r="640" spans="1:9">
      <c r="D640" s="385"/>
      <c r="E640" s="1031" t="s">
        <v>1884</v>
      </c>
      <c r="F640" s="385"/>
      <c r="I640" s="490"/>
    </row>
    <row r="641" spans="1:9">
      <c r="D641" s="1308" t="s">
        <v>1883</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c r="A645" s="484"/>
      <c r="B645" s="485" t="s">
        <v>2645</v>
      </c>
      <c r="D645" s="1308" t="s">
        <v>1115</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c r="A648" s="484"/>
      <c r="B648" s="485" t="s">
        <v>2645</v>
      </c>
      <c r="C648" s="487"/>
      <c r="D648" s="1308" t="s">
        <v>1225</v>
      </c>
      <c r="E648" s="1308"/>
      <c r="F648" s="1308"/>
      <c r="I648" s="490"/>
    </row>
    <row r="649" spans="1:9">
      <c r="A649" s="484"/>
      <c r="B649" s="484"/>
      <c r="C649" s="487"/>
      <c r="D649" s="1308"/>
      <c r="E649" s="1308"/>
      <c r="F649" s="1308"/>
      <c r="I649" s="490"/>
    </row>
    <row r="650" spans="1:9">
      <c r="A650" s="484"/>
      <c r="B650" s="484"/>
      <c r="C650" s="487"/>
      <c r="D650" s="1308"/>
      <c r="E650" s="1308"/>
      <c r="F650" s="1308"/>
      <c r="I650" s="490"/>
    </row>
    <row r="651" spans="1:9">
      <c r="A651" s="487"/>
      <c r="B651" s="485" t="s">
        <v>2645</v>
      </c>
      <c r="C651" s="487"/>
      <c r="D651" s="1310" t="s">
        <v>1116</v>
      </c>
      <c r="E651" s="1310"/>
      <c r="F651" s="1310"/>
      <c r="I651" s="490"/>
    </row>
    <row r="652" spans="1:9">
      <c r="A652" s="487"/>
      <c r="B652" s="487"/>
      <c r="C652" s="487"/>
      <c r="D652" s="446"/>
      <c r="E652" s="446"/>
      <c r="F652" s="446"/>
      <c r="I652" s="490"/>
    </row>
    <row r="653" spans="1:9">
      <c r="A653" s="1309" t="s">
        <v>1058</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1146</v>
      </c>
      <c r="E655" s="1311"/>
      <c r="F655" s="1311"/>
      <c r="I655" s="490"/>
    </row>
    <row r="656" spans="1:9">
      <c r="A656" s="483"/>
      <c r="B656" s="483"/>
      <c r="C656" s="483"/>
      <c r="D656" s="1310" t="s">
        <v>1147</v>
      </c>
      <c r="E656" s="1310"/>
      <c r="F656" s="1310"/>
      <c r="I656" s="490"/>
    </row>
    <row r="657" spans="1:9">
      <c r="A657" s="483"/>
      <c r="B657" s="483"/>
      <c r="C657" s="483"/>
      <c r="D657" s="446"/>
      <c r="E657" s="446"/>
      <c r="F657" s="446"/>
      <c r="I657" s="490"/>
    </row>
    <row r="658" spans="1:9" ht="12.75" customHeight="1">
      <c r="B658" s="485" t="s">
        <v>2645</v>
      </c>
      <c r="C658" s="487"/>
      <c r="D658" s="1308" t="s">
        <v>1281</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4" customHeight="1">
      <c r="A662" s="484"/>
      <c r="B662" s="484"/>
      <c r="C662" s="487"/>
      <c r="D662" s="385"/>
      <c r="E662" s="385"/>
      <c r="F662" s="385"/>
      <c r="I662" s="490"/>
    </row>
    <row r="663" spans="1:9" ht="12.75" customHeight="1">
      <c r="A663" s="483"/>
      <c r="B663" s="485" t="s">
        <v>2645</v>
      </c>
      <c r="C663" s="487"/>
      <c r="D663" s="1308" t="s">
        <v>1283</v>
      </c>
      <c r="E663" s="1308"/>
      <c r="F663" s="1308"/>
      <c r="I663" s="490"/>
    </row>
    <row r="664" spans="1:9">
      <c r="A664" s="483"/>
      <c r="B664" s="484"/>
      <c r="C664" s="487"/>
      <c r="D664" s="1308"/>
      <c r="E664" s="1308"/>
      <c r="F664" s="1308"/>
      <c r="I664" s="490"/>
    </row>
    <row r="665" spans="1:9">
      <c r="A665" s="483"/>
      <c r="B665" s="484"/>
      <c r="C665" s="487"/>
      <c r="D665" s="1308"/>
      <c r="E665" s="1308"/>
      <c r="F665" s="1308"/>
      <c r="I665" s="490"/>
    </row>
    <row r="666" spans="1:9">
      <c r="A666" s="483"/>
      <c r="B666" s="484"/>
      <c r="C666" s="487"/>
      <c r="D666" s="1308"/>
      <c r="E666" s="1308"/>
      <c r="F666" s="1308"/>
      <c r="I666" s="490"/>
    </row>
    <row r="667" spans="1:9">
      <c r="A667" s="483"/>
      <c r="B667" s="484"/>
      <c r="C667" s="487"/>
      <c r="D667" s="1308"/>
      <c r="E667" s="1308"/>
      <c r="F667" s="1308"/>
      <c r="I667" s="490"/>
    </row>
    <row r="668" spans="1:9" ht="14.25" customHeight="1">
      <c r="A668" s="483"/>
      <c r="B668" s="484"/>
      <c r="C668" s="487"/>
      <c r="F668" s="386"/>
      <c r="I668" s="490"/>
    </row>
    <row r="669" spans="1:9" ht="12.75" customHeight="1">
      <c r="A669" s="483"/>
      <c r="B669" s="485" t="s">
        <v>2645</v>
      </c>
      <c r="C669" s="487"/>
      <c r="D669" s="1308" t="s">
        <v>1282</v>
      </c>
      <c r="E669" s="1308"/>
      <c r="F669" s="1308"/>
      <c r="I669" s="490"/>
    </row>
    <row r="670" spans="1:9">
      <c r="A670" s="483"/>
      <c r="B670" s="484"/>
      <c r="C670" s="487"/>
      <c r="D670" s="1308"/>
      <c r="E670" s="1308"/>
      <c r="F670" s="1308"/>
      <c r="I670" s="490"/>
    </row>
    <row r="671" spans="1:9">
      <c r="A671" s="484"/>
      <c r="B671" s="484"/>
      <c r="C671" s="487"/>
      <c r="D671" s="1308"/>
      <c r="E671" s="1308"/>
      <c r="F671" s="1308"/>
      <c r="I671" s="490"/>
    </row>
    <row r="672" spans="1:9">
      <c r="A672" s="484"/>
      <c r="B672" s="484"/>
      <c r="C672" s="487"/>
      <c r="D672" s="1308"/>
      <c r="E672" s="1308"/>
      <c r="F672" s="1308"/>
      <c r="I672" s="490"/>
    </row>
    <row r="673" spans="1:11">
      <c r="A673" s="484"/>
      <c r="B673" s="484"/>
      <c r="C673" s="487"/>
      <c r="D673" s="445"/>
      <c r="E673" s="445"/>
      <c r="F673" s="445"/>
      <c r="I673" s="490"/>
    </row>
    <row r="674" spans="1:11" ht="12.75" customHeight="1">
      <c r="A674" s="483"/>
      <c r="B674" s="485" t="s">
        <v>2645</v>
      </c>
      <c r="C674" s="487"/>
      <c r="D674" s="1308" t="s">
        <v>2026</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1059</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1076</v>
      </c>
      <c r="E688" s="1310"/>
      <c r="F688" s="1310"/>
      <c r="H688" s="501"/>
      <c r="I688" s="483"/>
      <c r="J688" s="501"/>
      <c r="K688" s="501"/>
    </row>
    <row r="689" spans="1:11">
      <c r="A689" s="483"/>
      <c r="B689" s="483"/>
      <c r="C689" s="483"/>
      <c r="H689" s="501"/>
      <c r="I689" s="483"/>
      <c r="J689" s="501"/>
      <c r="K689" s="501"/>
    </row>
    <row r="690" spans="1:11">
      <c r="A690" s="484"/>
      <c r="B690" s="485" t="s">
        <v>2644</v>
      </c>
      <c r="C690" s="483"/>
      <c r="D690" s="1310" t="s">
        <v>885</v>
      </c>
      <c r="E690" s="1310"/>
      <c r="F690" s="1310"/>
      <c r="H690" s="501"/>
      <c r="I690" s="483"/>
      <c r="J690" s="501"/>
      <c r="K690" s="501"/>
    </row>
    <row r="691" spans="1:11">
      <c r="A691" s="483"/>
      <c r="B691" s="483"/>
      <c r="C691" s="483"/>
      <c r="D691" s="1310" t="s">
        <v>894</v>
      </c>
      <c r="E691" s="1310"/>
      <c r="F691" s="1310"/>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c r="A695" s="484"/>
      <c r="B695" s="485" t="s">
        <v>2645</v>
      </c>
      <c r="C695" s="483"/>
      <c r="D695" s="1308" t="s">
        <v>2027</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c r="A699" s="484"/>
      <c r="B699" s="485" t="s">
        <v>2644</v>
      </c>
      <c r="C699" s="483"/>
      <c r="D699" s="1310" t="s">
        <v>917</v>
      </c>
      <c r="E699" s="1310"/>
      <c r="F699" s="1310"/>
      <c r="H699" s="501"/>
      <c r="I699" s="483"/>
      <c r="J699" s="501"/>
      <c r="K699" s="501"/>
    </row>
    <row r="700" spans="1:11">
      <c r="A700" s="484"/>
      <c r="B700" s="484"/>
      <c r="C700" s="483"/>
      <c r="D700" s="1310" t="s">
        <v>894</v>
      </c>
      <c r="E700" s="1310"/>
      <c r="F700" s="1310"/>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c r="A703" s="484"/>
      <c r="B703" s="485" t="s">
        <v>2645</v>
      </c>
      <c r="C703" s="483"/>
      <c r="D703" s="1310" t="s">
        <v>2401</v>
      </c>
      <c r="E703" s="1310"/>
      <c r="F703" s="1310"/>
      <c r="H703" s="501"/>
      <c r="I703" s="483"/>
      <c r="J703" s="501"/>
      <c r="K703" s="501"/>
    </row>
    <row r="704" spans="1:11">
      <c r="A704" s="484"/>
      <c r="B704" s="484"/>
      <c r="C704" s="483"/>
      <c r="D704" s="1310" t="s">
        <v>894</v>
      </c>
      <c r="E704" s="1310"/>
      <c r="F704" s="1310"/>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c r="A707" s="484"/>
      <c r="B707" s="485" t="s">
        <v>2644</v>
      </c>
      <c r="C707" s="483"/>
      <c r="D707" s="1308" t="s">
        <v>2198</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2644</v>
      </c>
      <c r="C714" s="483"/>
      <c r="D714" s="1308" t="s">
        <v>1201</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c r="A717" s="484"/>
      <c r="B717" s="485" t="s">
        <v>2645</v>
      </c>
      <c r="C717" s="483"/>
      <c r="D717" s="1308" t="s">
        <v>1077</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2645</v>
      </c>
      <c r="C730" s="483"/>
      <c r="D730" s="1308" t="s">
        <v>2394</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2645</v>
      </c>
      <c r="C734" s="483"/>
      <c r="D734" s="1308" t="s">
        <v>2393</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2645</v>
      </c>
      <c r="C738" s="483"/>
      <c r="D738" s="1308" t="s">
        <v>2392</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c r="A743" s="484"/>
      <c r="B743" s="485" t="s">
        <v>2645</v>
      </c>
      <c r="C743" s="483"/>
      <c r="D743" s="1308" t="s">
        <v>1078</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c r="A749" s="484"/>
      <c r="B749" s="485" t="s">
        <v>2645</v>
      </c>
      <c r="C749" s="483"/>
      <c r="D749" s="1308" t="s">
        <v>2101</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2615</v>
      </c>
      <c r="E756" s="1313"/>
      <c r="F756" s="1313"/>
      <c r="H756" s="501"/>
      <c r="I756" s="483"/>
      <c r="J756" s="501"/>
      <c r="K756" s="501"/>
    </row>
    <row r="757" spans="1:11">
      <c r="A757" s="483"/>
      <c r="B757" s="483"/>
      <c r="C757" s="483"/>
      <c r="D757" s="341"/>
      <c r="H757" s="501"/>
      <c r="I757" s="483"/>
      <c r="J757" s="501"/>
      <c r="K757" s="501"/>
    </row>
    <row r="758" spans="1:11">
      <c r="A758" s="1312" t="s">
        <v>1060</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65" customHeight="1">
      <c r="C760" s="483"/>
      <c r="D760" s="1328" t="s">
        <v>1070</v>
      </c>
      <c r="E760" s="1328"/>
      <c r="F760" s="1328"/>
      <c r="G760" s="501"/>
      <c r="H760" s="501"/>
      <c r="I760" s="483"/>
      <c r="J760" s="501"/>
      <c r="K760" s="501"/>
    </row>
    <row r="761" spans="1:11">
      <c r="A761" s="483"/>
      <c r="B761" s="483"/>
      <c r="C761" s="483"/>
      <c r="D761" s="1314" t="s">
        <v>1071</v>
      </c>
      <c r="E761" s="1314"/>
      <c r="F761" s="1314"/>
      <c r="G761" s="501"/>
      <c r="H761" s="501"/>
      <c r="I761" s="483"/>
      <c r="J761" s="501"/>
      <c r="K761" s="501"/>
    </row>
    <row r="762" spans="1:11">
      <c r="A762" s="483"/>
      <c r="B762" s="483"/>
      <c r="C762" s="483"/>
      <c r="G762" s="501"/>
      <c r="H762" s="501"/>
      <c r="I762" s="483"/>
      <c r="J762" s="501"/>
      <c r="K762" s="501"/>
    </row>
    <row r="763" spans="1:11">
      <c r="A763" s="484"/>
      <c r="B763" s="485" t="s">
        <v>2644</v>
      </c>
      <c r="D763" s="1308" t="s">
        <v>1072</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65"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c r="A770" s="503"/>
      <c r="B770" s="485" t="s">
        <v>2645</v>
      </c>
      <c r="C770" s="504"/>
      <c r="D770" s="1308" t="s">
        <v>1241</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c r="A775" s="484"/>
      <c r="B775" s="485" t="s">
        <v>2644</v>
      </c>
      <c r="C775" s="504"/>
      <c r="D775" s="1307" t="s">
        <v>1242</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c r="A779" s="484"/>
      <c r="B779" s="485" t="s">
        <v>2645</v>
      </c>
      <c r="D779" s="1308" t="s">
        <v>1198</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2645</v>
      </c>
      <c r="D782" s="1308" t="s">
        <v>1215</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c r="A786" s="1327" t="s">
        <v>1790</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1830</v>
      </c>
      <c r="E788" s="1326"/>
      <c r="F788" s="1326"/>
      <c r="G788" s="3"/>
      <c r="I788" s="490"/>
    </row>
    <row r="789" spans="1:11">
      <c r="A789" s="57"/>
      <c r="B789" s="57"/>
      <c r="C789" s="354"/>
      <c r="D789" s="1318" t="s">
        <v>1744</v>
      </c>
      <c r="E789" s="1318"/>
      <c r="F789" s="1318"/>
      <c r="G789" s="3"/>
      <c r="I789" s="490"/>
    </row>
    <row r="790" spans="1:11">
      <c r="A790" s="57"/>
      <c r="B790" s="57"/>
      <c r="C790" s="354"/>
      <c r="D790" s="447"/>
      <c r="E790" s="447"/>
      <c r="F790" s="447"/>
      <c r="G790" s="3"/>
      <c r="I790" s="490"/>
    </row>
    <row r="791" spans="1:11">
      <c r="A791" s="57"/>
      <c r="B791" s="485" t="s">
        <v>2644</v>
      </c>
      <c r="C791" s="354"/>
      <c r="D791" s="1300" t="s">
        <v>1745</v>
      </c>
      <c r="E791" s="1300"/>
      <c r="F791" s="1300"/>
      <c r="G791" s="3"/>
      <c r="I791" s="483"/>
    </row>
    <row r="792" spans="1:11">
      <c r="A792" s="57"/>
      <c r="B792" s="57"/>
      <c r="C792" s="354"/>
      <c r="D792" s="1300"/>
      <c r="E792" s="1300"/>
      <c r="F792" s="1300"/>
      <c r="G792" s="3"/>
      <c r="I792" s="490"/>
    </row>
    <row r="793" spans="1:11">
      <c r="A793" s="174"/>
      <c r="B793" s="174"/>
      <c r="C793" s="174"/>
      <c r="D793" s="1300"/>
      <c r="E793" s="1300"/>
      <c r="F793" s="1300"/>
      <c r="G793" s="118"/>
      <c r="I793" s="490"/>
    </row>
    <row r="794" spans="1:11">
      <c r="A794" s="354"/>
      <c r="B794" s="354"/>
      <c r="C794" s="354"/>
      <c r="D794" s="173"/>
      <c r="E794" s="3"/>
      <c r="F794" s="3"/>
      <c r="G794" s="3"/>
      <c r="I794" s="490"/>
    </row>
    <row r="795" spans="1:11">
      <c r="A795" s="172"/>
      <c r="B795" s="485" t="s">
        <v>2645</v>
      </c>
      <c r="C795" s="172"/>
      <c r="D795" s="1300" t="s">
        <v>1746</v>
      </c>
      <c r="E795" s="1300"/>
      <c r="F795" s="1300"/>
      <c r="G795" s="3"/>
      <c r="I795" s="483"/>
    </row>
    <row r="796" spans="1:11">
      <c r="A796" s="172"/>
      <c r="B796" s="172"/>
      <c r="C796" s="172"/>
      <c r="D796" s="1300"/>
      <c r="E796" s="1300"/>
      <c r="F796" s="1300"/>
      <c r="G796" s="3"/>
      <c r="I796" s="490"/>
    </row>
    <row r="797" spans="1:11">
      <c r="A797" s="172"/>
      <c r="B797" s="172"/>
      <c r="C797" s="172"/>
      <c r="D797" s="1300"/>
      <c r="E797" s="1300"/>
      <c r="F797" s="1300"/>
      <c r="G797" s="3"/>
      <c r="I797" s="490"/>
    </row>
    <row r="798" spans="1:11">
      <c r="A798" s="174"/>
      <c r="B798" s="174"/>
      <c r="C798" s="174"/>
      <c r="D798" s="3"/>
      <c r="E798" s="983"/>
      <c r="F798" s="983"/>
      <c r="G798" s="983"/>
      <c r="I798" s="490"/>
    </row>
    <row r="799" spans="1:11">
      <c r="A799" s="175"/>
      <c r="B799" s="485" t="s">
        <v>2645</v>
      </c>
      <c r="C799" s="984"/>
      <c r="D799" s="1300" t="s">
        <v>1747</v>
      </c>
      <c r="E799" s="1300"/>
      <c r="F799" s="1300"/>
      <c r="G799" s="983"/>
      <c r="I799" s="483"/>
    </row>
    <row r="800" spans="1:11">
      <c r="A800" s="175"/>
      <c r="B800" s="175"/>
      <c r="C800" s="984"/>
      <c r="D800" s="1300"/>
      <c r="E800" s="1300"/>
      <c r="F800" s="1300"/>
      <c r="G800" s="983"/>
      <c r="I800" s="490"/>
    </row>
    <row r="801" spans="1:9">
      <c r="A801" s="175"/>
      <c r="B801" s="175"/>
      <c r="C801" s="984"/>
      <c r="D801" s="1300"/>
      <c r="E801" s="1300"/>
      <c r="F801" s="1300"/>
      <c r="G801" s="983"/>
      <c r="I801" s="490"/>
    </row>
    <row r="802" spans="1:9">
      <c r="A802" s="175"/>
      <c r="B802" s="175"/>
      <c r="C802" s="984"/>
      <c r="D802" s="118"/>
      <c r="E802" s="3"/>
      <c r="F802" s="3"/>
      <c r="G802" s="983"/>
      <c r="I802" s="490"/>
    </row>
    <row r="803" spans="1:9">
      <c r="A803" s="175"/>
      <c r="B803" s="485" t="s">
        <v>2645</v>
      </c>
      <c r="C803" s="984"/>
      <c r="D803" s="1300" t="s">
        <v>1748</v>
      </c>
      <c r="E803" s="1300"/>
      <c r="F803" s="1300"/>
      <c r="G803" s="983"/>
      <c r="I803" s="483"/>
    </row>
    <row r="804" spans="1:9">
      <c r="A804" s="175"/>
      <c r="B804" s="175"/>
      <c r="C804" s="984"/>
      <c r="D804" s="1300"/>
      <c r="E804" s="1300"/>
      <c r="F804" s="1300"/>
      <c r="G804" s="983"/>
      <c r="I804" s="490"/>
    </row>
    <row r="805" spans="1:9">
      <c r="A805" s="175"/>
      <c r="B805" s="175"/>
      <c r="C805" s="984"/>
      <c r="D805" s="1300"/>
      <c r="E805" s="1300"/>
      <c r="F805" s="1300"/>
      <c r="G805" s="983"/>
      <c r="I805" s="490"/>
    </row>
    <row r="806" spans="1:9">
      <c r="A806" s="175"/>
      <c r="B806" s="175"/>
      <c r="C806" s="984"/>
      <c r="D806" s="1300"/>
      <c r="E806" s="1300"/>
      <c r="F806" s="1300"/>
      <c r="G806" s="983"/>
      <c r="I806" s="490"/>
    </row>
    <row r="807" spans="1:9">
      <c r="A807" s="175"/>
      <c r="B807" s="175"/>
      <c r="C807" s="984"/>
      <c r="D807" s="1300"/>
      <c r="E807" s="1300"/>
      <c r="F807" s="1300"/>
      <c r="G807" s="983"/>
      <c r="I807" s="490"/>
    </row>
    <row r="808" spans="1:9">
      <c r="A808" s="175"/>
      <c r="B808" s="175"/>
      <c r="C808" s="984"/>
      <c r="D808" s="1300"/>
      <c r="E808" s="1300"/>
      <c r="F808" s="1300"/>
      <c r="G808" s="983"/>
      <c r="I808" s="490"/>
    </row>
    <row r="809" spans="1:9">
      <c r="A809" s="175"/>
      <c r="B809" s="175"/>
      <c r="C809" s="984"/>
      <c r="D809" s="1300" t="s">
        <v>1791</v>
      </c>
      <c r="E809" s="1300"/>
      <c r="F809" s="1300"/>
      <c r="G809" s="983"/>
      <c r="I809" s="490"/>
    </row>
    <row r="810" spans="1:9">
      <c r="A810" s="175"/>
      <c r="B810" s="175"/>
      <c r="C810" s="984"/>
      <c r="D810" s="1300"/>
      <c r="E810" s="1300"/>
      <c r="F810" s="1300"/>
      <c r="G810" s="983"/>
      <c r="I810" s="490"/>
    </row>
    <row r="811" spans="1:9">
      <c r="A811" s="175"/>
      <c r="B811" s="175"/>
      <c r="C811" s="984"/>
      <c r="D811" s="1300"/>
      <c r="E811" s="1300"/>
      <c r="F811" s="1300"/>
      <c r="G811" s="983"/>
      <c r="I811" s="490"/>
    </row>
    <row r="812" spans="1:9">
      <c r="A812" s="175"/>
      <c r="B812" s="354"/>
      <c r="C812" s="984"/>
      <c r="D812" s="985"/>
      <c r="E812" s="985"/>
      <c r="F812" s="985"/>
      <c r="G812" s="983"/>
      <c r="I812" s="490"/>
    </row>
    <row r="813" spans="1:9">
      <c r="A813" s="175"/>
      <c r="B813" s="485" t="s">
        <v>2645</v>
      </c>
      <c r="C813" s="984"/>
      <c r="D813" s="1300" t="s">
        <v>1749</v>
      </c>
      <c r="E813" s="1300"/>
      <c r="F813" s="1300"/>
      <c r="G813" s="983"/>
      <c r="I813" s="483"/>
    </row>
    <row r="814" spans="1:9">
      <c r="A814" s="175"/>
      <c r="B814" s="175"/>
      <c r="C814" s="984"/>
      <c r="D814" s="1300"/>
      <c r="E814" s="1300"/>
      <c r="F814" s="1300"/>
      <c r="G814" s="983"/>
      <c r="I814" s="490"/>
    </row>
    <row r="815" spans="1:9">
      <c r="A815" s="175"/>
      <c r="B815" s="175"/>
      <c r="C815" s="984"/>
      <c r="D815" s="1300"/>
      <c r="E815" s="1300"/>
      <c r="F815" s="1300"/>
      <c r="G815" s="983"/>
      <c r="I815" s="490"/>
    </row>
    <row r="816" spans="1:9">
      <c r="A816" s="175"/>
      <c r="B816" s="175"/>
      <c r="C816" s="984"/>
      <c r="D816" s="1300"/>
      <c r="E816" s="1300"/>
      <c r="F816" s="1300"/>
      <c r="G816" s="983"/>
      <c r="I816" s="490"/>
    </row>
    <row r="817" spans="1:9">
      <c r="A817" s="175"/>
      <c r="B817" s="175"/>
      <c r="C817" s="984"/>
      <c r="D817" s="1300"/>
      <c r="E817" s="1300"/>
      <c r="F817" s="1300"/>
      <c r="G817" s="983"/>
      <c r="I817" s="490"/>
    </row>
    <row r="818" spans="1:9">
      <c r="A818" s="175"/>
      <c r="B818" s="175"/>
      <c r="C818" s="984"/>
      <c r="D818" s="1300"/>
      <c r="E818" s="1300"/>
      <c r="F818" s="1300"/>
      <c r="G818" s="983"/>
      <c r="I818" s="490"/>
    </row>
    <row r="819" spans="1:9">
      <c r="A819" s="175"/>
      <c r="B819" s="175"/>
      <c r="C819" s="984"/>
      <c r="D819" s="977"/>
      <c r="E819" s="977"/>
      <c r="F819" s="977"/>
      <c r="G819" s="983"/>
      <c r="I819" s="490"/>
    </row>
    <row r="820" spans="1:9">
      <c r="A820" s="175"/>
      <c r="B820" s="485" t="s">
        <v>2645</v>
      </c>
      <c r="C820" s="984"/>
      <c r="D820" s="1300" t="s">
        <v>1750</v>
      </c>
      <c r="E820" s="1300"/>
      <c r="F820" s="1300"/>
      <c r="G820" s="983"/>
      <c r="I820" s="483"/>
    </row>
    <row r="821" spans="1:9">
      <c r="A821" s="175"/>
      <c r="B821" s="175"/>
      <c r="C821" s="984"/>
      <c r="D821" s="1300"/>
      <c r="E821" s="1300"/>
      <c r="F821" s="1300"/>
      <c r="G821" s="983"/>
      <c r="I821" s="490"/>
    </row>
    <row r="822" spans="1:9">
      <c r="A822" s="175"/>
      <c r="B822" s="175"/>
      <c r="C822" s="984"/>
      <c r="D822" s="1300"/>
      <c r="E822" s="1300"/>
      <c r="F822" s="1300"/>
      <c r="G822" s="983"/>
      <c r="I822" s="490"/>
    </row>
    <row r="823" spans="1:9">
      <c r="A823" s="175"/>
      <c r="B823" s="175"/>
      <c r="C823" s="984"/>
      <c r="D823" s="1300"/>
      <c r="E823" s="1300"/>
      <c r="F823" s="1300"/>
      <c r="G823" s="983"/>
      <c r="I823" s="490"/>
    </row>
    <row r="824" spans="1:9">
      <c r="A824" s="175"/>
      <c r="B824" s="175"/>
      <c r="C824" s="984"/>
      <c r="D824" s="1300"/>
      <c r="E824" s="1300"/>
      <c r="F824" s="1300"/>
      <c r="G824" s="983"/>
      <c r="I824" s="490"/>
    </row>
    <row r="825" spans="1:9">
      <c r="A825" s="175"/>
      <c r="B825" s="175"/>
      <c r="C825" s="984"/>
      <c r="D825" s="1300"/>
      <c r="E825" s="1300"/>
      <c r="F825" s="1300"/>
      <c r="G825" s="983"/>
      <c r="I825" s="490"/>
    </row>
    <row r="826" spans="1:9">
      <c r="A826" s="175"/>
      <c r="B826" s="175"/>
      <c r="C826" s="984"/>
      <c r="D826" s="977"/>
      <c r="E826" s="977"/>
      <c r="F826" s="977"/>
      <c r="G826" s="983"/>
      <c r="I826" s="490"/>
    </row>
    <row r="827" spans="1:9">
      <c r="A827" s="175"/>
      <c r="B827" s="485" t="s">
        <v>2645</v>
      </c>
      <c r="C827" s="984"/>
      <c r="D827" s="1296" t="s">
        <v>1751</v>
      </c>
      <c r="E827" s="1296"/>
      <c r="F827" s="1296"/>
      <c r="G827" s="983"/>
      <c r="I827" s="483"/>
    </row>
    <row r="828" spans="1:9">
      <c r="A828" s="175"/>
      <c r="B828" s="175"/>
      <c r="C828" s="984"/>
      <c r="D828" s="1296"/>
      <c r="E828" s="1296"/>
      <c r="F828" s="1296"/>
      <c r="G828" s="983"/>
      <c r="I828" s="490"/>
    </row>
    <row r="829" spans="1:9">
      <c r="A829" s="13"/>
      <c r="B829" s="13"/>
      <c r="C829" s="984"/>
      <c r="D829" s="1296"/>
      <c r="E829" s="1296"/>
      <c r="F829" s="1296"/>
      <c r="G829" s="983"/>
      <c r="I829" s="490"/>
    </row>
    <row r="830" spans="1:9">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294" t="s">
        <v>1752</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1792</v>
      </c>
      <c r="E836" s="1316"/>
      <c r="F836" s="1316"/>
      <c r="G836" s="3"/>
      <c r="I836" s="490"/>
    </row>
    <row r="837" spans="1:9" ht="14.25" customHeight="1">
      <c r="A837" s="175"/>
      <c r="B837" s="175"/>
      <c r="C837" s="354"/>
      <c r="D837" s="1270" t="s">
        <v>1753</v>
      </c>
      <c r="E837" s="1270"/>
      <c r="F837" s="1270"/>
      <c r="G837" s="3"/>
      <c r="I837" s="490"/>
    </row>
    <row r="838" spans="1:9" ht="12.75" customHeight="1">
      <c r="A838" s="175"/>
      <c r="B838" s="175"/>
      <c r="C838" s="354"/>
      <c r="D838" s="441"/>
      <c r="E838" s="441"/>
      <c r="F838" s="441"/>
      <c r="G838" s="3"/>
      <c r="I838" s="490"/>
    </row>
    <row r="839" spans="1:9" ht="12.75" customHeight="1">
      <c r="A839" s="354"/>
      <c r="B839" s="485" t="s">
        <v>2644</v>
      </c>
      <c r="C839" s="984"/>
      <c r="D839" s="1270" t="s">
        <v>1754</v>
      </c>
      <c r="E839" s="1270"/>
      <c r="F839" s="1270"/>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7" t="s">
        <v>2033</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2644</v>
      </c>
      <c r="C853" s="984"/>
      <c r="D853" s="1270" t="s">
        <v>1755</v>
      </c>
      <c r="E853" s="1270"/>
      <c r="F853" s="1270"/>
      <c r="G853" s="3"/>
      <c r="I853" s="490" t="s">
        <v>1857</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2645</v>
      </c>
      <c r="C857" s="984"/>
      <c r="D857" s="1316" t="s">
        <v>1756</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2028</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2645</v>
      </c>
      <c r="C866" s="984"/>
      <c r="D866" s="1270" t="s">
        <v>1757</v>
      </c>
      <c r="E866" s="1270"/>
      <c r="F866" s="1270"/>
      <c r="G866" s="3"/>
      <c r="I866" s="490" t="s">
        <v>1855</v>
      </c>
    </row>
    <row r="867" spans="1:9" ht="12.75" customHeight="1">
      <c r="A867" s="175"/>
      <c r="B867" s="175"/>
      <c r="C867" s="984"/>
      <c r="D867" s="1270" t="s">
        <v>1758</v>
      </c>
      <c r="E867" s="1270"/>
      <c r="F867" s="1270"/>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2645</v>
      </c>
      <c r="C870" s="984"/>
      <c r="D870" s="1270" t="s">
        <v>1759</v>
      </c>
      <c r="E870" s="1270"/>
      <c r="F870" s="1270"/>
      <c r="G870" s="3"/>
      <c r="I870" s="490" t="s">
        <v>1858</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1793</v>
      </c>
      <c r="E877" s="1297"/>
      <c r="F877" s="1297"/>
      <c r="G877" s="983"/>
      <c r="I877" s="490"/>
    </row>
    <row r="878" spans="1:9" ht="12.75" customHeight="1">
      <c r="A878" s="354"/>
      <c r="B878" s="354"/>
      <c r="C878" s="174"/>
      <c r="D878" s="1315" t="s">
        <v>1761</v>
      </c>
      <c r="E878" s="1315"/>
      <c r="F878" s="1315"/>
      <c r="G878" s="983"/>
      <c r="I878" s="490"/>
    </row>
    <row r="879" spans="1:9" ht="12.75" customHeight="1">
      <c r="A879" s="354"/>
      <c r="B879" s="354"/>
      <c r="C879" s="174"/>
      <c r="D879" s="990"/>
      <c r="E879" s="990"/>
      <c r="F879" s="990"/>
      <c r="G879" s="983"/>
      <c r="I879" s="490"/>
    </row>
    <row r="880" spans="1:9" ht="12.75" customHeight="1">
      <c r="A880" s="175"/>
      <c r="B880" s="485" t="s">
        <v>2644</v>
      </c>
      <c r="C880" s="354"/>
      <c r="D880" s="1298" t="s">
        <v>1762</v>
      </c>
      <c r="E880" s="1298"/>
      <c r="F880" s="1298"/>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2644</v>
      </c>
      <c r="C883" s="354"/>
      <c r="D883" s="1270" t="s">
        <v>1763</v>
      </c>
      <c r="E883" s="1322"/>
      <c r="F883" s="1322"/>
      <c r="G883" s="3"/>
      <c r="I883" s="490" t="s">
        <v>1858</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2645</v>
      </c>
      <c r="C886" s="354"/>
      <c r="D886" s="1323" t="s">
        <v>1764</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2028</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2645</v>
      </c>
      <c r="C895" s="354"/>
      <c r="D895" s="1289" t="s">
        <v>1757</v>
      </c>
      <c r="E895" s="1289"/>
      <c r="F895" s="1289"/>
      <c r="G895" s="983"/>
      <c r="I895" s="490"/>
    </row>
    <row r="896" spans="1:9" ht="12.75" customHeight="1">
      <c r="A896" s="175"/>
      <c r="B896" s="175"/>
      <c r="C896" s="354"/>
      <c r="D896" s="1289" t="s">
        <v>1758</v>
      </c>
      <c r="E896" s="1289"/>
      <c r="F896" s="1289"/>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2645</v>
      </c>
      <c r="C899" s="354"/>
      <c r="D899" s="1270" t="s">
        <v>1759</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1794</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1800</v>
      </c>
      <c r="E906" s="1292"/>
      <c r="F906" s="1292"/>
      <c r="G906" s="57"/>
      <c r="I906" s="490"/>
    </row>
    <row r="907" spans="1:9" ht="12.75" customHeight="1">
      <c r="A907" s="57"/>
      <c r="B907" s="57"/>
      <c r="C907" s="57"/>
      <c r="D907" s="976"/>
      <c r="E907" s="976"/>
      <c r="F907" s="976"/>
      <c r="G907" s="57"/>
      <c r="I907" s="490"/>
    </row>
    <row r="908" spans="1:9" ht="12.75" customHeight="1">
      <c r="A908" s="57"/>
      <c r="B908" s="485" t="s">
        <v>2644</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1795</v>
      </c>
      <c r="E910" s="1292"/>
      <c r="F910" s="1292"/>
      <c r="G910" s="983"/>
      <c r="I910" s="490"/>
    </row>
    <row r="911" spans="1:9" ht="12.75" customHeight="1">
      <c r="A911" s="172"/>
      <c r="B911" s="172"/>
      <c r="C911" s="172"/>
      <c r="D911" s="1298" t="s">
        <v>1765</v>
      </c>
      <c r="E911" s="1298"/>
      <c r="F911" s="1298"/>
      <c r="G911" s="983"/>
      <c r="I911" s="490"/>
    </row>
    <row r="912" spans="1:9" ht="12.75" customHeight="1">
      <c r="A912" s="984"/>
      <c r="B912" s="984"/>
      <c r="C912" s="984"/>
      <c r="D912" s="2"/>
      <c r="E912" s="983"/>
      <c r="F912" s="983"/>
      <c r="G912" s="983"/>
      <c r="I912" s="490"/>
    </row>
    <row r="913" spans="1:9" ht="12.75" customHeight="1">
      <c r="A913" s="175"/>
      <c r="B913" s="485" t="s">
        <v>2644</v>
      </c>
      <c r="C913" s="354"/>
      <c r="D913" s="1270" t="s">
        <v>1769</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1768</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2644</v>
      </c>
      <c r="C918" s="174"/>
      <c r="D918" s="1281" t="s">
        <v>1766</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2645</v>
      </c>
      <c r="C927" s="984"/>
      <c r="D927" s="1270" t="s">
        <v>1770</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2645</v>
      </c>
      <c r="C930" s="984"/>
      <c r="D930" s="1296" t="s">
        <v>1771</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2645</v>
      </c>
      <c r="C935" s="984"/>
      <c r="D935" s="1298" t="s">
        <v>2029</v>
      </c>
      <c r="E935" s="1298"/>
      <c r="F935" s="1298"/>
      <c r="G935" s="983"/>
      <c r="I935" s="490"/>
    </row>
    <row r="936" spans="1:9" ht="12.75" customHeight="1">
      <c r="A936" s="984"/>
      <c r="B936" s="984"/>
      <c r="C936" s="984"/>
      <c r="D936" s="118"/>
      <c r="E936" s="983"/>
      <c r="F936" s="983"/>
      <c r="G936" s="983"/>
      <c r="I936" s="490"/>
    </row>
    <row r="937" spans="1:9" ht="12.75" customHeight="1">
      <c r="A937" s="984"/>
      <c r="B937" s="485" t="s">
        <v>2645</v>
      </c>
      <c r="C937" s="984"/>
      <c r="D937" s="1298" t="s">
        <v>2030</v>
      </c>
      <c r="E937" s="1298"/>
      <c r="F937" s="1298"/>
      <c r="G937" s="983"/>
      <c r="I937" s="490"/>
    </row>
    <row r="938" spans="1:9" ht="12.75" customHeight="1">
      <c r="A938" s="174"/>
      <c r="B938" s="174"/>
      <c r="C938" s="174"/>
      <c r="D938" s="2"/>
      <c r="E938" s="3"/>
      <c r="F938" s="983"/>
      <c r="G938" s="983"/>
      <c r="I938" s="490"/>
    </row>
    <row r="939" spans="1:9" ht="12.75" customHeight="1">
      <c r="A939" s="992"/>
      <c r="B939" s="485" t="s">
        <v>2644</v>
      </c>
      <c r="C939" s="993"/>
      <c r="D939" s="1281" t="s">
        <v>1767</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2644</v>
      </c>
      <c r="C949" s="174"/>
      <c r="D949" s="1306" t="s">
        <v>1861</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2645</v>
      </c>
      <c r="C957" s="174"/>
      <c r="D957" s="1280" t="s">
        <v>2094</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2645</v>
      </c>
      <c r="C964" s="984"/>
      <c r="D964" s="1296" t="s">
        <v>1772</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2645</v>
      </c>
      <c r="C969" s="174"/>
      <c r="D969" s="1281" t="s">
        <v>1860</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1773</v>
      </c>
      <c r="E974" s="1297"/>
      <c r="F974" s="1297"/>
      <c r="G974" s="3"/>
      <c r="I974" s="490"/>
    </row>
    <row r="975" spans="1:9" ht="12.75" customHeight="1">
      <c r="A975" s="175"/>
      <c r="B975" s="485" t="s">
        <v>2645</v>
      </c>
      <c r="C975" s="354"/>
      <c r="D975" s="1298" t="s">
        <v>1796</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1774</v>
      </c>
      <c r="E977" s="1297"/>
      <c r="F977" s="1297"/>
      <c r="G977"/>
      <c r="I977" s="490"/>
    </row>
    <row r="978" spans="1:9" ht="12.75" customHeight="1">
      <c r="A978" s="175"/>
      <c r="B978" s="485" t="s">
        <v>2644</v>
      </c>
      <c r="C978" s="354"/>
      <c r="D978" s="1270" t="s">
        <v>2031</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1775</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1797</v>
      </c>
      <c r="E996" s="1297"/>
      <c r="F996" s="1297"/>
      <c r="G996" s="3"/>
      <c r="I996" s="490"/>
    </row>
    <row r="997" spans="1:9" ht="12.75" customHeight="1">
      <c r="A997" s="172"/>
      <c r="B997" s="172"/>
      <c r="C997" s="172"/>
      <c r="D997" s="1298" t="s">
        <v>1776</v>
      </c>
      <c r="E997" s="1298"/>
      <c r="F997" s="1298"/>
      <c r="G997" s="3"/>
      <c r="I997" s="490"/>
    </row>
    <row r="998" spans="1:9" ht="12.75" customHeight="1">
      <c r="A998" s="172"/>
      <c r="B998" s="172"/>
      <c r="C998" s="172"/>
      <c r="D998" s="3"/>
      <c r="E998" s="3"/>
      <c r="F998" s="983"/>
      <c r="G998"/>
      <c r="I998" s="490"/>
    </row>
    <row r="999" spans="1:9" ht="12.75" customHeight="1">
      <c r="A999" s="354"/>
      <c r="B999" s="485" t="s">
        <v>2644</v>
      </c>
      <c r="C999" s="354"/>
      <c r="D999" s="1299" t="s">
        <v>1889</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5" t="s">
        <v>1888</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2645</v>
      </c>
      <c r="C1007" s="174"/>
      <c r="D1007" s="1270" t="s">
        <v>1777</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2645</v>
      </c>
      <c r="C1012" s="174"/>
      <c r="D1012" s="1270" t="s">
        <v>2185</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2644</v>
      </c>
      <c r="C1015" s="354"/>
      <c r="D1015" s="1298" t="s">
        <v>1778</v>
      </c>
      <c r="E1015" s="1298"/>
      <c r="F1015" s="1298"/>
      <c r="G1015"/>
      <c r="I1015" s="490"/>
    </row>
    <row r="1016" spans="1:9" ht="12.75" customHeight="1">
      <c r="A1016" s="354"/>
      <c r="B1016" s="354"/>
      <c r="C1016" s="354"/>
      <c r="D1016" s="3"/>
      <c r="E1016" s="3"/>
      <c r="F1016" s="3"/>
      <c r="G1016"/>
      <c r="I1016" s="490"/>
    </row>
    <row r="1017" spans="1:9" ht="12.75" customHeight="1">
      <c r="A1017" s="175"/>
      <c r="B1017" s="485" t="s">
        <v>2645</v>
      </c>
      <c r="C1017" s="354"/>
      <c r="D1017" s="1298" t="s">
        <v>1779</v>
      </c>
      <c r="E1017" s="1298"/>
      <c r="F1017" s="1298"/>
      <c r="G1017"/>
      <c r="I1017" s="490"/>
    </row>
    <row r="1018" spans="1:9" ht="12.75" customHeight="1">
      <c r="A1018" s="354"/>
      <c r="B1018" s="354"/>
      <c r="C1018" s="354"/>
      <c r="D1018" s="118"/>
      <c r="E1018" s="3"/>
      <c r="F1018" s="3"/>
      <c r="G1018"/>
      <c r="I1018" s="490"/>
    </row>
    <row r="1019" spans="1:9" ht="12.75" customHeight="1">
      <c r="A1019" s="175"/>
      <c r="B1019" s="485" t="s">
        <v>2644</v>
      </c>
      <c r="C1019" s="354"/>
      <c r="D1019" s="1298" t="s">
        <v>1780</v>
      </c>
      <c r="E1019" s="1298"/>
      <c r="F1019" s="1298"/>
      <c r="G1019"/>
      <c r="I1019" s="490"/>
    </row>
    <row r="1020" spans="1:9" ht="12.75" customHeight="1">
      <c r="A1020" s="354"/>
      <c r="B1020" s="354"/>
      <c r="C1020" s="354"/>
      <c r="D1020" s="118"/>
      <c r="E1020" s="3"/>
      <c r="F1020" s="3"/>
      <c r="G1020"/>
      <c r="I1020" s="490"/>
    </row>
    <row r="1021" spans="1:9" ht="12.75" customHeight="1">
      <c r="A1021" s="175"/>
      <c r="B1021" s="485" t="s">
        <v>2645</v>
      </c>
      <c r="C1021" s="354"/>
      <c r="D1021" s="1270" t="s">
        <v>1781</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2645</v>
      </c>
      <c r="C1024" s="995"/>
      <c r="D1024" s="1300" t="s">
        <v>1782</v>
      </c>
      <c r="E1024" s="1300"/>
      <c r="F1024" s="1300"/>
      <c r="G1024" s="996"/>
      <c r="I1024" s="490"/>
    </row>
    <row r="1025" spans="1:9" ht="12.75" customHeight="1">
      <c r="A1025" s="995"/>
      <c r="B1025" s="995"/>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2645</v>
      </c>
      <c r="C1027" s="995"/>
      <c r="D1027" s="1293" t="s">
        <v>1783</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2645</v>
      </c>
      <c r="C1029" s="354"/>
      <c r="D1029" s="1298" t="s">
        <v>1784</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2645</v>
      </c>
      <c r="C1031" s="354"/>
      <c r="D1031" s="1270" t="s">
        <v>1785</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1786</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1787</v>
      </c>
      <c r="E1036" s="1292"/>
      <c r="F1036" s="1292"/>
      <c r="G1036" s="3"/>
      <c r="I1036" s="490"/>
    </row>
    <row r="1037" spans="1:9" ht="12.75" customHeight="1">
      <c r="A1037" s="354"/>
      <c r="B1037" s="354"/>
      <c r="C1037" s="354"/>
      <c r="D1037" s="1293" t="s">
        <v>1788</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1802</v>
      </c>
      <c r="E1039" s="1292"/>
      <c r="F1039" s="1292"/>
      <c r="G1039" s="3"/>
      <c r="I1039" s="490"/>
    </row>
    <row r="1040" spans="1:9" ht="12.75" customHeight="1">
      <c r="A1040" s="354"/>
      <c r="B1040" s="485" t="s">
        <v>2644</v>
      </c>
      <c r="C1040" s="354"/>
      <c r="D1040" s="1293" t="s">
        <v>1271</v>
      </c>
      <c r="E1040" s="1293"/>
      <c r="F1040" s="1293"/>
      <c r="G1040" s="3"/>
      <c r="I1040" s="490"/>
    </row>
    <row r="1041" spans="1:9" ht="12.75" customHeight="1">
      <c r="A1041" s="354"/>
      <c r="B1041" s="175"/>
      <c r="C1041" s="354"/>
      <c r="D1041" s="1293" t="s">
        <v>1789</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1798</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1272</v>
      </c>
      <c r="E1045" s="1291"/>
      <c r="F1045" s="1291"/>
      <c r="G1045" s="3"/>
      <c r="I1045" s="490"/>
    </row>
    <row r="1046" spans="1:9" ht="12.75" hidden="1" customHeight="1">
      <c r="A1046" s="118"/>
      <c r="B1046" s="485" t="s">
        <v>307</v>
      </c>
      <c r="D1046" s="1290" t="s">
        <v>1271</v>
      </c>
      <c r="E1046" s="1290"/>
      <c r="F1046" s="1290"/>
      <c r="G1046" s="3"/>
      <c r="I1046" s="490"/>
    </row>
    <row r="1047" spans="1:9" ht="12.75" hidden="1" customHeight="1">
      <c r="A1047" s="118"/>
      <c r="B1047" s="402"/>
      <c r="D1047" s="1290" t="s">
        <v>1799</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1066</v>
      </c>
      <c r="E1049" s="1295"/>
      <c r="F1049" s="1295"/>
      <c r="G1049" s="3"/>
      <c r="I1049" s="490"/>
    </row>
    <row r="1050" spans="1:9" ht="12.75" customHeight="1">
      <c r="A1050" s="319"/>
      <c r="B1050" s="319"/>
      <c r="C1050" s="319"/>
      <c r="D1050" s="1289" t="s">
        <v>2202</v>
      </c>
      <c r="E1050" s="1289"/>
      <c r="F1050" s="1289"/>
      <c r="G1050" s="98"/>
      <c r="I1050" s="490"/>
    </row>
    <row r="1051" spans="1:9" ht="12.75" customHeight="1">
      <c r="A1051" s="175"/>
      <c r="B1051" s="485" t="s">
        <v>2644</v>
      </c>
      <c r="C1051" s="354"/>
      <c r="D1051" s="1289" t="s">
        <v>985</v>
      </c>
      <c r="E1051" s="1289"/>
      <c r="F1051" s="1289"/>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4" t="s">
        <v>2618</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2645</v>
      </c>
      <c r="C1059" s="402"/>
      <c r="D1059" s="1302" t="s">
        <v>1803</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2645</v>
      </c>
      <c r="C1067" s="402"/>
      <c r="D1067" s="402" t="s">
        <v>1801</v>
      </c>
      <c r="I1067" s="490"/>
    </row>
    <row r="1068" spans="1:9">
      <c r="A1068" s="402"/>
      <c r="B1068" s="402"/>
      <c r="C1068" s="402"/>
      <c r="I1068" s="490"/>
    </row>
    <row r="1069" spans="1:9">
      <c r="A1069" s="402"/>
      <c r="B1069" s="485" t="s">
        <v>2644</v>
      </c>
      <c r="C1069" s="402"/>
      <c r="D1069" s="1302" t="s">
        <v>1804</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1805</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2644</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2645</v>
      </c>
      <c r="C1081" s="402"/>
      <c r="D1081" s="1305" t="s">
        <v>2624</v>
      </c>
      <c r="E1081" s="1305"/>
      <c r="F1081" s="1305"/>
      <c r="I1081" s="490"/>
    </row>
    <row r="1082" spans="1:9">
      <c r="A1082" s="402"/>
      <c r="B1082" s="402"/>
      <c r="C1082" s="402"/>
      <c r="D1082" s="1305"/>
      <c r="E1082" s="1305"/>
      <c r="F1082" s="1305"/>
      <c r="I1082" s="490"/>
    </row>
    <row r="1083" spans="1:9">
      <c r="A1083" s="402"/>
      <c r="B1083" s="402"/>
      <c r="C1083" s="402"/>
      <c r="D1083" s="527" t="s">
        <v>2623</v>
      </c>
      <c r="I1083" s="490"/>
    </row>
    <row r="1084" spans="1:9">
      <c r="A1084" s="402"/>
      <c r="B1084" s="402"/>
      <c r="C1084" s="402"/>
      <c r="D1084" s="527"/>
      <c r="I1084" s="490"/>
    </row>
    <row r="1085" spans="1:9">
      <c r="A1085" s="402"/>
      <c r="B1085" s="485" t="s">
        <v>2645</v>
      </c>
      <c r="C1085" s="402"/>
      <c r="D1085" s="119" t="s">
        <v>2632</v>
      </c>
      <c r="I1085" s="490"/>
    </row>
    <row r="1086" spans="1:9">
      <c r="A1086" s="402"/>
      <c r="B1086" s="402"/>
      <c r="C1086" s="402"/>
      <c r="D1086" s="1270" t="s">
        <v>2634</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2645</v>
      </c>
      <c r="C1093" s="402"/>
      <c r="D1093" s="1301" t="s">
        <v>1807</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2635</v>
      </c>
      <c r="I1098" s="490"/>
    </row>
    <row r="1099" spans="1:9">
      <c r="A1099" s="402"/>
      <c r="B1099" s="402"/>
      <c r="C1099" s="402"/>
      <c r="I1099" s="490"/>
    </row>
    <row r="1100" spans="1:9">
      <c r="A1100" s="402"/>
      <c r="B1100" s="485" t="s">
        <v>2645</v>
      </c>
      <c r="C1100" s="402"/>
      <c r="D1100" s="1284" t="s">
        <v>2224</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1809</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2645</v>
      </c>
      <c r="C1107" s="402"/>
      <c r="D1107" s="1303" t="s">
        <v>1903</v>
      </c>
      <c r="E1107" s="1303"/>
      <c r="F1107" s="1303"/>
      <c r="I1107" s="490"/>
    </row>
    <row r="1108" spans="1:9">
      <c r="A1108" s="402"/>
      <c r="B1108" s="402"/>
      <c r="C1108" s="402"/>
      <c r="D1108" s="1303"/>
      <c r="E1108" s="1303"/>
      <c r="F1108" s="1303"/>
      <c r="I1108" s="490"/>
    </row>
    <row r="1109" spans="1:9">
      <c r="A1109" s="402"/>
      <c r="B1109" s="402"/>
      <c r="C1109" s="402"/>
      <c r="D1109" s="1304" t="s">
        <v>2639</v>
      </c>
      <c r="E1109" s="1270"/>
      <c r="F1109" s="1270"/>
      <c r="I1109" s="490"/>
    </row>
    <row r="1110" spans="1:9">
      <c r="A1110" s="402"/>
      <c r="B1110" s="402"/>
      <c r="C1110" s="402"/>
      <c r="D1110" s="527"/>
      <c r="I1110" s="490"/>
    </row>
    <row r="1111" spans="1:9">
      <c r="A1111" s="402"/>
      <c r="B1111" s="485" t="s">
        <v>2645</v>
      </c>
      <c r="C1111" s="402"/>
      <c r="D1111" s="1301" t="s">
        <v>2587</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2645</v>
      </c>
      <c r="C1115" s="402"/>
      <c r="D1115" s="1301" t="s">
        <v>2606</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ht="12.5">
      <c r="A1120" s="402"/>
      <c r="B1120" s="402"/>
      <c r="C1120" s="402"/>
      <c r="D1120" s="527"/>
      <c r="I1120" s="480"/>
    </row>
    <row r="1121" spans="1:9">
      <c r="A1121" s="402"/>
      <c r="B1121" s="485" t="s">
        <v>2645</v>
      </c>
      <c r="C1121" s="402"/>
      <c r="D1121" s="1301" t="s">
        <v>1810</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2644</v>
      </c>
      <c r="C1125" s="402"/>
      <c r="D1125" s="1275" t="s">
        <v>1862</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2645</v>
      </c>
      <c r="C1129" s="402"/>
      <c r="D1129" s="1270" t="s">
        <v>1863</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2645</v>
      </c>
      <c r="C1134" s="402"/>
      <c r="D1134" s="1275" t="s">
        <v>2616</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ht="12.5">
      <c r="A1141" s="402"/>
      <c r="B1141" s="485" t="s">
        <v>2645</v>
      </c>
      <c r="C1141" s="402"/>
      <c r="D1141" s="1302" t="s">
        <v>2588</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90" zoomScale="85" zoomScaleNormal="85" workbookViewId="0">
      <selection activeCell="Z817" sqref="Z817:AE817"/>
    </sheetView>
  </sheetViews>
  <sheetFormatPr defaultColWidth="0" defaultRowHeight="0" customHeight="1" zeroHeight="1"/>
  <cols>
    <col min="1" max="45" width="2.6328125" customWidth="1"/>
    <col min="46" max="46" width="12.453125" customWidth="1"/>
    <col min="47" max="16384" width="12.453125" hidden="1"/>
  </cols>
  <sheetData>
    <row r="1" spans="1:58" ht="12.9" customHeight="1">
      <c r="J1" s="100"/>
      <c r="AS1" s="1026">
        <v>4</v>
      </c>
      <c r="BD1" s="3" t="s">
        <v>2429</v>
      </c>
      <c r="BE1" s="3"/>
      <c r="BF1" s="3"/>
    </row>
    <row r="2" spans="1:58" ht="12.9" customHeight="1">
      <c r="BD2" s="3" t="s">
        <v>2430</v>
      </c>
      <c r="BE2" s="3" t="s">
        <v>2431</v>
      </c>
      <c r="BF2" s="3" t="s">
        <v>2432</v>
      </c>
    </row>
    <row r="3" spans="1:58" ht="12.9" customHeight="1">
      <c r="BD3" s="3" t="s">
        <v>2524</v>
      </c>
      <c r="BE3" t="str">
        <f>AC220</f>
        <v>Bay Area ((Alameda, Contra Costa, Marin, San Francisco, San Mateo, Santa Clara, and Santa Cruz Counties)</v>
      </c>
    </row>
    <row r="4" spans="1:58" ht="12.9" customHeight="1">
      <c r="BD4" s="3" t="s">
        <v>2439</v>
      </c>
      <c r="BE4" s="1180"/>
    </row>
    <row r="5" spans="1:58" ht="12.9" customHeight="1">
      <c r="BD5" s="3" t="s">
        <v>2440</v>
      </c>
      <c r="BE5">
        <f>SUMIF($AC$726:$AC$760,"&lt;=20%",$G$726:G$760)</f>
        <v>0</v>
      </c>
      <c r="BF5" s="3" t="s">
        <v>2445</v>
      </c>
    </row>
    <row r="6" spans="1:58" ht="12.9" customHeight="1">
      <c r="BD6" s="3" t="s">
        <v>2441</v>
      </c>
      <c r="BE6" s="1183">
        <f>SUMIF($AC$726:$AC$760,"&lt;=25%",$G$726:G$760)-SUM($BE$5:BE5)</f>
        <v>0</v>
      </c>
    </row>
    <row r="7" spans="1:58" ht="12.9" customHeight="1">
      <c r="BD7" s="1181" t="s">
        <v>2433</v>
      </c>
      <c r="BE7" s="1183">
        <f>SUMIF($AC$726:$AC$760,"&lt;=30%",$G$726:G$760)-SUM($BE$5:BE6)</f>
        <v>10</v>
      </c>
    </row>
    <row r="8" spans="1:58" ht="26.25" customHeight="1">
      <c r="A8" s="1483" t="s">
        <v>100</v>
      </c>
      <c r="B8" s="1483"/>
      <c r="C8" s="1483"/>
      <c r="D8" s="1483"/>
      <c r="E8" s="1483"/>
      <c r="F8" s="1483"/>
      <c r="G8" s="1483"/>
      <c r="H8" s="1483"/>
      <c r="I8" s="1483"/>
      <c r="J8" s="1483"/>
      <c r="K8" s="1483"/>
      <c r="L8" s="1483"/>
      <c r="M8" s="1483"/>
      <c r="N8" s="1483"/>
      <c r="O8" s="1483"/>
      <c r="P8" s="1483"/>
      <c r="Q8" s="1483"/>
      <c r="R8" s="1483"/>
      <c r="S8" s="1483"/>
      <c r="T8" s="1483"/>
      <c r="U8" s="1483"/>
      <c r="V8" s="1483"/>
      <c r="W8" s="1483"/>
      <c r="X8" s="1483"/>
      <c r="Y8" s="1483"/>
      <c r="Z8" s="1483"/>
      <c r="AA8" s="1483"/>
      <c r="AB8" s="1483"/>
      <c r="AC8" s="1483"/>
      <c r="AD8" s="1483"/>
      <c r="AE8" s="1483"/>
      <c r="AF8" s="1483"/>
      <c r="AG8" s="1483"/>
      <c r="AH8" s="1483"/>
      <c r="AI8" s="1483"/>
      <c r="AJ8" s="1483"/>
      <c r="AK8" s="1483"/>
      <c r="AL8" s="1483"/>
      <c r="AM8" s="1483"/>
      <c r="AN8" s="1483"/>
      <c r="AO8" s="1483"/>
      <c r="AP8" s="1483"/>
      <c r="AQ8" s="1483"/>
      <c r="AR8" s="1483"/>
      <c r="AS8" s="1483"/>
      <c r="AT8" s="1483"/>
      <c r="AU8" s="894"/>
      <c r="AV8" s="894"/>
      <c r="AW8" s="894"/>
      <c r="AX8" s="894"/>
      <c r="AY8" s="894"/>
      <c r="BD8" s="3" t="s">
        <v>2442</v>
      </c>
      <c r="BE8" s="1183">
        <f>SUMIF($AC$726:$AC$760,"&lt;=35%",$G$726:G$760)-SUM($BE$5:BE7)</f>
        <v>0</v>
      </c>
    </row>
    <row r="9" spans="1:58" ht="12.9" customHeight="1">
      <c r="A9" s="1345" t="s">
        <v>2034</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
      <c r="AV9" s="13"/>
      <c r="AW9" s="13"/>
      <c r="AX9" s="13"/>
      <c r="AY9" s="13"/>
      <c r="BD9" s="1182" t="s">
        <v>2434</v>
      </c>
      <c r="BE9" s="1183">
        <f>SUMIF($AC$726:$AC$760,"&lt;=40%",$G$726:G$760)-SUM($BE$5:BE8)</f>
        <v>0</v>
      </c>
    </row>
    <row r="10" spans="1:58" ht="12.9" customHeight="1">
      <c r="A10" s="1345" t="s">
        <v>2608</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c r="AT10" s="1345"/>
      <c r="AU10" s="13"/>
      <c r="AV10" s="13"/>
      <c r="AW10" s="13"/>
      <c r="AX10" s="13"/>
      <c r="AY10" s="13"/>
      <c r="BD10" s="3" t="s">
        <v>2443</v>
      </c>
      <c r="BE10" s="1183">
        <f>SUMIF($AC$726:$AC$760,"&lt;=45%",$G$726:G$760)-SUM($BE$5:BE9)</f>
        <v>0</v>
      </c>
    </row>
    <row r="11" spans="1:58" ht="12.9" customHeight="1">
      <c r="A11" s="1345" t="s">
        <v>2532</v>
      </c>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c r="AT11" s="1345"/>
      <c r="AU11" s="13"/>
      <c r="AV11" s="13"/>
      <c r="AW11" s="13"/>
      <c r="AX11" s="13"/>
      <c r="AY11" s="13"/>
      <c r="BD11" s="1181" t="s">
        <v>2435</v>
      </c>
      <c r="BE11" s="1183">
        <f>SUMIF($AC$726:$AC$760,"&lt;=50%",$G$726:G$760)-SUM($BE$5:BE10)</f>
        <v>7</v>
      </c>
    </row>
    <row r="12" spans="1:58" ht="12.9" customHeight="1">
      <c r="A12" s="1484" t="s">
        <v>2643</v>
      </c>
      <c r="B12" s="1484"/>
      <c r="C12" s="1484"/>
      <c r="D12" s="1484"/>
      <c r="E12" s="1484"/>
      <c r="F12" s="1484"/>
      <c r="G12" s="1484"/>
      <c r="H12" s="1484"/>
      <c r="I12" s="1484"/>
      <c r="J12" s="1484"/>
      <c r="K12" s="1484"/>
      <c r="L12" s="1484"/>
      <c r="M12" s="1484"/>
      <c r="N12" s="1484"/>
      <c r="O12" s="1484"/>
      <c r="P12" s="1484"/>
      <c r="Q12" s="1484"/>
      <c r="R12" s="1484"/>
      <c r="S12" s="1484"/>
      <c r="T12" s="1484"/>
      <c r="U12" s="1484"/>
      <c r="V12" s="1484"/>
      <c r="W12" s="1484"/>
      <c r="X12" s="1484"/>
      <c r="Y12" s="1484"/>
      <c r="Z12" s="1484"/>
      <c r="AA12" s="1484"/>
      <c r="AB12" s="1484"/>
      <c r="AC12" s="1484"/>
      <c r="AD12" s="1484"/>
      <c r="AE12" s="1484"/>
      <c r="AF12" s="1484"/>
      <c r="AG12" s="1484"/>
      <c r="AH12" s="1484"/>
      <c r="AI12" s="1484"/>
      <c r="AJ12" s="1484"/>
      <c r="AK12" s="1484"/>
      <c r="AL12" s="1484"/>
      <c r="AM12" s="1484"/>
      <c r="AN12" s="1484"/>
      <c r="AO12" s="1484"/>
      <c r="AP12" s="1484"/>
      <c r="AQ12" s="1484"/>
      <c r="AR12" s="1484"/>
      <c r="AS12" s="1484"/>
      <c r="AT12" s="1484"/>
      <c r="AU12" s="6"/>
      <c r="AV12" s="6"/>
      <c r="AW12" s="6"/>
      <c r="AX12" s="6"/>
      <c r="AY12" s="6"/>
      <c r="BD12" s="3" t="s">
        <v>2444</v>
      </c>
      <c r="BE12" s="1183">
        <f>SUMIF($AC$726:$AC$760,"&lt;=55%",$G$726:G$760)-SUM($BE$5:BE11)</f>
        <v>0</v>
      </c>
    </row>
    <row r="13" spans="1:58" ht="12.9" customHeight="1">
      <c r="A13" s="1268" t="s">
        <v>2035</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2436</v>
      </c>
      <c r="BE13" s="1183">
        <f>SUMIF($AC$726:$AC$760,"&lt;=60%",$G$726:G$760)-SUM($BE$5:BE12)</f>
        <v>9</v>
      </c>
    </row>
    <row r="14" spans="1:58" ht="12.9"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2437</v>
      </c>
      <c r="BE14" s="1183">
        <f>SUMIF($AC$726:$AC$760,"&lt;=70%",$G$726:G$760)-SUM($BE$5:BE13)</f>
        <v>36</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 customHeight="1">
      <c r="A16" s="57" t="s">
        <v>2036</v>
      </c>
      <c r="C16" s="4"/>
      <c r="D16" s="4"/>
      <c r="E16" s="4"/>
      <c r="F16" s="4"/>
      <c r="G16" s="4"/>
      <c r="H16" s="1491" t="s">
        <v>2646</v>
      </c>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BD16" s="1182" t="s">
        <v>656</v>
      </c>
      <c r="BE16" s="1183" t="str">
        <f>Application!H18</f>
        <v xml:space="preserve">The Ridge on Masonic </v>
      </c>
    </row>
    <row r="17" spans="1:58" ht="12.9" customHeight="1">
      <c r="BD17" s="1181" t="s">
        <v>2450</v>
      </c>
      <c r="BE17" s="1183">
        <f>Application!AA943</f>
        <v>0</v>
      </c>
    </row>
    <row r="18" spans="1:58" ht="12.9" customHeight="1">
      <c r="A18" s="57" t="s">
        <v>101</v>
      </c>
      <c r="C18" s="4"/>
      <c r="D18" s="4"/>
      <c r="E18" s="4"/>
      <c r="F18" s="4"/>
      <c r="G18" s="4"/>
      <c r="H18" s="1439" t="s">
        <v>2647</v>
      </c>
      <c r="I18" s="1489"/>
      <c r="J18" s="1489"/>
      <c r="K18" s="1489"/>
      <c r="L18" s="1489"/>
      <c r="M18" s="1489"/>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BD18" s="1182" t="s">
        <v>2451</v>
      </c>
      <c r="BE18" s="1183">
        <f>AA943</f>
        <v>0</v>
      </c>
    </row>
    <row r="19" spans="1:58" ht="12.9" customHeight="1">
      <c r="BD19" s="1181" t="s">
        <v>2452</v>
      </c>
      <c r="BE19" s="1183">
        <f>Application!M26</f>
        <v>2477078</v>
      </c>
    </row>
    <row r="20" spans="1:58" ht="12.9" customHeight="1">
      <c r="A20" s="1485" t="s">
        <v>873</v>
      </c>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c r="AT20" s="1485"/>
      <c r="AU20" s="896"/>
      <c r="AV20" s="896"/>
      <c r="AW20" s="896"/>
      <c r="AX20" s="896"/>
      <c r="AY20" s="896"/>
      <c r="BD20" s="1182" t="s">
        <v>2453</v>
      </c>
      <c r="BE20" s="1183">
        <f>Application!M27</f>
        <v>12600000</v>
      </c>
    </row>
    <row r="21" spans="1:58" ht="12.9" customHeight="1">
      <c r="A21" s="1409" t="s">
        <v>1009</v>
      </c>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897"/>
      <c r="AN21" s="897"/>
      <c r="AO21" s="897"/>
      <c r="AP21" s="897"/>
      <c r="AQ21" s="897"/>
      <c r="AR21" s="897"/>
      <c r="AS21" s="897"/>
      <c r="AT21" s="897"/>
      <c r="AU21" s="897"/>
      <c r="AV21" s="897"/>
      <c r="AW21" s="897"/>
      <c r="AX21" s="897"/>
      <c r="AY21" s="897"/>
      <c r="BD21" s="1181" t="s">
        <v>2454</v>
      </c>
      <c r="BE21" s="1183">
        <f>Application!AM562</f>
        <v>15800000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55046230</v>
      </c>
      <c r="BF22" s="3" t="s">
        <v>2525</v>
      </c>
    </row>
    <row r="23" spans="1:58" ht="12.9" customHeight="1">
      <c r="A23" s="1303" t="s">
        <v>2102</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2455</v>
      </c>
      <c r="BE23" s="1183">
        <f>'Sources and Uses Budget'!B4</f>
        <v>5000000</v>
      </c>
    </row>
    <row r="24" spans="1:58" ht="12.9"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2456</v>
      </c>
      <c r="BE24" s="1183">
        <f>Application!AG459</f>
        <v>65516</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 Average Income</v>
      </c>
    </row>
    <row r="26" spans="1:58" ht="12.9" customHeight="1">
      <c r="A26" s="4"/>
      <c r="C26" s="4"/>
      <c r="D26" s="4"/>
      <c r="E26" s="4"/>
      <c r="F26" s="4"/>
      <c r="G26" s="4"/>
      <c r="H26" s="4"/>
      <c r="I26" s="4"/>
      <c r="J26" s="4"/>
      <c r="K26" s="4"/>
      <c r="L26" s="4"/>
      <c r="M26" s="1490">
        <f>'Basis &amp; Credits'!AB56</f>
        <v>2477078</v>
      </c>
      <c r="N26" s="1490"/>
      <c r="O26" s="1490"/>
      <c r="P26" s="1490"/>
      <c r="Q26" s="1490"/>
      <c r="R26" s="4" t="s">
        <v>759</v>
      </c>
      <c r="S26" s="4"/>
      <c r="T26" s="4"/>
      <c r="U26" s="4"/>
      <c r="V26" s="4"/>
      <c r="W26" s="4"/>
      <c r="X26" s="4"/>
      <c r="Y26" s="4"/>
      <c r="Z26" s="4"/>
      <c r="AF26" s="4"/>
      <c r="AG26" s="4"/>
      <c r="AH26" s="4"/>
      <c r="AI26" s="4"/>
      <c r="AJ26" s="4"/>
      <c r="AK26" s="4"/>
      <c r="BD26" s="1182" t="s">
        <v>1628</v>
      </c>
      <c r="BE26" s="1183" t="b">
        <f>Application!M365="Yes"</f>
        <v>0</v>
      </c>
    </row>
    <row r="27" spans="1:58" ht="12.9" customHeight="1">
      <c r="A27" s="4"/>
      <c r="C27" s="4"/>
      <c r="D27" s="4"/>
      <c r="E27" s="4"/>
      <c r="F27" s="4"/>
      <c r="G27" s="4"/>
      <c r="H27" s="4"/>
      <c r="I27" s="4"/>
      <c r="J27" s="4"/>
      <c r="K27" s="4"/>
      <c r="L27" s="4"/>
      <c r="M27" s="1410">
        <f>'Basis &amp; Credits'!AB78</f>
        <v>12600000</v>
      </c>
      <c r="N27" s="1410"/>
      <c r="O27" s="1410"/>
      <c r="P27" s="1410"/>
      <c r="Q27" s="1410"/>
      <c r="R27" s="3" t="s">
        <v>1267</v>
      </c>
      <c r="S27" s="4"/>
      <c r="T27" s="4"/>
      <c r="U27" s="4"/>
      <c r="V27" s="4"/>
      <c r="W27" s="4"/>
      <c r="X27" s="4"/>
      <c r="Y27" s="4"/>
      <c r="Z27" s="4"/>
      <c r="AF27" s="4"/>
      <c r="AG27" s="4"/>
      <c r="AH27" s="4"/>
      <c r="AI27" s="4"/>
      <c r="AJ27" s="4"/>
      <c r="AK27" s="4"/>
      <c r="BD27" s="1181" t="s">
        <v>2055</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 customHeight="1">
      <c r="A29" s="1486" t="s">
        <v>2103</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181" t="s">
        <v>2459</v>
      </c>
      <c r="BE29" s="1183" t="b">
        <f>Application!M367="Yes"</f>
        <v>0</v>
      </c>
    </row>
    <row r="30" spans="1:58" ht="12.9"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20"/>
      <c r="BD30" s="1182" t="s">
        <v>28</v>
      </c>
      <c r="BE30" s="1183" t="b">
        <f>Application!AJ364="Yes"</f>
        <v>1</v>
      </c>
    </row>
    <row r="31" spans="1:58" ht="12.9"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20"/>
      <c r="AV31" s="20"/>
      <c r="AW31" s="20"/>
      <c r="AX31" s="20"/>
      <c r="AY31" s="20"/>
      <c r="AZ31" s="20"/>
      <c r="BD31" s="1181" t="s">
        <v>2460</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4</v>
      </c>
    </row>
    <row r="33" spans="1:57" ht="12.9" hidden="1" customHeight="1">
      <c r="A33" s="519" t="s">
        <v>1278</v>
      </c>
      <c r="C33" s="519"/>
      <c r="D33" s="519"/>
      <c r="E33" s="519"/>
      <c r="F33" s="519"/>
      <c r="G33" s="519"/>
      <c r="H33" s="519"/>
      <c r="I33" s="519"/>
      <c r="J33" s="519"/>
      <c r="K33" s="519"/>
      <c r="L33" s="519"/>
      <c r="M33" s="519"/>
      <c r="N33" s="519"/>
      <c r="O33" s="1341" t="s">
        <v>669</v>
      </c>
      <c r="P33" s="1341"/>
      <c r="Q33" s="1487" t="s">
        <v>2104</v>
      </c>
      <c r="R33" s="1487"/>
      <c r="S33" s="1487"/>
      <c r="T33" s="1487"/>
      <c r="U33" s="1487"/>
      <c r="V33" s="1487"/>
      <c r="W33" s="1487"/>
      <c r="X33" s="1487"/>
      <c r="Y33" s="1487"/>
      <c r="Z33" s="1487"/>
      <c r="AA33" s="1487"/>
      <c r="AB33" s="1487"/>
      <c r="AC33" s="1487"/>
      <c r="AD33" s="1487"/>
      <c r="AE33" s="1487"/>
      <c r="AF33" s="1487"/>
      <c r="AG33" s="1487"/>
      <c r="AH33" s="1487"/>
      <c r="AI33" s="1487"/>
      <c r="AJ33" s="1487"/>
      <c r="AK33" s="1487"/>
      <c r="AL33" s="1487"/>
      <c r="AM33" s="1487"/>
      <c r="AN33" s="1487"/>
      <c r="AO33" s="1487"/>
      <c r="AP33" s="1487"/>
      <c r="AQ33" s="1487"/>
      <c r="AR33" s="1487"/>
      <c r="AS33" s="1487"/>
      <c r="AT33" s="1487"/>
      <c r="AU33" s="20"/>
      <c r="AV33" s="20"/>
      <c r="AW33" s="20"/>
      <c r="AX33" s="20"/>
      <c r="AY33" s="20"/>
      <c r="BD33" s="1181" t="s">
        <v>2526</v>
      </c>
      <c r="BE33" s="1183" t="str">
        <f>Application!D220</f>
        <v>South and West Bay Region: San Mateo and Santa Clara Counties</v>
      </c>
    </row>
    <row r="34" spans="1:57" ht="12.9" hidden="1" customHeight="1">
      <c r="A34" s="1486" t="s">
        <v>2105</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20"/>
      <c r="AV34" s="20"/>
      <c r="AW34" s="20"/>
      <c r="AX34" s="20"/>
      <c r="AY34" s="20"/>
      <c r="AZ34" s="20"/>
      <c r="BD34" s="1182" t="s">
        <v>2462</v>
      </c>
      <c r="BE34" s="1183" t="str">
        <f>Application!I185</f>
        <v>951 Old County Road</v>
      </c>
    </row>
    <row r="35" spans="1:57" ht="12.9" hidden="1"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20"/>
      <c r="AV35" s="20"/>
      <c r="AW35" s="20"/>
      <c r="AX35" s="20"/>
      <c r="AY35" s="20"/>
      <c r="AZ35" s="20"/>
      <c r="BD35" s="1181" t="s">
        <v>2463</v>
      </c>
      <c r="BE35" s="1183" t="str">
        <f>IF(Application!E187="","",Application!E187)</f>
        <v/>
      </c>
    </row>
    <row r="36" spans="1:57" ht="12.9" hidden="1"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20"/>
      <c r="AV36" s="20"/>
      <c r="AW36" s="20"/>
      <c r="AX36" s="20"/>
      <c r="AY36" s="20"/>
      <c r="AZ36" s="20"/>
      <c r="BD36" s="1182" t="s">
        <v>2464</v>
      </c>
      <c r="BE36" s="1183" t="str">
        <f>Application!I189</f>
        <v>Belmont</v>
      </c>
    </row>
    <row r="37" spans="1:57" ht="12.9" hidden="1"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20"/>
      <c r="BD37" s="1181" t="s">
        <v>2465</v>
      </c>
      <c r="BE37" s="1183" t="str">
        <f>Application!T189</f>
        <v>San Mateo</v>
      </c>
    </row>
    <row r="38" spans="1:57" ht="12.9" hidden="1" customHeight="1">
      <c r="A38" s="3"/>
      <c r="AZ38" s="20"/>
      <c r="BD38" s="1182" t="s">
        <v>2466</v>
      </c>
      <c r="BE38" s="1183">
        <f>Application!I190</f>
        <v>94002</v>
      </c>
    </row>
    <row r="39" spans="1:57" ht="12.9" customHeight="1">
      <c r="A39" s="1270" t="s">
        <v>2106</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2467</v>
      </c>
      <c r="BE39" s="1183">
        <f>Application!AG446</f>
        <v>63</v>
      </c>
    </row>
    <row r="40" spans="1:57" ht="12.9"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384</v>
      </c>
      <c r="BE40" s="1183">
        <f>Application!AG449</f>
        <v>62</v>
      </c>
    </row>
    <row r="41" spans="1:57" ht="12.9"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287</v>
      </c>
      <c r="BE41" s="1183">
        <f>Application!AG447</f>
        <v>0</v>
      </c>
    </row>
    <row r="42" spans="1:57" ht="12.9"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2468</v>
      </c>
      <c r="BE42" s="1185">
        <f>Application!AC761</f>
        <v>0.59838709677419355</v>
      </c>
    </row>
    <row r="43" spans="1:57" ht="12.9"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2469</v>
      </c>
      <c r="BE43" s="1185">
        <f>Application!AH761</f>
        <v>0.59842044334450117</v>
      </c>
    </row>
    <row r="44" spans="1:57" ht="12.9"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2470</v>
      </c>
      <c r="BE44" s="1183">
        <f>Application!AC463</f>
        <v>873749.68253968249</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v>
      </c>
    </row>
    <row r="46" spans="1:57" ht="12.9" customHeight="1">
      <c r="A46" s="1303" t="s">
        <v>2107</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2472</v>
      </c>
      <c r="BE46" s="1183" t="b">
        <f>Application!T195="Yes"</f>
        <v>1</v>
      </c>
    </row>
    <row r="47" spans="1:57" ht="12.9"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2473</v>
      </c>
      <c r="BE47" s="1183" t="b">
        <f>Application!T196="Yes"</f>
        <v>0</v>
      </c>
    </row>
    <row r="48" spans="1:57" ht="12.9"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2474</v>
      </c>
      <c r="BE48" s="1183" t="str">
        <f>Application!M252</f>
        <v>Community Revitalization and Development Corporation</v>
      </c>
    </row>
    <row r="49" spans="1:57" ht="12.9"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2475</v>
      </c>
      <c r="BE49" s="1183" t="str">
        <f>Application!M255</f>
        <v>David Rutledge</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f>Application!AA258</f>
        <v>0</v>
      </c>
    </row>
    <row r="51" spans="1:57" ht="12.9" customHeight="1">
      <c r="A51" s="1270" t="s">
        <v>2108</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2477</v>
      </c>
      <c r="BE51" s="1183" t="str">
        <f>Application!M260</f>
        <v>951 Old County AGP LLC</v>
      </c>
    </row>
    <row r="52" spans="1:57" ht="12.9"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2478</v>
      </c>
      <c r="BE52" s="1183" t="str">
        <f>Application!M263</f>
        <v>Paul Salib</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t="str">
        <f>Application!AA266</f>
        <v>CRP Affordable Housing and Community Development LLC</v>
      </c>
    </row>
    <row r="54" spans="1:57" ht="12.9" customHeight="1">
      <c r="A54" s="1270" t="s">
        <v>2109</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2480</v>
      </c>
      <c r="BE54" s="1183">
        <f>Application!M268</f>
        <v>0</v>
      </c>
    </row>
    <row r="55" spans="1:57" ht="12.9"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2481</v>
      </c>
      <c r="BE55" s="1183">
        <f>Application!M271</f>
        <v>0</v>
      </c>
    </row>
    <row r="56" spans="1:57" ht="12.9"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2482</v>
      </c>
      <c r="BE56" s="1183">
        <f>Application!AA274</f>
        <v>0</v>
      </c>
    </row>
    <row r="57" spans="1:57" ht="12.9"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2483</v>
      </c>
      <c r="BE57" s="1183" t="str">
        <f>Application!H296</f>
        <v>CRP Affordable Housing and Community Development LLC</v>
      </c>
    </row>
    <row r="58" spans="1:57" ht="12.9"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2484</v>
      </c>
      <c r="BE58" s="1183" t="str">
        <f>Application!H297</f>
        <v>122 E 42nd Street, Suite 1903</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New York, NY 10168</v>
      </c>
    </row>
    <row r="60" spans="1:57" ht="12.9" customHeight="1">
      <c r="A60" s="1270" t="s">
        <v>2110</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2486</v>
      </c>
      <c r="BE60" s="1183" t="str">
        <f>Application!H299</f>
        <v>Paul Salib</v>
      </c>
    </row>
    <row r="61" spans="1:57" ht="12.9"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2487</v>
      </c>
      <c r="BE61" s="1183" t="str">
        <f>Application!H302</f>
        <v>psalib@crpaffordable.com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0.84991514195354356</v>
      </c>
    </row>
    <row r="63" spans="1:57" ht="12.9"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0.9</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 customHeight="1">
      <c r="A65" s="1488" t="s">
        <v>2112</v>
      </c>
      <c r="B65" s="1488"/>
      <c r="C65" s="1488"/>
      <c r="D65" s="1488"/>
      <c r="E65" s="1488"/>
      <c r="F65" s="1488"/>
      <c r="G65" s="1488"/>
      <c r="H65" s="1488"/>
      <c r="I65" s="1488"/>
      <c r="J65" s="1488"/>
      <c r="K65" s="1488"/>
      <c r="L65" s="1488"/>
      <c r="M65" s="1488"/>
      <c r="N65" s="1488"/>
      <c r="O65" s="1488"/>
      <c r="P65" s="1488"/>
      <c r="Q65" s="1488"/>
      <c r="R65" s="1488"/>
      <c r="S65" s="1488"/>
      <c r="T65" s="1488"/>
      <c r="U65" s="1488"/>
      <c r="V65" s="1488"/>
      <c r="W65" s="1488"/>
      <c r="X65" s="1488"/>
      <c r="Y65" s="1488"/>
      <c r="Z65" s="1488"/>
      <c r="AA65" s="1488"/>
      <c r="AB65" s="1488"/>
      <c r="AC65" s="1488"/>
      <c r="AD65" s="1488"/>
      <c r="AE65" s="1488"/>
      <c r="AF65" s="1488"/>
      <c r="AG65" s="1488"/>
      <c r="AH65" s="1488"/>
      <c r="AI65" s="1488"/>
      <c r="AJ65" s="1488"/>
      <c r="AK65" s="1488"/>
      <c r="AL65" s="1488"/>
      <c r="AM65" s="1488"/>
      <c r="AN65" s="1488"/>
      <c r="AO65" s="1488"/>
      <c r="AP65" s="1488"/>
      <c r="AQ65" s="1488"/>
      <c r="AR65" s="1488"/>
      <c r="AS65" s="1488"/>
      <c r="AT65" s="1488"/>
      <c r="AU65" s="21"/>
      <c r="AV65" s="21"/>
      <c r="AW65" s="21"/>
      <c r="AX65" s="21"/>
      <c r="AY65" s="21"/>
      <c r="AZ65" s="20"/>
      <c r="BD65" s="1181" t="s">
        <v>2523</v>
      </c>
      <c r="BE65" s="1183" t="str">
        <f>Z205</f>
        <v>$500M</v>
      </c>
    </row>
    <row r="66" spans="1:57" ht="12.9" customHeight="1">
      <c r="A66" s="1488"/>
      <c r="B66" s="1488"/>
      <c r="C66" s="1488"/>
      <c r="D66" s="1488"/>
      <c r="E66" s="1488"/>
      <c r="F66" s="1488"/>
      <c r="G66" s="1488"/>
      <c r="H66" s="1488"/>
      <c r="I66" s="1488"/>
      <c r="J66" s="1488"/>
      <c r="K66" s="1488"/>
      <c r="L66" s="1488"/>
      <c r="M66" s="1488"/>
      <c r="N66" s="1488"/>
      <c r="O66" s="1488"/>
      <c r="P66" s="1488"/>
      <c r="Q66" s="1488"/>
      <c r="R66" s="1488"/>
      <c r="S66" s="1488"/>
      <c r="T66" s="1488"/>
      <c r="U66" s="1488"/>
      <c r="V66" s="1488"/>
      <c r="W66" s="1488"/>
      <c r="X66" s="1488"/>
      <c r="Y66" s="1488"/>
      <c r="Z66" s="1488"/>
      <c r="AA66" s="1488"/>
      <c r="AB66" s="1488"/>
      <c r="AC66" s="1488"/>
      <c r="AD66" s="1488"/>
      <c r="AE66" s="1488"/>
      <c r="AF66" s="1488"/>
      <c r="AG66" s="1488"/>
      <c r="AH66" s="1488"/>
      <c r="AI66" s="1488"/>
      <c r="AJ66" s="1488"/>
      <c r="AK66" s="1488"/>
      <c r="AL66" s="1488"/>
      <c r="AM66" s="1488"/>
      <c r="AN66" s="1488"/>
      <c r="AO66" s="1488"/>
      <c r="AP66" s="1488"/>
      <c r="AQ66" s="1488"/>
      <c r="AR66" s="1488"/>
      <c r="AS66" s="1488"/>
      <c r="AT66" s="1488"/>
      <c r="AU66" s="21"/>
      <c r="AV66" s="21"/>
      <c r="AW66" s="21"/>
      <c r="AX66" s="21"/>
      <c r="AY66" s="21"/>
      <c r="AZ66" s="20"/>
      <c r="BD66" s="1182" t="s">
        <v>2490</v>
      </c>
      <c r="BE66" s="1183" t="b">
        <f>Application!Z205="State Farmworker Credit"</f>
        <v>0</v>
      </c>
    </row>
    <row r="67" spans="1:57" ht="12.9" customHeight="1">
      <c r="A67" s="1488"/>
      <c r="B67" s="1488"/>
      <c r="C67" s="1488"/>
      <c r="D67" s="1488"/>
      <c r="E67" s="1488"/>
      <c r="F67" s="1488"/>
      <c r="G67" s="1488"/>
      <c r="H67" s="1488"/>
      <c r="I67" s="1488"/>
      <c r="J67" s="1488"/>
      <c r="K67" s="1488"/>
      <c r="L67" s="1488"/>
      <c r="M67" s="1488"/>
      <c r="N67" s="1488"/>
      <c r="O67" s="1488"/>
      <c r="P67" s="1488"/>
      <c r="Q67" s="1488"/>
      <c r="R67" s="1488"/>
      <c r="S67" s="1488"/>
      <c r="T67" s="1488"/>
      <c r="U67" s="1488"/>
      <c r="V67" s="1488"/>
      <c r="W67" s="1488"/>
      <c r="X67" s="1488"/>
      <c r="Y67" s="1488"/>
      <c r="Z67" s="1488"/>
      <c r="AA67" s="1488"/>
      <c r="AB67" s="1488"/>
      <c r="AC67" s="1488"/>
      <c r="AD67" s="1488"/>
      <c r="AE67" s="1488"/>
      <c r="AF67" s="1488"/>
      <c r="AG67" s="1488"/>
      <c r="AH67" s="1488"/>
      <c r="AI67" s="1488"/>
      <c r="AJ67" s="1488"/>
      <c r="AK67" s="1488"/>
      <c r="AL67" s="1488"/>
      <c r="AM67" s="1488"/>
      <c r="AN67" s="1488"/>
      <c r="AO67" s="1488"/>
      <c r="AP67" s="1488"/>
      <c r="AQ67" s="1488"/>
      <c r="AR67" s="1488"/>
      <c r="AS67" s="1488"/>
      <c r="AT67" s="1488"/>
      <c r="AZ67" s="20"/>
      <c r="BD67" s="1181" t="s">
        <v>2491</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 customHeight="1">
      <c r="A69" s="1488" t="s">
        <v>2113</v>
      </c>
      <c r="B69" s="1488"/>
      <c r="C69" s="1488"/>
      <c r="D69" s="1488"/>
      <c r="E69" s="1488"/>
      <c r="F69" s="1488"/>
      <c r="G69" s="1488"/>
      <c r="H69" s="1488"/>
      <c r="I69" s="1488"/>
      <c r="J69" s="1488"/>
      <c r="K69" s="1488"/>
      <c r="L69" s="1488"/>
      <c r="M69" s="1488"/>
      <c r="N69" s="1488"/>
      <c r="O69" s="1488"/>
      <c r="P69" s="1488"/>
      <c r="Q69" s="1488"/>
      <c r="R69" s="1488"/>
      <c r="S69" s="1488"/>
      <c r="T69" s="1488"/>
      <c r="U69" s="1488"/>
      <c r="V69" s="1488"/>
      <c r="W69" s="1488"/>
      <c r="X69" s="1488"/>
      <c r="Y69" s="1488"/>
      <c r="Z69" s="1488"/>
      <c r="AA69" s="1488"/>
      <c r="AB69" s="1488"/>
      <c r="AC69" s="1488"/>
      <c r="AD69" s="1488"/>
      <c r="AE69" s="1488"/>
      <c r="AF69" s="1488"/>
      <c r="AG69" s="1488"/>
      <c r="AH69" s="1488"/>
      <c r="AI69" s="1488"/>
      <c r="AJ69" s="1488"/>
      <c r="AK69" s="1488"/>
      <c r="AL69" s="1488"/>
      <c r="AM69" s="1488"/>
      <c r="AN69" s="1488"/>
      <c r="AO69" s="1488"/>
      <c r="AP69" s="1488"/>
      <c r="AQ69" s="1488"/>
      <c r="AR69" s="1488"/>
      <c r="AS69" s="1488"/>
      <c r="AT69" s="1488"/>
      <c r="AZ69" s="20"/>
      <c r="BD69" s="1181" t="s">
        <v>2493</v>
      </c>
      <c r="BE69" s="1183" t="str">
        <f>Application!W708</f>
        <v xml:space="preserve">California Municipal Finance Authority		</v>
      </c>
    </row>
    <row r="70" spans="1:57" ht="12.9" customHeight="1">
      <c r="A70" s="1488"/>
      <c r="B70" s="1488"/>
      <c r="C70" s="1488"/>
      <c r="D70" s="1488"/>
      <c r="E70" s="1488"/>
      <c r="F70" s="1488"/>
      <c r="G70" s="1488"/>
      <c r="H70" s="1488"/>
      <c r="I70" s="1488"/>
      <c r="J70" s="1488"/>
      <c r="K70" s="1488"/>
      <c r="L70" s="1488"/>
      <c r="M70" s="1488"/>
      <c r="N70" s="1488"/>
      <c r="O70" s="1488"/>
      <c r="P70" s="1488"/>
      <c r="Q70" s="1488"/>
      <c r="R70" s="1488"/>
      <c r="S70" s="1488"/>
      <c r="T70" s="1488"/>
      <c r="U70" s="1488"/>
      <c r="V70" s="1488"/>
      <c r="W70" s="1488"/>
      <c r="X70" s="1488"/>
      <c r="Y70" s="1488"/>
      <c r="Z70" s="1488"/>
      <c r="AA70" s="1488"/>
      <c r="AB70" s="1488"/>
      <c r="AC70" s="1488"/>
      <c r="AD70" s="1488"/>
      <c r="AE70" s="1488"/>
      <c r="AF70" s="1488"/>
      <c r="AG70" s="1488"/>
      <c r="AH70" s="1488"/>
      <c r="AI70" s="1488"/>
      <c r="AJ70" s="1488"/>
      <c r="AK70" s="1488"/>
      <c r="AL70" s="1488"/>
      <c r="AM70" s="1488"/>
      <c r="AN70" s="1488"/>
      <c r="AO70" s="1488"/>
      <c r="AP70" s="1488"/>
      <c r="AQ70" s="1488"/>
      <c r="AR70" s="1488"/>
      <c r="AS70" s="1488"/>
      <c r="AT70" s="1488"/>
      <c r="AU70" s="20"/>
      <c r="AV70" s="20"/>
      <c r="AW70" s="20"/>
      <c r="AX70" s="20"/>
      <c r="AY70" s="20"/>
      <c r="AZ70" s="20"/>
      <c r="BD70" s="1182" t="s">
        <v>2494</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 customHeight="1">
      <c r="A72" s="1486" t="s">
        <v>2114</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20"/>
      <c r="AV72" s="20"/>
      <c r="AW72" s="20"/>
      <c r="AX72" s="20"/>
      <c r="AY72" s="20"/>
      <c r="AZ72" s="20"/>
      <c r="BD72" s="1182" t="s">
        <v>2495</v>
      </c>
      <c r="BE72" s="1183">
        <f>'Points System'!AF827</f>
        <v>10</v>
      </c>
    </row>
    <row r="73" spans="1:57" ht="12.9"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20"/>
      <c r="AV73" s="20"/>
      <c r="AW73" s="20"/>
      <c r="AX73" s="20"/>
      <c r="AY73" s="20"/>
      <c r="AZ73" s="20"/>
      <c r="BD73" s="1181" t="s">
        <v>2496</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 customHeight="1">
      <c r="A75" s="1786" t="s">
        <v>2115</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181" t="s">
        <v>2498</v>
      </c>
      <c r="BE75" s="1183">
        <f>'Points System'!AF830</f>
        <v>10</v>
      </c>
    </row>
    <row r="76" spans="1:57" ht="12.9"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182" t="s">
        <v>2499</v>
      </c>
      <c r="BE76" s="1183">
        <f>'Points System'!AF833</f>
        <v>10</v>
      </c>
    </row>
    <row r="77" spans="1:57" ht="12.9"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181" t="s">
        <v>2500</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 customHeight="1">
      <c r="A79" s="1488" t="s">
        <v>2116</v>
      </c>
      <c r="B79" s="1488"/>
      <c r="C79" s="1488"/>
      <c r="D79" s="1488"/>
      <c r="E79" s="1488"/>
      <c r="F79" s="1488"/>
      <c r="G79" s="1488"/>
      <c r="H79" s="1488"/>
      <c r="I79" s="1488"/>
      <c r="J79" s="1488"/>
      <c r="K79" s="1488"/>
      <c r="L79" s="1488"/>
      <c r="M79" s="1488"/>
      <c r="N79" s="1488"/>
      <c r="O79" s="1488"/>
      <c r="P79" s="1488"/>
      <c r="Q79" s="1488"/>
      <c r="R79" s="1488"/>
      <c r="S79" s="1488"/>
      <c r="T79" s="1488"/>
      <c r="U79" s="1488"/>
      <c r="V79" s="1488"/>
      <c r="W79" s="1488"/>
      <c r="X79" s="1488"/>
      <c r="Y79" s="1488"/>
      <c r="Z79" s="1488"/>
      <c r="AA79" s="1488"/>
      <c r="AB79" s="1488"/>
      <c r="AC79" s="1488"/>
      <c r="AD79" s="1488"/>
      <c r="AE79" s="1488"/>
      <c r="AF79" s="1488"/>
      <c r="AG79" s="1488"/>
      <c r="AH79" s="1488"/>
      <c r="AI79" s="1488"/>
      <c r="AJ79" s="1488"/>
      <c r="AK79" s="1488"/>
      <c r="AL79" s="1488"/>
      <c r="AM79" s="1488"/>
      <c r="AN79" s="1488"/>
      <c r="AO79" s="1488"/>
      <c r="AP79" s="1488"/>
      <c r="AQ79" s="1488"/>
      <c r="AR79" s="1488"/>
      <c r="AS79" s="1488"/>
      <c r="AT79" s="1488"/>
      <c r="AU79" s="20"/>
      <c r="AV79" s="20"/>
      <c r="AW79" s="20"/>
      <c r="AX79" s="20"/>
      <c r="AY79" s="20"/>
      <c r="AZ79" s="20"/>
      <c r="BD79" s="1181" t="s">
        <v>2620</v>
      </c>
      <c r="BE79" s="1183">
        <f>'Points System'!AF837</f>
        <v>10</v>
      </c>
    </row>
    <row r="80" spans="1:57" ht="12.9" customHeight="1">
      <c r="A80" s="1488"/>
      <c r="B80" s="1488"/>
      <c r="C80" s="1488"/>
      <c r="D80" s="1488"/>
      <c r="E80" s="1488"/>
      <c r="F80" s="1488"/>
      <c r="G80" s="1488"/>
      <c r="H80" s="1488"/>
      <c r="I80" s="1488"/>
      <c r="J80" s="1488"/>
      <c r="K80" s="1488"/>
      <c r="L80" s="1488"/>
      <c r="M80" s="1488"/>
      <c r="N80" s="1488"/>
      <c r="O80" s="1488"/>
      <c r="P80" s="1488"/>
      <c r="Q80" s="1488"/>
      <c r="R80" s="1488"/>
      <c r="S80" s="1488"/>
      <c r="T80" s="1488"/>
      <c r="U80" s="1488"/>
      <c r="V80" s="1488"/>
      <c r="W80" s="1488"/>
      <c r="X80" s="1488"/>
      <c r="Y80" s="1488"/>
      <c r="Z80" s="1488"/>
      <c r="AA80" s="1488"/>
      <c r="AB80" s="1488"/>
      <c r="AC80" s="1488"/>
      <c r="AD80" s="1488"/>
      <c r="AE80" s="1488"/>
      <c r="AF80" s="1488"/>
      <c r="AG80" s="1488"/>
      <c r="AH80" s="1488"/>
      <c r="AI80" s="1488"/>
      <c r="AJ80" s="1488"/>
      <c r="AK80" s="1488"/>
      <c r="AL80" s="1488"/>
      <c r="AM80" s="1488"/>
      <c r="AN80" s="1488"/>
      <c r="AO80" s="1488"/>
      <c r="AP80" s="1488"/>
      <c r="AQ80" s="1488"/>
      <c r="AR80" s="1488"/>
      <c r="AS80" s="1488"/>
      <c r="AT80" s="1488"/>
      <c r="AU80" s="20"/>
      <c r="AV80" s="20"/>
      <c r="AW80" s="20"/>
      <c r="AX80" s="20"/>
      <c r="AY80" s="20"/>
      <c r="AZ80" s="20"/>
      <c r="BD80" s="1182" t="s">
        <v>2502</v>
      </c>
      <c r="BE80" s="1183">
        <f>'Points System'!AF839</f>
        <v>10</v>
      </c>
    </row>
    <row r="81" spans="1:57" ht="12.9" customHeight="1">
      <c r="A81" s="1488"/>
      <c r="B81" s="1488"/>
      <c r="C81" s="1488"/>
      <c r="D81" s="1488"/>
      <c r="E81" s="1488"/>
      <c r="F81" s="1488"/>
      <c r="G81" s="1488"/>
      <c r="H81" s="1488"/>
      <c r="I81" s="1488"/>
      <c r="J81" s="1488"/>
      <c r="K81" s="1488"/>
      <c r="L81" s="1488"/>
      <c r="M81" s="1488"/>
      <c r="N81" s="1488"/>
      <c r="O81" s="1488"/>
      <c r="P81" s="1488"/>
      <c r="Q81" s="1488"/>
      <c r="R81" s="1488"/>
      <c r="S81" s="1488"/>
      <c r="T81" s="1488"/>
      <c r="U81" s="1488"/>
      <c r="V81" s="1488"/>
      <c r="W81" s="1488"/>
      <c r="X81" s="1488"/>
      <c r="Y81" s="1488"/>
      <c r="Z81" s="1488"/>
      <c r="AA81" s="1488"/>
      <c r="AB81" s="1488"/>
      <c r="AC81" s="1488"/>
      <c r="AD81" s="1488"/>
      <c r="AE81" s="1488"/>
      <c r="AF81" s="1488"/>
      <c r="AG81" s="1488"/>
      <c r="AH81" s="1488"/>
      <c r="AI81" s="1488"/>
      <c r="AJ81" s="1488"/>
      <c r="AK81" s="1488"/>
      <c r="AL81" s="1488"/>
      <c r="AM81" s="1488"/>
      <c r="AN81" s="1488"/>
      <c r="AO81" s="1488"/>
      <c r="AP81" s="1488"/>
      <c r="AQ81" s="1488"/>
      <c r="AR81" s="1488"/>
      <c r="AS81" s="1488"/>
      <c r="AT81" s="1488"/>
      <c r="AU81" s="20"/>
      <c r="AV81" s="20"/>
      <c r="AW81" s="20"/>
      <c r="AX81" s="20"/>
      <c r="AY81" s="20"/>
      <c r="AZ81" s="20"/>
      <c r="BD81" s="1181" t="s">
        <v>2503</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 customHeight="1">
      <c r="A83" s="1270" t="s">
        <v>2117</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2505</v>
      </c>
      <c r="BE83" s="1187">
        <f>'Tie Breaker'!H5</f>
        <v>1.0167950197299802</v>
      </c>
    </row>
    <row r="84" spans="1:57" ht="12.9"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2506</v>
      </c>
      <c r="BE84" s="1183" t="str">
        <f>Application!O153</f>
        <v>City of Belmont</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Mr. Craig A. Ewing</v>
      </c>
    </row>
    <row r="86" spans="1:57" ht="12.9" customHeight="1">
      <c r="A86" s="1270" t="s">
        <v>2118</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2508</v>
      </c>
      <c r="BE86" s="1183" t="str">
        <f>Application!O155</f>
        <v>City Manager</v>
      </c>
    </row>
    <row r="87" spans="1:57" ht="12.9"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2509</v>
      </c>
      <c r="BE87" s="1183" t="str">
        <f>Application!O156</f>
        <v xml:space="preserve">1070 6th Ave. #302 </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 xml:space="preserve">Belmont, CA </v>
      </c>
    </row>
    <row r="89" spans="1:57" ht="12.9" customHeight="1">
      <c r="A89" s="1785" t="s">
        <v>2119</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181" t="s">
        <v>2511</v>
      </c>
      <c r="BE89" s="1183">
        <f>Application!O158</f>
        <v>94002</v>
      </c>
    </row>
    <row r="90" spans="1:57" ht="12.9"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182" t="s">
        <v>2512</v>
      </c>
      <c r="BE90" s="1183" t="str">
        <f>Application!H16</f>
        <v>951 Old County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122 E 42nd Street, Suite 1903</v>
      </c>
    </row>
    <row r="92" spans="1:57" ht="12.9" customHeight="1">
      <c r="A92" s="1786" t="s">
        <v>2120</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182" t="s">
        <v>2514</v>
      </c>
      <c r="BE92" s="1183" t="str">
        <f>Application!M243</f>
        <v>New York</v>
      </c>
    </row>
    <row r="93" spans="1:57" ht="12.9"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181" t="s">
        <v>2515</v>
      </c>
      <c r="BE93" s="1183" t="str">
        <f>Application!W243</f>
        <v>NY</v>
      </c>
    </row>
    <row r="94" spans="1:57" ht="12.9"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182" t="s">
        <v>2516</v>
      </c>
      <c r="BE94" s="1183">
        <f>Application!AC243</f>
        <v>10168</v>
      </c>
    </row>
    <row r="95" spans="1:57" ht="12.9"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181" t="s">
        <v>2517</v>
      </c>
      <c r="BE95" s="1183" t="str">
        <f>Application!M244</f>
        <v>Paul Salib</v>
      </c>
    </row>
    <row r="96" spans="1:57" ht="12.9"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182" t="s">
        <v>2518</v>
      </c>
      <c r="BE96" s="1183" t="str">
        <f>Application!M246</f>
        <v>psalib@crpaffordable.com</v>
      </c>
    </row>
    <row r="97" spans="1:57" ht="12.9"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181" t="s">
        <v>2519</v>
      </c>
      <c r="BE97" s="1183" t="str">
        <f>Application!M257</f>
        <v>david@crdc.org</v>
      </c>
    </row>
    <row r="98" spans="1:57" ht="12.9"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182" t="s">
        <v>2520</v>
      </c>
      <c r="BE98" s="1183" t="str">
        <f>Application!M265</f>
        <v>psalib@crpaffordable.com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 customHeight="1">
      <c r="A100" s="1787" t="s">
        <v>2121</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182" t="s">
        <v>2522</v>
      </c>
      <c r="BE100" s="1183" t="str">
        <f>Application!L288</f>
        <v>ssterneck@crpaffordable.com</v>
      </c>
    </row>
    <row r="101" spans="1:57" ht="12.9"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2527</v>
      </c>
      <c r="BE101">
        <f>'Sources and Uses Budget'!C105</f>
        <v>55046230</v>
      </c>
    </row>
    <row r="102" spans="1:57" ht="12.9"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2528</v>
      </c>
      <c r="BE102" t="b">
        <f>T197="Yes"</f>
        <v>0</v>
      </c>
    </row>
    <row r="103" spans="1:57" ht="12.9"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2131</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 customHeight="1">
      <c r="A105" s="1787" t="s">
        <v>2122</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c r="BD105" s="3" t="s">
        <v>2544</v>
      </c>
      <c r="BE105" s="1183" t="b">
        <f>V224="Yes"</f>
        <v>0</v>
      </c>
    </row>
    <row r="106" spans="1:57" ht="12.9"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c r="BD106" s="3" t="s">
        <v>2545</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788"/>
      <c r="H113" s="1788"/>
      <c r="I113" s="3" t="s">
        <v>182</v>
      </c>
      <c r="L113" s="1788"/>
      <c r="M113" s="1788"/>
      <c r="N113" s="1788"/>
      <c r="O113" s="1788"/>
      <c r="P113" s="1792" t="s">
        <v>2612</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798"/>
      <c r="D115" s="1798"/>
      <c r="E115" s="1798"/>
      <c r="F115" s="1798"/>
      <c r="G115" s="1798"/>
      <c r="H115" s="1798"/>
      <c r="I115" s="1798"/>
      <c r="J115" s="1798"/>
      <c r="K115" s="179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788"/>
      <c r="Z117" s="1788"/>
      <c r="AA117" s="1788"/>
      <c r="AB117" s="1788"/>
      <c r="AC117" s="1788"/>
      <c r="AD117" s="1788"/>
      <c r="AE117" s="1788"/>
      <c r="AF117" s="1788"/>
      <c r="AG117" s="1788"/>
      <c r="AH117" s="1788"/>
      <c r="AI117" s="1788"/>
      <c r="AJ117" s="1788"/>
      <c r="AK117" s="1788"/>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88"/>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03" t="s">
        <v>469</v>
      </c>
      <c r="CV122" s="1704"/>
      <c r="CW122" s="14"/>
      <c r="CX122" s="14" t="s">
        <v>634</v>
      </c>
      <c r="CY122" s="14"/>
      <c r="CZ122" s="14"/>
      <c r="DA122" s="14"/>
      <c r="DB122" s="14"/>
      <c r="DC122" s="14"/>
      <c r="DD122" s="14"/>
      <c r="DE122" s="14"/>
      <c r="DF122" s="14"/>
      <c r="DG122" s="1700" t="str">
        <f>T189</f>
        <v>San Mateo</v>
      </c>
      <c r="DH122" s="1701"/>
      <c r="DI122" s="1701"/>
      <c r="DJ122" s="1701"/>
      <c r="DK122" s="1701"/>
      <c r="DL122" s="1701"/>
      <c r="DM122" s="1702"/>
    </row>
    <row r="123" spans="1:117" ht="12.9" customHeight="1">
      <c r="A123" s="3"/>
      <c r="B123" s="3"/>
      <c r="T123" s="3"/>
      <c r="U123" s="3"/>
      <c r="V123" s="3"/>
      <c r="W123" s="3"/>
      <c r="X123" s="3"/>
      <c r="Y123" s="1788"/>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 customHeight="1">
      <c r="BM152">
        <v>4</v>
      </c>
      <c r="BN152" s="3" t="s">
        <v>2397</v>
      </c>
    </row>
    <row r="153" spans="1:108" ht="12.9" customHeight="1">
      <c r="D153" t="s">
        <v>645</v>
      </c>
      <c r="O153" s="1439" t="s">
        <v>2648</v>
      </c>
      <c r="P153" s="1439"/>
      <c r="Q153" s="1439"/>
      <c r="R153" s="1439"/>
      <c r="S153" s="1439"/>
      <c r="T153" s="1439"/>
      <c r="U153" s="1439"/>
      <c r="V153" s="1439"/>
      <c r="W153" s="1439"/>
      <c r="X153" s="1439"/>
      <c r="Y153" s="1439"/>
      <c r="Z153" s="1439"/>
      <c r="AA153" s="1439"/>
      <c r="AB153" s="1439"/>
      <c r="AC153" s="1439"/>
      <c r="AD153" s="1439"/>
      <c r="AE153" s="1439"/>
      <c r="AF153" s="1439"/>
      <c r="AG153" s="1439"/>
      <c r="AH153" s="1439"/>
      <c r="BM153">
        <v>5</v>
      </c>
      <c r="BN153" s="3" t="s">
        <v>2399</v>
      </c>
      <c r="CR153" s="31" t="s">
        <v>2641</v>
      </c>
      <c r="CS153" s="32"/>
      <c r="CT153" s="32"/>
      <c r="CU153" s="32"/>
      <c r="CV153" s="32"/>
      <c r="CW153" s="32"/>
      <c r="CX153" s="14"/>
      <c r="CY153" s="31" t="s">
        <v>2642</v>
      </c>
      <c r="CZ153" s="14"/>
      <c r="DA153" s="14"/>
      <c r="DB153" s="14"/>
      <c r="DC153" s="14"/>
      <c r="DD153" s="14"/>
    </row>
    <row r="154" spans="1:108" ht="12.9" customHeight="1">
      <c r="D154" s="303" t="s">
        <v>439</v>
      </c>
      <c r="O154" s="1384" t="s">
        <v>2649</v>
      </c>
      <c r="P154" s="1384"/>
      <c r="Q154" s="1384"/>
      <c r="R154" s="1384"/>
      <c r="S154" s="1384"/>
      <c r="T154" s="1384"/>
      <c r="U154" s="1384"/>
      <c r="V154" s="1384"/>
      <c r="W154" s="1384"/>
      <c r="X154" s="1384"/>
      <c r="Y154" s="1384"/>
      <c r="Z154" s="1384"/>
      <c r="AA154" s="1384"/>
      <c r="AB154" s="1384"/>
      <c r="AC154" s="1384"/>
      <c r="AD154" s="1384"/>
      <c r="AE154" s="1384"/>
      <c r="AF154" s="1384"/>
      <c r="AG154" s="1384"/>
      <c r="AH154" s="1384"/>
      <c r="BM154">
        <v>6</v>
      </c>
      <c r="BN154" s="3" t="s">
        <v>2400</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804" t="s">
        <v>440</v>
      </c>
      <c r="P155" s="1804"/>
      <c r="Q155" s="1804"/>
      <c r="R155" s="1804"/>
      <c r="S155" s="1804"/>
      <c r="T155" s="1804"/>
      <c r="U155" s="1804"/>
      <c r="V155" s="1804"/>
      <c r="W155" s="1804"/>
      <c r="X155" s="1804"/>
      <c r="Y155" s="1804"/>
      <c r="Z155" s="1804"/>
      <c r="AA155" s="1804"/>
      <c r="AB155" s="1804"/>
      <c r="AC155" s="1804"/>
      <c r="AD155" s="1804"/>
      <c r="AE155" s="1804"/>
      <c r="AF155" s="1804"/>
      <c r="AG155" s="1804"/>
      <c r="AH155" s="1804"/>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439" t="s">
        <v>2650</v>
      </c>
      <c r="P156" s="1457"/>
      <c r="Q156" s="1457"/>
      <c r="R156" s="1457"/>
      <c r="S156" s="1457"/>
      <c r="T156" s="1457"/>
      <c r="U156" s="1457"/>
      <c r="V156" s="1457"/>
      <c r="W156" s="1457"/>
      <c r="X156" s="1457"/>
      <c r="Y156" s="1457"/>
      <c r="Z156" s="1457"/>
      <c r="AA156" s="1457"/>
      <c r="AB156" s="1457"/>
      <c r="AC156" s="1457"/>
      <c r="AD156" s="1457"/>
      <c r="AE156" s="1457"/>
      <c r="AF156" s="1457"/>
      <c r="AG156" s="1457"/>
      <c r="AH156" s="1457"/>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39" t="s">
        <v>2651</v>
      </c>
      <c r="P157" s="1439"/>
      <c r="Q157" s="1439"/>
      <c r="R157" s="1439"/>
      <c r="S157" s="1439"/>
      <c r="T157" s="1439"/>
      <c r="U157" s="1439"/>
      <c r="V157" s="1439"/>
      <c r="W157" s="1439"/>
      <c r="X157" s="143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3">
        <v>94002</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494" t="s">
        <v>2652</v>
      </c>
      <c r="P159" s="1794"/>
      <c r="Q159" s="1794"/>
      <c r="R159" s="1794"/>
      <c r="S159" s="1794"/>
      <c r="T159" s="1794"/>
      <c r="V159" s="97" t="s">
        <v>271</v>
      </c>
      <c r="W159" s="1790"/>
      <c r="X159" s="179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494" t="s">
        <v>2653</v>
      </c>
      <c r="P160" s="1794"/>
      <c r="Q160" s="1794"/>
      <c r="R160" s="1794"/>
      <c r="S160" s="1794"/>
      <c r="T160" s="179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 customHeight="1">
      <c r="D161" t="s">
        <v>318</v>
      </c>
      <c r="O161" s="1799"/>
      <c r="P161" s="1799"/>
      <c r="Q161" s="1799"/>
      <c r="R161" s="1799"/>
      <c r="S161" s="1799"/>
      <c r="T161" s="1799"/>
      <c r="U161" s="1799"/>
      <c r="V161" s="1799"/>
      <c r="W161" s="1799"/>
      <c r="X161" s="1799"/>
      <c r="Y161" s="1799"/>
      <c r="Z161" s="1799"/>
      <c r="AA161" s="1799"/>
      <c r="AB161" s="1799"/>
      <c r="AC161" s="1799"/>
      <c r="AD161" s="1799"/>
      <c r="AE161" s="1799"/>
      <c r="AF161" s="1799"/>
      <c r="AG161" s="1799"/>
      <c r="AH161" s="1799"/>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 customHeight="1">
      <c r="C164" s="27"/>
      <c r="D164" s="1800" t="s">
        <v>2172</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 customHeight="1">
      <c r="A169" s="1493" t="s">
        <v>539</v>
      </c>
      <c r="B169" s="1493"/>
      <c r="C169" s="1493"/>
      <c r="D169" s="1493"/>
      <c r="E169" s="1493"/>
      <c r="F169" s="1493"/>
      <c r="G169" s="1493"/>
      <c r="H169" s="1493"/>
      <c r="I169" s="1493"/>
      <c r="J169" s="1493"/>
      <c r="K169" s="1493"/>
      <c r="L169" s="1493"/>
      <c r="M169" s="1493"/>
      <c r="N169" s="1493"/>
      <c r="O169" s="1493"/>
      <c r="P169" s="1493"/>
      <c r="Q169" s="1493"/>
      <c r="R169" s="1493"/>
      <c r="S169" s="1493"/>
      <c r="T169" s="1493"/>
      <c r="U169" s="1493"/>
      <c r="V169" s="1493"/>
      <c r="W169" s="1493"/>
      <c r="X169" s="1493"/>
      <c r="Y169" s="1493"/>
      <c r="Z169" s="1493"/>
      <c r="AA169" s="1493"/>
      <c r="AB169" s="1493"/>
      <c r="AC169" s="1493"/>
      <c r="AD169" s="1493"/>
      <c r="AE169" s="1493"/>
      <c r="AF169" s="1493"/>
      <c r="AG169" s="1493"/>
      <c r="AH169" s="1493"/>
      <c r="AI169" s="1493"/>
      <c r="AJ169" s="1493"/>
      <c r="AK169" s="1493"/>
      <c r="AL169" s="1493"/>
      <c r="AM169" s="1493"/>
      <c r="AN169" s="1493"/>
      <c r="AO169" s="1493"/>
      <c r="AP169" s="1493"/>
      <c r="AQ169" s="1493"/>
      <c r="AR169" s="1493"/>
      <c r="AS169" s="1493"/>
      <c r="AT169" s="149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 customHeight="1">
      <c r="A170" s="1493"/>
      <c r="B170" s="1493"/>
      <c r="C170" s="1493"/>
      <c r="D170" s="1493"/>
      <c r="E170" s="1493"/>
      <c r="F170" s="1493"/>
      <c r="G170" s="1493"/>
      <c r="H170" s="1493"/>
      <c r="I170" s="1493"/>
      <c r="J170" s="1493"/>
      <c r="K170" s="1493"/>
      <c r="L170" s="1493"/>
      <c r="M170" s="1493"/>
      <c r="N170" s="1493"/>
      <c r="O170" s="1493"/>
      <c r="P170" s="1493"/>
      <c r="Q170" s="1493"/>
      <c r="R170" s="1493"/>
      <c r="S170" s="1493"/>
      <c r="T170" s="1493"/>
      <c r="U170" s="1493"/>
      <c r="V170" s="1493"/>
      <c r="W170" s="1493"/>
      <c r="X170" s="1493"/>
      <c r="Y170" s="1493"/>
      <c r="Z170" s="1493"/>
      <c r="AA170" s="1493"/>
      <c r="AB170" s="1493"/>
      <c r="AC170" s="1493"/>
      <c r="AD170" s="1493"/>
      <c r="AE170" s="1493"/>
      <c r="AF170" s="1493"/>
      <c r="AG170" s="1493"/>
      <c r="AH170" s="1493"/>
      <c r="AI170" s="1493"/>
      <c r="AJ170" s="1493"/>
      <c r="AK170" s="1493"/>
      <c r="AL170" s="1493"/>
      <c r="AM170" s="1493"/>
      <c r="AN170" s="1493"/>
      <c r="AO170" s="1493"/>
      <c r="AP170" s="1493"/>
      <c r="AQ170" s="1493"/>
      <c r="AR170" s="1493"/>
      <c r="AS170" s="1493"/>
      <c r="AT170" s="149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 customHeight="1">
      <c r="C173" s="24"/>
      <c r="D173" t="s">
        <v>321</v>
      </c>
      <c r="J173" s="1803" t="s">
        <v>371</v>
      </c>
      <c r="K173" s="1803"/>
      <c r="L173" s="1803"/>
      <c r="M173" s="1803"/>
      <c r="N173" s="1803"/>
      <c r="O173" s="1803"/>
      <c r="P173" s="1803"/>
      <c r="Q173" s="1803"/>
      <c r="R173" s="1803"/>
      <c r="S173" s="180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 customHeight="1">
      <c r="C174" s="24"/>
      <c r="D174" s="3" t="s">
        <v>1202</v>
      </c>
      <c r="J174" s="1457" t="s">
        <v>2058</v>
      </c>
      <c r="K174" s="1457"/>
      <c r="L174" s="1457"/>
      <c r="M174" s="1457"/>
      <c r="N174" s="1457"/>
      <c r="O174" s="1457"/>
      <c r="P174" s="1457"/>
      <c r="Q174" s="1457"/>
      <c r="R174" s="1457"/>
      <c r="S174" s="1457"/>
      <c r="T174" s="1457"/>
      <c r="U174" s="1457"/>
      <c r="V174" s="1457"/>
      <c r="W174" s="1457"/>
      <c r="X174" s="1457"/>
      <c r="Y174" s="1457"/>
      <c r="Z174" s="1457"/>
      <c r="AA174" s="1457"/>
      <c r="AB174" s="1457"/>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 customHeight="1">
      <c r="C175" s="8"/>
      <c r="D175" s="3" t="s">
        <v>322</v>
      </c>
      <c r="O175" s="27"/>
      <c r="U175" s="1341" t="s">
        <v>669</v>
      </c>
      <c r="V175" s="1341"/>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 customHeight="1">
      <c r="C176" s="8"/>
      <c r="D176" s="26"/>
      <c r="E176" t="s">
        <v>304</v>
      </c>
      <c r="O176" s="27"/>
      <c r="P176" t="s">
        <v>2037</v>
      </c>
      <c r="T176" s="27" t="s">
        <v>305</v>
      </c>
      <c r="U176" s="1474"/>
      <c r="V176" s="1474"/>
      <c r="W176" s="1" t="s">
        <v>306</v>
      </c>
      <c r="X176" s="1795"/>
      <c r="Y176" s="1795"/>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 customHeight="1">
      <c r="C177" s="24"/>
      <c r="D177" t="s">
        <v>249</v>
      </c>
      <c r="R177" s="1341" t="s">
        <v>669</v>
      </c>
      <c r="S177" s="1341"/>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 customHeight="1">
      <c r="C178" s="24"/>
      <c r="D178" s="3" t="s">
        <v>1203</v>
      </c>
      <c r="AA178" t="s">
        <v>2037</v>
      </c>
      <c r="AE178" s="27" t="s">
        <v>305</v>
      </c>
      <c r="AF178" s="1782"/>
      <c r="AG178" s="1782"/>
      <c r="AH178" s="1" t="s">
        <v>306</v>
      </c>
      <c r="AI178" s="1802"/>
      <c r="AJ178" s="1802"/>
      <c r="AK178" s="1802"/>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 customHeight="1">
      <c r="C180" s="24"/>
      <c r="D180" s="3" t="s">
        <v>2637</v>
      </c>
      <c r="X180" s="1341"/>
      <c r="Y180" s="1341"/>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 customHeight="1">
      <c r="C184" s="21"/>
      <c r="D184" t="s">
        <v>578</v>
      </c>
      <c r="I184" s="1471" t="str">
        <f>H18</f>
        <v xml:space="preserve">The Ridge on Masonic </v>
      </c>
      <c r="J184" s="1471"/>
      <c r="K184" s="1471"/>
      <c r="L184" s="1471"/>
      <c r="M184" s="1471"/>
      <c r="N184" s="1471"/>
      <c r="O184" s="1471"/>
      <c r="P184" s="1471"/>
      <c r="Q184" s="1471"/>
      <c r="R184" s="1471"/>
      <c r="S184" s="1471"/>
      <c r="T184" s="1471"/>
      <c r="U184" s="1471"/>
      <c r="V184" s="1471"/>
      <c r="W184" s="1471"/>
      <c r="X184" s="1471"/>
      <c r="Y184" s="1471"/>
      <c r="Z184" s="1471"/>
      <c r="AA184" s="1471"/>
      <c r="AB184" s="1471"/>
      <c r="AC184" s="1471"/>
      <c r="AD184" s="1471"/>
      <c r="AE184" s="147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 customHeight="1">
      <c r="C185" s="21"/>
      <c r="D185" t="s">
        <v>579</v>
      </c>
      <c r="I185" s="1384" t="s">
        <v>2654</v>
      </c>
      <c r="J185" s="1435"/>
      <c r="K185" s="1435"/>
      <c r="L185" s="1435"/>
      <c r="M185" s="1435"/>
      <c r="N185" s="1435"/>
      <c r="O185" s="1435"/>
      <c r="P185" s="1435"/>
      <c r="Q185" s="1435"/>
      <c r="R185" s="1435"/>
      <c r="S185" s="1435"/>
      <c r="T185" s="1435"/>
      <c r="U185" s="1435"/>
      <c r="V185" s="1435"/>
      <c r="W185" s="1435"/>
      <c r="X185" s="1435"/>
      <c r="Y185" s="1435"/>
      <c r="Z185" s="1435"/>
      <c r="AA185" s="1435"/>
      <c r="AB185" s="1435"/>
      <c r="AC185" s="1435"/>
      <c r="AD185" s="1435"/>
      <c r="AE185" s="143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 customHeight="1">
      <c r="C187" s="21"/>
      <c r="E187" s="1437"/>
      <c r="F187" s="1437"/>
      <c r="G187" s="1437"/>
      <c r="H187" s="1437"/>
      <c r="I187" s="1437"/>
      <c r="J187" s="1437"/>
      <c r="K187" s="1437"/>
      <c r="L187" s="1437"/>
      <c r="M187" s="1437"/>
      <c r="N187" s="1437"/>
      <c r="O187" s="1437"/>
      <c r="P187" s="1437"/>
      <c r="Q187" s="1437"/>
      <c r="R187" s="1437"/>
      <c r="S187" s="1437"/>
      <c r="T187" s="1437"/>
      <c r="U187" s="1437"/>
      <c r="V187" s="1437"/>
      <c r="W187" s="1437"/>
      <c r="X187" s="1437"/>
      <c r="Y187" s="1437"/>
      <c r="Z187" s="1437"/>
      <c r="AA187" s="1437"/>
      <c r="AB187" s="1437"/>
      <c r="AC187" s="1437"/>
      <c r="AD187" s="1437"/>
      <c r="AE187" s="143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 customHeight="1">
      <c r="C188" s="21"/>
      <c r="E188" s="1438"/>
      <c r="F188" s="1438"/>
      <c r="G188" s="1438"/>
      <c r="H188" s="1438"/>
      <c r="I188" s="1438"/>
      <c r="J188" s="1438"/>
      <c r="K188" s="1438"/>
      <c r="L188" s="1438"/>
      <c r="M188" s="1438"/>
      <c r="N188" s="1438"/>
      <c r="O188" s="1438"/>
      <c r="P188" s="1438"/>
      <c r="Q188" s="1438"/>
      <c r="R188" s="1438"/>
      <c r="S188" s="1438"/>
      <c r="T188" s="1438"/>
      <c r="U188" s="1438"/>
      <c r="V188" s="1438"/>
      <c r="W188" s="1438"/>
      <c r="X188" s="1438"/>
      <c r="Y188" s="1438"/>
      <c r="Z188" s="1438"/>
      <c r="AA188" s="1438"/>
      <c r="AB188" s="1438"/>
      <c r="AC188" s="1438"/>
      <c r="AD188" s="1438"/>
      <c r="AE188" s="143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 customHeight="1">
      <c r="C189" s="21"/>
      <c r="D189" t="s">
        <v>580</v>
      </c>
      <c r="I189" s="1439" t="s">
        <v>2655</v>
      </c>
      <c r="J189" s="1457"/>
      <c r="K189" s="1457"/>
      <c r="L189" s="1457"/>
      <c r="M189" s="1457"/>
      <c r="N189" s="1457"/>
      <c r="O189" s="1457"/>
      <c r="P189" s="1457"/>
      <c r="Q189" t="s">
        <v>582</v>
      </c>
      <c r="T189" s="1457" t="s">
        <v>70</v>
      </c>
      <c r="U189" s="1457"/>
      <c r="V189" s="1457"/>
      <c r="W189" s="1457"/>
      <c r="X189" s="1457"/>
      <c r="Y189" s="1457"/>
      <c r="Z189" s="1457"/>
      <c r="AA189" s="1457"/>
      <c r="AB189" s="1457"/>
      <c r="AC189" s="1457"/>
      <c r="AD189" s="1457"/>
      <c r="AE189" s="145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 customHeight="1">
      <c r="C190" s="21"/>
      <c r="D190" t="s">
        <v>583</v>
      </c>
      <c r="I190" s="1435">
        <v>94002</v>
      </c>
      <c r="J190" s="1435"/>
      <c r="K190" s="1435"/>
      <c r="L190" s="1435"/>
      <c r="M190" s="1435"/>
      <c r="N190" s="1435"/>
      <c r="O190" t="s">
        <v>585</v>
      </c>
      <c r="T190" s="1434">
        <v>6086</v>
      </c>
      <c r="U190" s="1434"/>
      <c r="V190" s="1434"/>
      <c r="W190" s="1434"/>
      <c r="X190" s="1434"/>
      <c r="Y190" s="1434"/>
      <c r="Z190" s="1434"/>
      <c r="AA190" s="1434"/>
      <c r="AB190" s="1434"/>
      <c r="AC190" s="1434"/>
      <c r="AD190" s="1434"/>
      <c r="AE190" s="143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 customHeight="1">
      <c r="C191" s="21"/>
      <c r="D191" t="s">
        <v>462</v>
      </c>
      <c r="N191" s="1436" t="s">
        <v>2656</v>
      </c>
      <c r="O191" s="1437"/>
      <c r="P191" s="1437"/>
      <c r="Q191" s="1437"/>
      <c r="R191" s="1437"/>
      <c r="S191" s="1437"/>
      <c r="T191" s="1437"/>
      <c r="U191" s="1437"/>
      <c r="V191" s="1437"/>
      <c r="W191" s="1437"/>
      <c r="X191" s="1437"/>
      <c r="Y191" s="1437"/>
      <c r="Z191" s="1437"/>
      <c r="AA191" s="1437"/>
      <c r="AB191" s="1437"/>
      <c r="AC191" s="1437"/>
      <c r="AD191" s="1437"/>
      <c r="AE191" s="143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 customHeight="1">
      <c r="C192" s="21"/>
      <c r="M192" s="40"/>
      <c r="N192" s="1438"/>
      <c r="O192" s="1438"/>
      <c r="P192" s="1438"/>
      <c r="Q192" s="1438"/>
      <c r="R192" s="1438"/>
      <c r="S192" s="1438"/>
      <c r="T192" s="1438"/>
      <c r="U192" s="1438"/>
      <c r="V192" s="1438"/>
      <c r="W192" s="1438"/>
      <c r="X192" s="1438"/>
      <c r="Y192" s="1438"/>
      <c r="Z192" s="1438"/>
      <c r="AA192" s="1438"/>
      <c r="AB192" s="1438"/>
      <c r="AC192" s="1438"/>
      <c r="AD192" s="1438"/>
      <c r="AE192" s="143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 customHeight="1">
      <c r="C193" s="21"/>
      <c r="D193" t="s">
        <v>2038</v>
      </c>
      <c r="M193" s="40"/>
      <c r="N193" s="890"/>
      <c r="O193" s="890"/>
      <c r="P193" s="890"/>
      <c r="Q193" s="890"/>
      <c r="R193" s="890"/>
      <c r="S193" s="890"/>
      <c r="T193" s="1791" t="s">
        <v>1911</v>
      </c>
      <c r="U193" s="1791"/>
      <c r="V193" s="1791"/>
      <c r="W193" s="1791"/>
      <c r="X193" s="1791"/>
      <c r="Y193" s="1791"/>
      <c r="Z193" s="1791"/>
      <c r="AA193" s="1791"/>
      <c r="AB193" s="1791"/>
      <c r="AC193" s="1791"/>
      <c r="AD193" s="1791"/>
      <c r="AE193" s="1791"/>
      <c r="AF193" s="1791"/>
      <c r="AG193" s="1791"/>
      <c r="AH193" s="1791"/>
      <c r="AI193" s="1791"/>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 customHeight="1">
      <c r="C194" s="21"/>
      <c r="D194" s="3" t="s">
        <v>2171</v>
      </c>
      <c r="M194" s="40"/>
      <c r="N194" s="890"/>
      <c r="O194" s="890"/>
      <c r="P194" s="890"/>
      <c r="Q194" s="890"/>
      <c r="R194" s="890"/>
      <c r="S194" s="890"/>
      <c r="AH194" s="1341" t="s">
        <v>669</v>
      </c>
      <c r="AI194" s="1341"/>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 customHeight="1">
      <c r="C195" s="21"/>
      <c r="D195" t="s">
        <v>331</v>
      </c>
      <c r="T195" s="1341" t="s">
        <v>545</v>
      </c>
      <c r="U195" s="1341"/>
      <c r="W195" t="s">
        <v>684</v>
      </c>
      <c r="AH195" s="1341">
        <v>15</v>
      </c>
      <c r="AI195" s="1341"/>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 customHeight="1">
      <c r="C196" s="21"/>
      <c r="D196" t="s">
        <v>386</v>
      </c>
      <c r="T196" s="1378" t="s">
        <v>669</v>
      </c>
      <c r="U196" s="1378"/>
      <c r="W196" t="s">
        <v>685</v>
      </c>
      <c r="AH196" s="1341">
        <v>21</v>
      </c>
      <c r="AI196" s="1341"/>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 customHeight="1">
      <c r="C197" s="21"/>
      <c r="D197" s="3" t="s">
        <v>169</v>
      </c>
      <c r="T197" s="1378" t="s">
        <v>669</v>
      </c>
      <c r="U197" s="1378"/>
      <c r="W197" t="s">
        <v>686</v>
      </c>
      <c r="AH197" s="1341">
        <v>13</v>
      </c>
      <c r="AI197" s="1341"/>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 customHeight="1">
      <c r="A198"/>
      <c r="B198"/>
      <c r="C198" s="21"/>
      <c r="D198" s="3" t="s">
        <v>1641</v>
      </c>
      <c r="E198"/>
      <c r="F198"/>
      <c r="G198"/>
      <c r="H198"/>
      <c r="I198"/>
      <c r="J198"/>
      <c r="K198"/>
      <c r="L198"/>
      <c r="M198"/>
      <c r="N198"/>
      <c r="O198"/>
      <c r="P198"/>
      <c r="Q198"/>
      <c r="R198"/>
      <c r="S198"/>
      <c r="T198" s="1378">
        <v>0</v>
      </c>
      <c r="U198" s="1378"/>
      <c r="V198"/>
      <c r="X198" s="1486" t="s">
        <v>2446</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 customHeight="1">
      <c r="A199"/>
      <c r="B199"/>
      <c r="C199" s="21"/>
      <c r="D199" s="118" t="s">
        <v>2449</v>
      </c>
      <c r="E199"/>
      <c r="F199"/>
      <c r="G199"/>
      <c r="H199"/>
      <c r="I199"/>
      <c r="J199"/>
      <c r="K199"/>
      <c r="L199"/>
      <c r="M199"/>
      <c r="N199"/>
      <c r="O199"/>
      <c r="P199"/>
      <c r="Q199"/>
      <c r="R199"/>
      <c r="S199"/>
      <c r="T199" s="1341" t="s">
        <v>669</v>
      </c>
      <c r="U199" s="1341"/>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 customHeight="1">
      <c r="A200"/>
      <c r="B200"/>
      <c r="C200" s="21"/>
      <c r="D200" s="14" t="s">
        <v>2447</v>
      </c>
      <c r="T200" s="1341" t="s">
        <v>669</v>
      </c>
      <c r="U200" s="1341"/>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 customHeight="1">
      <c r="D204" s="1471" t="s">
        <v>385</v>
      </c>
      <c r="E204" s="1471"/>
      <c r="F204" s="1471"/>
      <c r="G204" s="1471"/>
      <c r="H204" s="1471"/>
      <c r="I204" s="1471"/>
      <c r="J204" s="1471"/>
      <c r="K204" s="1471"/>
      <c r="L204" s="1471"/>
      <c r="M204" s="1471"/>
      <c r="P204" s="1801">
        <f>M26</f>
        <v>2477078</v>
      </c>
      <c r="Q204" s="1781"/>
      <c r="R204" s="1781"/>
      <c r="S204" s="1781"/>
      <c r="T204" s="1781"/>
      <c r="U204" s="178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 customHeight="1">
      <c r="C205" s="21"/>
      <c r="D205" s="1807" t="s">
        <v>1247</v>
      </c>
      <c r="E205" s="1471"/>
      <c r="F205" s="1471"/>
      <c r="G205" s="1471"/>
      <c r="H205" s="1471"/>
      <c r="I205" s="1471"/>
      <c r="J205" s="1471"/>
      <c r="K205" s="1471"/>
      <c r="L205" s="1471"/>
      <c r="M205" s="1471"/>
      <c r="P205" s="1781">
        <f>M27</f>
        <v>12600000</v>
      </c>
      <c r="Q205" s="1781"/>
      <c r="R205" s="1781"/>
      <c r="S205" s="1781"/>
      <c r="T205" s="1781"/>
      <c r="U205" s="1781"/>
      <c r="V205" s="28"/>
      <c r="W205" s="3" t="s">
        <v>1709</v>
      </c>
      <c r="Z205" s="1805" t="s">
        <v>2175</v>
      </c>
      <c r="AA205" s="1805"/>
      <c r="AB205" s="1805"/>
      <c r="AC205" s="1805"/>
      <c r="AD205" s="1805"/>
      <c r="AE205" s="1805"/>
      <c r="AF205" s="1805"/>
      <c r="AG205" s="1805"/>
      <c r="AH205" s="1805"/>
      <c r="AI205" s="1805"/>
      <c r="AJ205" s="1805"/>
      <c r="AK205" s="1805"/>
      <c r="AL205" s="1805"/>
      <c r="AM205" s="1805"/>
      <c r="AN205" s="1805"/>
      <c r="AP205" s="1343"/>
      <c r="AQ205" s="1343"/>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 customHeight="1">
      <c r="C208" s="21"/>
      <c r="D208" s="1489" t="s">
        <v>2794</v>
      </c>
      <c r="E208" s="1489"/>
      <c r="F208" s="1489"/>
      <c r="G208" s="1489"/>
      <c r="H208" s="1489"/>
      <c r="I208" s="1489"/>
      <c r="J208" s="1489"/>
      <c r="K208" s="1489"/>
      <c r="L208" s="1489"/>
      <c r="M208" s="1489"/>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489" t="s">
        <v>1041</v>
      </c>
      <c r="E211" s="1489"/>
      <c r="F211" s="1489"/>
      <c r="G211" s="1489"/>
      <c r="H211" s="1489"/>
      <c r="I211" s="1489"/>
      <c r="J211" s="1489"/>
      <c r="K211" s="1489"/>
      <c r="L211" s="1489"/>
      <c r="M211" s="1489"/>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2186</v>
      </c>
      <c r="Q212" s="1341">
        <v>4</v>
      </c>
      <c r="R212" s="1341"/>
      <c r="T212" s="1783">
        <f>IFERROR(Q212/AG449,0)</f>
        <v>6.4516129032258063E-2</v>
      </c>
      <c r="U212" s="1784"/>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797" t="s">
        <v>591</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1642</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1640</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 customHeight="1">
      <c r="A218" s="2" t="s">
        <v>592</v>
      </c>
      <c r="C218" s="2" t="s">
        <v>2189</v>
      </c>
      <c r="D218" s="28"/>
      <c r="AC218" s="2" t="s">
        <v>2395</v>
      </c>
      <c r="BC218" t="s">
        <v>529</v>
      </c>
    </row>
    <row r="219" spans="1:108" ht="12.9" customHeight="1">
      <c r="A219" s="2"/>
      <c r="C219" s="2"/>
      <c r="D219" s="3" t="s">
        <v>2396</v>
      </c>
      <c r="AZ219" s="3"/>
      <c r="BA219" s="3"/>
      <c r="BC219" t="s">
        <v>377</v>
      </c>
    </row>
    <row r="220" spans="1:108" ht="12.9" customHeight="1">
      <c r="A220" s="2"/>
      <c r="C220" s="2"/>
      <c r="D220" s="1489" t="s">
        <v>1026</v>
      </c>
      <c r="E220" s="1489"/>
      <c r="F220" s="1489"/>
      <c r="G220" s="1489"/>
      <c r="H220" s="1489"/>
      <c r="I220" s="1489"/>
      <c r="J220" s="1489"/>
      <c r="K220" s="1489"/>
      <c r="L220" s="1489"/>
      <c r="M220" s="1489"/>
      <c r="N220" s="1489"/>
      <c r="O220" s="1489"/>
      <c r="P220" s="1489"/>
      <c r="Q220" s="1489"/>
      <c r="R220" s="1489"/>
      <c r="S220" s="1489"/>
      <c r="T220" s="1489"/>
      <c r="U220" s="1489"/>
      <c r="V220" s="1489"/>
      <c r="W220" s="1489"/>
      <c r="X220" s="1489"/>
      <c r="Y220" s="1489"/>
      <c r="Z220" s="1489"/>
      <c r="AC220" s="1806" t="s">
        <v>2398</v>
      </c>
      <c r="AD220" s="1806"/>
      <c r="AE220" s="1806"/>
      <c r="AF220" s="1806"/>
      <c r="AG220" s="1806"/>
      <c r="AH220" s="1806"/>
      <c r="AI220" s="1806"/>
      <c r="AJ220" s="1806"/>
      <c r="AK220" s="1806"/>
      <c r="AL220" s="1806"/>
      <c r="AM220" s="1806"/>
      <c r="AN220" s="1806"/>
      <c r="AO220" s="1806"/>
      <c r="AP220" s="1806"/>
      <c r="AQ220" s="1806"/>
      <c r="BA220" s="3"/>
      <c r="BC220" t="s">
        <v>300</v>
      </c>
    </row>
    <row r="221" spans="1:108" ht="12.9" customHeight="1">
      <c r="A221" s="2"/>
      <c r="B221" s="14"/>
      <c r="C221" s="2"/>
      <c r="BA221" s="3"/>
    </row>
    <row r="222" spans="1:108" ht="12.9" customHeight="1">
      <c r="A222" s="2" t="s">
        <v>2541</v>
      </c>
      <c r="B222" s="14"/>
      <c r="C222" s="2" t="s">
        <v>2542</v>
      </c>
      <c r="BA222" s="3"/>
    </row>
    <row r="223" spans="1:108" ht="12.9" customHeight="1">
      <c r="A223" s="2"/>
      <c r="B223" s="14"/>
      <c r="C223" s="2"/>
      <c r="D223" s="3" t="s">
        <v>2543</v>
      </c>
      <c r="BA223" s="3"/>
    </row>
    <row r="224" spans="1:108" ht="12.9" customHeight="1">
      <c r="A224" s="2"/>
      <c r="B224" s="14"/>
      <c r="C224" s="2"/>
      <c r="E224" s="3" t="s">
        <v>2544</v>
      </c>
      <c r="V224" s="1341" t="s">
        <v>669</v>
      </c>
      <c r="W224" s="1341"/>
      <c r="Y224" s="1193"/>
      <c r="BA224" s="3"/>
    </row>
    <row r="225" spans="1:69" ht="12.9" customHeight="1">
      <c r="A225" s="2"/>
      <c r="B225" s="14"/>
      <c r="C225" s="2"/>
      <c r="E225" s="3" t="s">
        <v>2545</v>
      </c>
      <c r="V225" s="1341" t="s">
        <v>669</v>
      </c>
      <c r="W225" s="134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2546</v>
      </c>
      <c r="V226" s="1378" t="s">
        <v>669</v>
      </c>
      <c r="W226" s="137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2547</v>
      </c>
      <c r="V227" s="1378" t="s">
        <v>669</v>
      </c>
      <c r="W227" s="137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2548</v>
      </c>
      <c r="V228" s="1378" t="s">
        <v>669</v>
      </c>
      <c r="W228" s="137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2549</v>
      </c>
      <c r="V229" s="1378" t="s">
        <v>669</v>
      </c>
      <c r="W229" s="137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493" t="s">
        <v>540</v>
      </c>
      <c r="B231" s="1493"/>
      <c r="C231" s="1493"/>
      <c r="D231" s="1493"/>
      <c r="E231" s="1493"/>
      <c r="F231" s="1493"/>
      <c r="G231" s="1493"/>
      <c r="H231" s="1493"/>
      <c r="I231" s="1493"/>
      <c r="J231" s="1493"/>
      <c r="K231" s="1493"/>
      <c r="L231" s="1493"/>
      <c r="M231" s="1493"/>
      <c r="N231" s="1493"/>
      <c r="O231" s="1493"/>
      <c r="P231" s="1493"/>
      <c r="Q231" s="1493"/>
      <c r="R231" s="1493"/>
      <c r="S231" s="1493"/>
      <c r="T231" s="1493"/>
      <c r="U231" s="1493"/>
      <c r="V231" s="1493"/>
      <c r="W231" s="1493"/>
      <c r="X231" s="1493"/>
      <c r="Y231" s="1493"/>
      <c r="Z231" s="1493"/>
      <c r="AA231" s="1493"/>
      <c r="AB231" s="1493"/>
      <c r="AC231" s="1493"/>
      <c r="AD231" s="1493"/>
      <c r="AE231" s="1493"/>
      <c r="AF231" s="1493"/>
      <c r="AG231" s="1493"/>
      <c r="AH231" s="1493"/>
      <c r="AI231" s="1493"/>
      <c r="AJ231" s="1493"/>
      <c r="AK231" s="1493"/>
      <c r="AL231" s="1493"/>
      <c r="AM231" s="1493"/>
      <c r="AN231" s="1493"/>
      <c r="AO231" s="1493"/>
      <c r="AP231" s="1493"/>
      <c r="AQ231" s="1493"/>
      <c r="AR231" s="1493"/>
      <c r="AS231" s="1493"/>
      <c r="AT231" s="1493"/>
      <c r="AU231" s="95"/>
      <c r="AV231" s="95"/>
      <c r="AW231" s="95"/>
      <c r="AX231" s="95"/>
      <c r="AY231" s="95"/>
      <c r="AZ231" s="3"/>
      <c r="BA231" s="3"/>
      <c r="BP231" s="34"/>
    </row>
    <row r="232" spans="1:69" ht="12.9" customHeight="1">
      <c r="A232" s="1493"/>
      <c r="B232" s="1493"/>
      <c r="C232" s="1493"/>
      <c r="D232" s="1493"/>
      <c r="E232" s="1493"/>
      <c r="F232" s="1493"/>
      <c r="G232" s="1493"/>
      <c r="H232" s="1493"/>
      <c r="I232" s="1493"/>
      <c r="J232" s="1493"/>
      <c r="K232" s="1493"/>
      <c r="L232" s="1493"/>
      <c r="M232" s="1493"/>
      <c r="N232" s="1493"/>
      <c r="O232" s="1493"/>
      <c r="P232" s="1493"/>
      <c r="Q232" s="1493"/>
      <c r="R232" s="1493"/>
      <c r="S232" s="1493"/>
      <c r="T232" s="1493"/>
      <c r="U232" s="1493"/>
      <c r="V232" s="1493"/>
      <c r="W232" s="1493"/>
      <c r="X232" s="1493"/>
      <c r="Y232" s="1493"/>
      <c r="Z232" s="1493"/>
      <c r="AA232" s="1493"/>
      <c r="AB232" s="1493"/>
      <c r="AC232" s="1493"/>
      <c r="AD232" s="1493"/>
      <c r="AE232" s="1493"/>
      <c r="AF232" s="1493"/>
      <c r="AG232" s="1493"/>
      <c r="AH232" s="1493"/>
      <c r="AI232" s="1493"/>
      <c r="AJ232" s="1493"/>
      <c r="AK232" s="1493"/>
      <c r="AL232" s="1493"/>
      <c r="AM232" s="1493"/>
      <c r="AN232" s="1493"/>
      <c r="AO232" s="1493"/>
      <c r="AP232" s="1493"/>
      <c r="AQ232" s="1493"/>
      <c r="AR232" s="1493"/>
      <c r="AS232" s="1493"/>
      <c r="AT232" s="1493"/>
      <c r="BA232" s="3"/>
      <c r="BB232" s="3"/>
      <c r="BQ232" s="34"/>
    </row>
    <row r="233" spans="1:69" ht="12.9" customHeight="1">
      <c r="AZ233" s="4"/>
      <c r="BA233" s="3"/>
      <c r="BB233" s="3"/>
      <c r="BQ233" s="34"/>
    </row>
    <row r="234" spans="1:69" ht="12.9"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1" t="s">
        <v>545</v>
      </c>
      <c r="AJ235" s="1341"/>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1" t="s">
        <v>591</v>
      </c>
      <c r="AJ236" s="1341"/>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1" t="s">
        <v>591</v>
      </c>
      <c r="AJ237" s="134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1" t="s">
        <v>591</v>
      </c>
      <c r="AJ238" s="1341"/>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470</v>
      </c>
      <c r="E241" s="4"/>
      <c r="F241" s="4"/>
      <c r="G241" s="4"/>
      <c r="H241" s="4"/>
      <c r="I241" s="4"/>
      <c r="J241" s="4"/>
      <c r="K241" s="4"/>
      <c r="M241" s="1789" t="str">
        <f>H16</f>
        <v>951 Old County LP</v>
      </c>
      <c r="N241" s="1789"/>
      <c r="O241" s="1789"/>
      <c r="P241" s="1789"/>
      <c r="Q241" s="1789"/>
      <c r="R241" s="1789"/>
      <c r="S241" s="1789"/>
      <c r="T241" s="1789"/>
      <c r="U241" s="1789"/>
      <c r="V241" s="1789"/>
      <c r="W241" s="1789"/>
      <c r="X241" s="1789"/>
      <c r="Y241" s="1789"/>
      <c r="Z241" s="1789"/>
      <c r="AA241" s="1789"/>
      <c r="AB241" s="1789"/>
      <c r="AC241" s="1789"/>
      <c r="AD241" s="1789"/>
      <c r="AE241" s="1789"/>
      <c r="AF241" s="1789"/>
      <c r="AG241" s="1789"/>
      <c r="AH241" s="1789"/>
      <c r="AI241" s="1789"/>
      <c r="AJ241" s="1789"/>
      <c r="AK241" s="1789"/>
      <c r="AZ241" s="4"/>
      <c r="BA241" s="3"/>
      <c r="BB241" s="205" t="s">
        <v>538</v>
      </c>
      <c r="BG241" s="241">
        <f>IF(AND(AND($M$258="nonprofit",$M$266="nonprofit",$M$274="for profit")),2,0)</f>
        <v>0</v>
      </c>
    </row>
    <row r="242" spans="1:67" ht="12.9" customHeight="1">
      <c r="D242" s="4" t="s">
        <v>85</v>
      </c>
      <c r="E242" s="4"/>
      <c r="F242" s="4"/>
      <c r="G242" s="4"/>
      <c r="H242" s="4"/>
      <c r="I242" s="4"/>
      <c r="J242" s="4"/>
      <c r="K242" s="4"/>
      <c r="M242" s="1439" t="s">
        <v>2657</v>
      </c>
      <c r="N242" s="1439"/>
      <c r="O242" s="1439"/>
      <c r="P242" s="1439"/>
      <c r="Q242" s="1439"/>
      <c r="R242" s="1439"/>
      <c r="S242" s="1439"/>
      <c r="T242" s="1439"/>
      <c r="U242" s="1439"/>
      <c r="V242" s="1439"/>
      <c r="W242" s="1439"/>
      <c r="X242" s="1439"/>
      <c r="Y242" s="1439"/>
      <c r="Z242" s="1439"/>
      <c r="AA242" s="1439"/>
      <c r="AB242" s="1439"/>
      <c r="AC242" s="1439"/>
      <c r="AD242" s="1439"/>
      <c r="AE242" s="1439"/>
      <c r="BB242" s="205" t="s">
        <v>538</v>
      </c>
      <c r="BG242" s="241">
        <f>IF(AND(AND($M$258="nonprofit",$M$266="for profit",$M$274="nonprofit")),2,0)</f>
        <v>0</v>
      </c>
    </row>
    <row r="243" spans="1:67" ht="12.9" customHeight="1">
      <c r="D243" s="4" t="s">
        <v>580</v>
      </c>
      <c r="E243" s="4"/>
      <c r="M243" s="1439" t="s">
        <v>2658</v>
      </c>
      <c r="N243" s="1439"/>
      <c r="O243" s="1439"/>
      <c r="P243" s="1439"/>
      <c r="Q243" s="1439"/>
      <c r="R243" s="1439"/>
      <c r="S243" s="1439"/>
      <c r="T243" s="1439"/>
      <c r="V243" s="33" t="s">
        <v>86</v>
      </c>
      <c r="W243" s="1384" t="s">
        <v>2659</v>
      </c>
      <c r="X243" s="1472"/>
      <c r="Y243" s="4" t="s">
        <v>583</v>
      </c>
      <c r="AC243" s="1439">
        <v>10168</v>
      </c>
      <c r="AD243" s="1439"/>
      <c r="AE243" s="1439"/>
      <c r="AU243" s="4"/>
      <c r="AV243" s="4"/>
      <c r="AW243" s="4"/>
      <c r="AX243" s="4"/>
      <c r="AY243" s="4"/>
      <c r="AZ243" s="4"/>
      <c r="BB243" s="205" t="s">
        <v>538</v>
      </c>
      <c r="BG243" s="240">
        <f>IF(AND(AND($M$258="for profit",$M$266="nonprofit",$M$274="nonprofit")),2,0)</f>
        <v>0</v>
      </c>
    </row>
    <row r="244" spans="1:67" ht="12.9" customHeight="1">
      <c r="D244" s="4" t="s">
        <v>87</v>
      </c>
      <c r="E244" s="4"/>
      <c r="F244" s="4"/>
      <c r="G244" s="4"/>
      <c r="H244" s="4"/>
      <c r="I244" s="4"/>
      <c r="J244" s="4"/>
      <c r="K244" s="19"/>
      <c r="M244" s="1267" t="s">
        <v>2660</v>
      </c>
      <c r="N244" s="1266"/>
      <c r="O244" s="1266"/>
      <c r="P244" s="1266"/>
      <c r="Q244" s="1266"/>
      <c r="R244" s="1266"/>
      <c r="S244" s="1266"/>
      <c r="T244" s="1266"/>
      <c r="U244" s="1266"/>
      <c r="V244" s="1266"/>
      <c r="W244" s="1266"/>
      <c r="X244" s="1266"/>
      <c r="Y244" s="1266"/>
      <c r="Z244" s="1266"/>
      <c r="AA244" s="1266"/>
      <c r="AB244" s="1266"/>
      <c r="AC244" s="1266"/>
      <c r="AD244" s="1266"/>
      <c r="AE244" s="1266"/>
      <c r="AI244" s="4"/>
      <c r="AJ244" s="4"/>
      <c r="AK244" s="4"/>
      <c r="AL244" s="4"/>
      <c r="AM244" s="4"/>
      <c r="AN244" s="4"/>
      <c r="AO244" s="4"/>
      <c r="AP244" s="4"/>
      <c r="AQ244" s="4"/>
      <c r="AR244" s="4"/>
      <c r="AS244" s="4"/>
      <c r="AT244" s="4"/>
      <c r="BB244" s="205"/>
      <c r="BG244" s="204"/>
    </row>
    <row r="245" spans="1:67" ht="12.9" customHeight="1">
      <c r="D245" s="4" t="s">
        <v>88</v>
      </c>
      <c r="E245" s="4"/>
      <c r="F245" s="4"/>
      <c r="M245" s="1707" t="s">
        <v>2661</v>
      </c>
      <c r="N245" s="1707"/>
      <c r="O245" s="1707"/>
      <c r="P245" s="1707"/>
      <c r="Q245" s="1707"/>
      <c r="R245" s="1707"/>
      <c r="S245" s="4" t="s">
        <v>206</v>
      </c>
      <c r="T245" s="4"/>
      <c r="U245" s="1472"/>
      <c r="V245" s="1472"/>
      <c r="W245" s="1472"/>
      <c r="X245" s="4" t="s">
        <v>89</v>
      </c>
      <c r="Z245" s="1707"/>
      <c r="AA245" s="1707"/>
      <c r="AB245" s="1707"/>
      <c r="AC245" s="1707"/>
      <c r="AD245" s="1707"/>
      <c r="AE245" s="1707"/>
      <c r="AU245" s="4"/>
      <c r="AV245" s="4"/>
      <c r="AW245" s="4"/>
      <c r="AX245" s="4"/>
      <c r="AY245" s="4"/>
      <c r="AZ245" s="4"/>
      <c r="BB245" s="204" t="s">
        <v>537</v>
      </c>
      <c r="BG245" s="241">
        <f>IF(AND(AND($M$258="nonprofit",$M$266="nonprofit",$M$274="(select one)")),1,0)</f>
        <v>0</v>
      </c>
    </row>
    <row r="246" spans="1:67" ht="12.9" customHeight="1">
      <c r="D246" s="4" t="s">
        <v>90</v>
      </c>
      <c r="E246" s="4"/>
      <c r="F246" s="4"/>
      <c r="M246" s="1799" t="s">
        <v>2662</v>
      </c>
      <c r="N246" s="1799"/>
      <c r="O246" s="1799"/>
      <c r="P246" s="1799"/>
      <c r="Q246" s="1799"/>
      <c r="R246" s="1799"/>
      <c r="S246" s="1799"/>
      <c r="T246" s="1799"/>
      <c r="U246" s="1799"/>
      <c r="V246" s="1799"/>
      <c r="W246" s="1799"/>
      <c r="X246" s="1799"/>
      <c r="Y246" s="1799"/>
      <c r="Z246" s="1799"/>
      <c r="AA246" s="1799"/>
      <c r="AB246" s="1799"/>
      <c r="AC246" s="1799"/>
      <c r="AD246" s="1799"/>
      <c r="AE246" s="1799"/>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 customHeight="1">
      <c r="A247" s="2" t="s">
        <v>586</v>
      </c>
      <c r="C247" s="2" t="s">
        <v>525</v>
      </c>
      <c r="M247" s="1435" t="s">
        <v>528</v>
      </c>
      <c r="N247" s="1435"/>
      <c r="O247" s="1435"/>
      <c r="P247" s="1435"/>
      <c r="Q247" s="1435"/>
      <c r="R247" s="1435"/>
      <c r="S247" s="1435"/>
      <c r="T247" s="1435"/>
      <c r="U247" s="204" t="s">
        <v>906</v>
      </c>
      <c r="V247" s="204"/>
      <c r="W247" s="204"/>
      <c r="X247" s="204"/>
      <c r="Y247" s="204"/>
      <c r="Z247" s="204"/>
      <c r="AA247" s="1776" t="s">
        <v>2755</v>
      </c>
      <c r="AB247" s="1777"/>
      <c r="AC247" s="1777"/>
      <c r="AD247" s="1777"/>
      <c r="AE247" s="1777"/>
      <c r="AF247" s="1777"/>
      <c r="AG247" s="1777"/>
      <c r="AH247" s="1777"/>
      <c r="AI247" s="1777"/>
      <c r="AJ247" s="1777"/>
      <c r="AK247" s="1777"/>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 customHeight="1">
      <c r="D248" t="s">
        <v>531</v>
      </c>
      <c r="M248" s="1457"/>
      <c r="N248" s="1457"/>
      <c r="O248" s="1457"/>
      <c r="P248" s="1457"/>
      <c r="Q248" s="1457"/>
      <c r="R248" s="1457"/>
      <c r="S248" s="1457"/>
      <c r="T248" s="1457"/>
      <c r="U248" s="1457"/>
      <c r="V248" s="1457"/>
      <c r="W248" s="1457"/>
      <c r="X248" s="1457"/>
      <c r="Y248" s="1457"/>
      <c r="Z248" s="1457"/>
      <c r="AA248" s="1457"/>
      <c r="AB248" s="1457"/>
      <c r="AC248" s="1457"/>
      <c r="AD248" s="1457"/>
      <c r="AE248" s="1457"/>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 customHeight="1">
      <c r="D249" s="4"/>
      <c r="BB249" s="204" t="s">
        <v>877</v>
      </c>
      <c r="BG249" s="241">
        <f>IF(AND(AND($M$258="for profit",$M$266="for profit",$M$274="for profit")),3,0)</f>
        <v>0</v>
      </c>
    </row>
    <row r="250" spans="1:67" ht="12.9"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473</v>
      </c>
      <c r="D252" s="4" t="s">
        <v>532</v>
      </c>
      <c r="E252" s="4"/>
      <c r="F252" s="4"/>
      <c r="G252" s="4"/>
      <c r="H252" s="4"/>
      <c r="I252" s="4"/>
      <c r="J252" s="4"/>
      <c r="K252" s="4"/>
      <c r="L252" s="4"/>
      <c r="M252" s="1491" t="s">
        <v>2663</v>
      </c>
      <c r="N252" s="1492"/>
      <c r="O252" s="1492"/>
      <c r="P252" s="1492"/>
      <c r="Q252" s="1492"/>
      <c r="R252" s="1492"/>
      <c r="S252" s="1492"/>
      <c r="T252" s="1492"/>
      <c r="U252" s="1492"/>
      <c r="V252" s="1492"/>
      <c r="W252" s="1492"/>
      <c r="X252" s="1492"/>
      <c r="Y252" s="1492"/>
      <c r="Z252" s="1492"/>
      <c r="AA252" s="1492"/>
      <c r="AB252" s="1492"/>
      <c r="AC252" s="1492"/>
      <c r="AD252" s="1492"/>
      <c r="AE252" s="1492"/>
      <c r="AF252" s="1492" t="s">
        <v>2664</v>
      </c>
      <c r="AG252" s="1492"/>
      <c r="AH252" s="1492"/>
      <c r="AI252" s="1492"/>
      <c r="AJ252" s="1492"/>
      <c r="AK252" s="1492"/>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439" t="s">
        <v>2665</v>
      </c>
      <c r="N253" s="1489"/>
      <c r="O253" s="1489"/>
      <c r="P253" s="1489"/>
      <c r="Q253" s="1489"/>
      <c r="R253" s="1489"/>
      <c r="S253" s="1489"/>
      <c r="T253" s="1489"/>
      <c r="U253" s="1489"/>
      <c r="V253" s="1489"/>
      <c r="W253" s="1489"/>
      <c r="X253" s="1489"/>
      <c r="Y253" s="1489"/>
      <c r="Z253" s="1489"/>
      <c r="AA253" s="1489"/>
      <c r="AB253" s="1489"/>
      <c r="AC253" s="1489"/>
      <c r="AD253" s="1489"/>
      <c r="AE253" s="1489"/>
      <c r="AF253" s="3" t="s">
        <v>1179</v>
      </c>
      <c r="AL253" s="4"/>
      <c r="AM253" s="4"/>
      <c r="AN253" s="4"/>
      <c r="AO253" s="4"/>
      <c r="AP253" s="4"/>
      <c r="AQ253" s="4"/>
      <c r="AR253" s="4"/>
      <c r="AS253" s="4"/>
      <c r="AT253" s="4"/>
      <c r="BB253" t="s">
        <v>307</v>
      </c>
      <c r="BG253">
        <v>1</v>
      </c>
      <c r="BH253" t="s">
        <v>534</v>
      </c>
    </row>
    <row r="254" spans="1:67" ht="12.9" customHeight="1">
      <c r="A254" s="19"/>
      <c r="B254" s="4"/>
      <c r="C254" s="4"/>
      <c r="D254" s="4" t="s">
        <v>580</v>
      </c>
      <c r="E254" s="4"/>
      <c r="M254" s="1439" t="s">
        <v>2666</v>
      </c>
      <c r="N254" s="1489"/>
      <c r="O254" s="1489"/>
      <c r="P254" s="1489"/>
      <c r="Q254" s="1489"/>
      <c r="R254" s="1489"/>
      <c r="S254" s="1489"/>
      <c r="T254" s="1489"/>
      <c r="V254" s="33" t="s">
        <v>86</v>
      </c>
      <c r="W254" s="1384" t="s">
        <v>2667</v>
      </c>
      <c r="X254" s="1472"/>
      <c r="Y254" s="4" t="s">
        <v>583</v>
      </c>
      <c r="AC254" s="1489">
        <v>96001</v>
      </c>
      <c r="AD254" s="1489"/>
      <c r="AE254" s="1489"/>
      <c r="AF254" s="3" t="s">
        <v>1180</v>
      </c>
      <c r="AU254" s="4"/>
      <c r="AV254" s="4"/>
      <c r="AW254" s="4"/>
      <c r="AX254" s="4"/>
      <c r="AY254" s="4"/>
      <c r="BB254" s="4" t="s">
        <v>280</v>
      </c>
      <c r="BG254">
        <v>2</v>
      </c>
      <c r="BH254" t="s">
        <v>566</v>
      </c>
      <c r="BO254" s="239" t="str">
        <f>VLOOKUP(BG252,BG253:BH256,2,FALSE)</f>
        <v>Joint Venture</v>
      </c>
    </row>
    <row r="255" spans="1:67" ht="12.9" customHeight="1">
      <c r="A255" s="19"/>
      <c r="B255" s="4"/>
      <c r="C255" s="4"/>
      <c r="D255" s="4" t="s">
        <v>87</v>
      </c>
      <c r="E255" s="4"/>
      <c r="F255" s="4"/>
      <c r="G255" s="4"/>
      <c r="H255" s="4"/>
      <c r="I255" s="4"/>
      <c r="J255" s="4"/>
      <c r="K255" s="4"/>
      <c r="L255" s="19"/>
      <c r="M255" s="1439" t="s">
        <v>2669</v>
      </c>
      <c r="N255" s="1489"/>
      <c r="O255" s="1489"/>
      <c r="P255" s="1489"/>
      <c r="Q255" s="1489"/>
      <c r="R255" s="1489"/>
      <c r="S255" s="1489"/>
      <c r="T255" s="1489"/>
      <c r="U255" s="1489"/>
      <c r="V255" s="1489"/>
      <c r="W255" s="1489"/>
      <c r="X255" s="1489"/>
      <c r="Y255" s="1489"/>
      <c r="Z255" s="1489"/>
      <c r="AA255" s="1489"/>
      <c r="AB255" s="1489"/>
      <c r="AC255" s="1489"/>
      <c r="AD255" s="1489"/>
      <c r="AE255" s="1489"/>
      <c r="AH255" s="1779">
        <v>5.1000000000000004E-4</v>
      </c>
      <c r="AI255" s="1779"/>
      <c r="AJ255" s="1779"/>
      <c r="AK255" s="1779"/>
      <c r="AL255" s="4"/>
      <c r="AM255" s="4"/>
      <c r="AN255" s="4"/>
      <c r="AO255" s="4"/>
      <c r="AP255" s="4"/>
      <c r="AQ255" s="4"/>
      <c r="AR255" s="4"/>
      <c r="AS255" s="4"/>
      <c r="AT255" s="4"/>
      <c r="BB255" s="4" t="s">
        <v>173</v>
      </c>
      <c r="BG255">
        <v>3</v>
      </c>
      <c r="BH255" t="s">
        <v>536</v>
      </c>
      <c r="BN255" s="34"/>
    </row>
    <row r="256" spans="1:67" ht="12.9" customHeight="1">
      <c r="A256" s="19"/>
      <c r="B256" s="4"/>
      <c r="C256" s="4"/>
      <c r="D256" s="4" t="s">
        <v>88</v>
      </c>
      <c r="E256" s="4"/>
      <c r="F256" s="4"/>
      <c r="M256" s="1707" t="s">
        <v>2668</v>
      </c>
      <c r="N256" s="1707"/>
      <c r="O256" s="1707"/>
      <c r="P256" s="1707"/>
      <c r="Q256" s="1707"/>
      <c r="R256" s="1707"/>
      <c r="S256" s="4" t="s">
        <v>206</v>
      </c>
      <c r="T256" s="4"/>
      <c r="U256" s="1472"/>
      <c r="V256" s="1472"/>
      <c r="W256" s="1472"/>
      <c r="X256" s="4" t="s">
        <v>89</v>
      </c>
      <c r="Z256" s="1707"/>
      <c r="AA256" s="1707"/>
      <c r="AB256" s="1707"/>
      <c r="AC256" s="1707"/>
      <c r="AD256" s="1707"/>
      <c r="AE256" s="1707"/>
      <c r="AU256" s="4"/>
      <c r="AV256" s="4"/>
      <c r="AW256" s="4"/>
      <c r="AX256" s="4"/>
      <c r="AY256" s="4"/>
      <c r="BG256">
        <v>0</v>
      </c>
      <c r="BH256" s="3" t="str">
        <f>""</f>
        <v/>
      </c>
      <c r="BN256" s="34"/>
    </row>
    <row r="257" spans="1:66" ht="12.9" customHeight="1">
      <c r="A257" s="19"/>
      <c r="B257" s="4"/>
      <c r="C257" s="4"/>
      <c r="D257" s="4" t="s">
        <v>90</v>
      </c>
      <c r="E257" s="4"/>
      <c r="F257" s="4"/>
      <c r="M257" s="1799" t="s">
        <v>2670</v>
      </c>
      <c r="N257" s="1799"/>
      <c r="O257" s="1799"/>
      <c r="P257" s="1799"/>
      <c r="Q257" s="1799"/>
      <c r="R257" s="1799"/>
      <c r="S257" s="1799"/>
      <c r="T257" s="1799"/>
      <c r="U257" s="1799"/>
      <c r="V257" s="1799"/>
      <c r="W257" s="1799"/>
      <c r="X257" s="1799"/>
      <c r="Y257" s="1799"/>
      <c r="Z257" s="1799"/>
      <c r="AA257" s="1799"/>
      <c r="AB257" s="1799"/>
      <c r="AC257" s="1799"/>
      <c r="AD257" s="1799"/>
      <c r="AE257" s="1799"/>
      <c r="AG257" s="4"/>
      <c r="AH257" s="4"/>
      <c r="AI257" s="4"/>
      <c r="AJ257" s="4"/>
      <c r="AK257" s="4"/>
      <c r="AL257" s="4"/>
      <c r="AM257" s="4"/>
      <c r="AN257" s="4"/>
      <c r="AO257" s="4"/>
      <c r="AP257" s="4"/>
      <c r="AQ257" s="4"/>
      <c r="AR257" s="4"/>
      <c r="AS257" s="4"/>
      <c r="AT257" s="4"/>
      <c r="BN257" s="34"/>
    </row>
    <row r="258" spans="1:66" ht="12.9" customHeight="1">
      <c r="A258" s="13"/>
      <c r="B258" s="4"/>
      <c r="C258" s="56"/>
      <c r="D258" s="4" t="s">
        <v>535</v>
      </c>
      <c r="E258" s="4"/>
      <c r="F258" s="4"/>
      <c r="G258" s="4"/>
      <c r="H258" s="4"/>
      <c r="I258" s="4"/>
      <c r="J258" s="4"/>
      <c r="K258" s="4"/>
      <c r="L258" s="4"/>
      <c r="M258" s="1435" t="s">
        <v>534</v>
      </c>
      <c r="N258" s="1435"/>
      <c r="O258" s="1435"/>
      <c r="P258" s="1435"/>
      <c r="Q258" s="1435"/>
      <c r="R258" s="1435"/>
      <c r="S258" s="1435"/>
      <c r="T258" s="1435"/>
      <c r="U258" s="204" t="s">
        <v>906</v>
      </c>
      <c r="V258" s="204"/>
      <c r="W258" s="204"/>
      <c r="X258" s="204"/>
      <c r="Y258" s="204"/>
      <c r="Z258" s="204"/>
      <c r="AA258" s="1777"/>
      <c r="AB258" s="1777"/>
      <c r="AC258" s="1777"/>
      <c r="AD258" s="1777"/>
      <c r="AE258" s="1777"/>
      <c r="AF258" s="1777"/>
      <c r="AG258" s="1777"/>
      <c r="AH258" s="1777"/>
      <c r="AI258" s="1777"/>
      <c r="AJ258" s="1777"/>
      <c r="AK258" s="1777"/>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955</v>
      </c>
      <c r="E260" s="4"/>
      <c r="F260" s="4"/>
      <c r="G260" s="4"/>
      <c r="H260" s="4"/>
      <c r="I260" s="4"/>
      <c r="J260" s="4"/>
      <c r="K260" s="4"/>
      <c r="L260" s="4"/>
      <c r="M260" s="1491" t="s">
        <v>2671</v>
      </c>
      <c r="N260" s="1492"/>
      <c r="O260" s="1492"/>
      <c r="P260" s="1492"/>
      <c r="Q260" s="1492"/>
      <c r="R260" s="1492"/>
      <c r="S260" s="1492"/>
      <c r="T260" s="1492"/>
      <c r="U260" s="1492"/>
      <c r="V260" s="1492"/>
      <c r="W260" s="1492"/>
      <c r="X260" s="1492"/>
      <c r="Y260" s="1492"/>
      <c r="Z260" s="1492"/>
      <c r="AA260" s="1492"/>
      <c r="AB260" s="1492"/>
      <c r="AC260" s="1492"/>
      <c r="AD260" s="1492"/>
      <c r="AE260" s="1492"/>
      <c r="AF260" s="1492" t="s">
        <v>2672</v>
      </c>
      <c r="AG260" s="1492"/>
      <c r="AH260" s="1492"/>
      <c r="AI260" s="1492"/>
      <c r="AJ260" s="1492"/>
      <c r="AK260" s="1492"/>
      <c r="AU260" s="4"/>
      <c r="AV260" s="4"/>
      <c r="AW260" s="4"/>
      <c r="AX260" s="4"/>
      <c r="AY260" s="4"/>
      <c r="BN260" s="34"/>
    </row>
    <row r="261" spans="1:66" ht="12.9" customHeight="1">
      <c r="A261" s="19"/>
      <c r="B261" s="4"/>
      <c r="C261" s="4"/>
      <c r="D261" s="4" t="s">
        <v>85</v>
      </c>
      <c r="E261" s="4"/>
      <c r="F261" s="4"/>
      <c r="G261" s="4"/>
      <c r="H261" s="4"/>
      <c r="I261" s="4"/>
      <c r="J261" s="4"/>
      <c r="K261" s="4"/>
      <c r="L261" s="4"/>
      <c r="M261" s="1439" t="s">
        <v>2657</v>
      </c>
      <c r="N261" s="1489"/>
      <c r="O261" s="1489"/>
      <c r="P261" s="1489"/>
      <c r="Q261" s="1489"/>
      <c r="R261" s="1489"/>
      <c r="S261" s="1489"/>
      <c r="T261" s="1489"/>
      <c r="U261" s="1489"/>
      <c r="V261" s="1489"/>
      <c r="W261" s="1489"/>
      <c r="X261" s="1489"/>
      <c r="Y261" s="1489"/>
      <c r="Z261" s="1489"/>
      <c r="AA261" s="1489"/>
      <c r="AB261" s="1489"/>
      <c r="AC261" s="1489"/>
      <c r="AD261" s="1489"/>
      <c r="AE261" s="1489"/>
      <c r="AF261" s="3" t="s">
        <v>1179</v>
      </c>
      <c r="AL261" s="4"/>
      <c r="AM261" s="4"/>
      <c r="AN261" s="4"/>
      <c r="AO261" s="4"/>
      <c r="AP261" s="4"/>
      <c r="AQ261" s="4"/>
      <c r="AR261" s="4"/>
      <c r="AS261" s="4"/>
      <c r="AT261" s="4"/>
      <c r="BN261" s="34"/>
    </row>
    <row r="262" spans="1:66" ht="12.9" customHeight="1">
      <c r="A262" s="19"/>
      <c r="B262" s="4"/>
      <c r="C262" s="4"/>
      <c r="D262" s="4" t="s">
        <v>580</v>
      </c>
      <c r="E262" s="4"/>
      <c r="M262" s="1489" t="s">
        <v>2658</v>
      </c>
      <c r="N262" s="1489"/>
      <c r="O262" s="1489"/>
      <c r="P262" s="1489"/>
      <c r="Q262" s="1489"/>
      <c r="R262" s="1489"/>
      <c r="S262" s="1489"/>
      <c r="T262" s="1489"/>
      <c r="V262" s="33" t="s">
        <v>86</v>
      </c>
      <c r="W262" s="1384" t="s">
        <v>2659</v>
      </c>
      <c r="X262" s="1472"/>
      <c r="Y262" s="4" t="s">
        <v>583</v>
      </c>
      <c r="AC262" s="1489">
        <v>10168</v>
      </c>
      <c r="AD262" s="1489"/>
      <c r="AE262" s="1489"/>
      <c r="AF262" s="3" t="s">
        <v>1180</v>
      </c>
      <c r="AU262" s="4"/>
      <c r="AV262" s="4"/>
      <c r="AW262" s="4"/>
      <c r="AX262" s="4"/>
      <c r="AY262" s="4"/>
      <c r="BN262" s="34"/>
    </row>
    <row r="263" spans="1:66" ht="12.9" customHeight="1">
      <c r="A263" s="19"/>
      <c r="B263" s="4"/>
      <c r="C263" s="4"/>
      <c r="D263" s="4" t="s">
        <v>87</v>
      </c>
      <c r="E263" s="4"/>
      <c r="F263" s="4"/>
      <c r="G263" s="4"/>
      <c r="H263" s="4"/>
      <c r="I263" s="4"/>
      <c r="J263" s="4"/>
      <c r="K263" s="4"/>
      <c r="L263" s="19"/>
      <c r="M263" s="1489" t="s">
        <v>2660</v>
      </c>
      <c r="N263" s="1489"/>
      <c r="O263" s="1489"/>
      <c r="P263" s="1489"/>
      <c r="Q263" s="1489"/>
      <c r="R263" s="1489"/>
      <c r="S263" s="1489"/>
      <c r="T263" s="1489"/>
      <c r="U263" s="1489"/>
      <c r="V263" s="1489"/>
      <c r="W263" s="1489"/>
      <c r="X263" s="1489"/>
      <c r="Y263" s="1489"/>
      <c r="Z263" s="1489"/>
      <c r="AA263" s="1489"/>
      <c r="AB263" s="1489"/>
      <c r="AC263" s="1489"/>
      <c r="AD263" s="1489"/>
      <c r="AE263" s="1489"/>
      <c r="AH263" s="1779">
        <v>4.8999999999999998E-4</v>
      </c>
      <c r="AI263" s="1779"/>
      <c r="AJ263" s="1779"/>
      <c r="AK263" s="1779"/>
      <c r="AL263" s="4"/>
      <c r="AM263" s="4"/>
      <c r="AN263" s="4"/>
      <c r="AO263" s="4"/>
      <c r="AP263" s="4"/>
      <c r="AQ263" s="4"/>
      <c r="AR263" s="4"/>
      <c r="AS263" s="4"/>
      <c r="AT263" s="4"/>
    </row>
    <row r="264" spans="1:66" ht="12.9" customHeight="1">
      <c r="A264" s="19"/>
      <c r="B264" s="4"/>
      <c r="C264" s="4"/>
      <c r="D264" s="4" t="s">
        <v>88</v>
      </c>
      <c r="E264" s="4"/>
      <c r="F264" s="4"/>
      <c r="M264" s="1707" t="s">
        <v>2661</v>
      </c>
      <c r="N264" s="1707"/>
      <c r="O264" s="1707"/>
      <c r="P264" s="1707"/>
      <c r="Q264" s="1707"/>
      <c r="R264" s="1707"/>
      <c r="S264" s="4" t="s">
        <v>206</v>
      </c>
      <c r="T264" s="4"/>
      <c r="U264" s="1472"/>
      <c r="V264" s="1472"/>
      <c r="W264" s="1472"/>
      <c r="X264" s="4" t="s">
        <v>89</v>
      </c>
      <c r="Z264" s="1707"/>
      <c r="AA264" s="1707"/>
      <c r="AB264" s="1707"/>
      <c r="AC264" s="1707"/>
      <c r="AD264" s="1707"/>
      <c r="AE264" s="1707"/>
      <c r="AU264" s="4"/>
      <c r="AV264" s="4"/>
      <c r="AW264" s="4"/>
      <c r="AX264" s="4"/>
      <c r="AY264" s="4"/>
      <c r="BN264" s="34"/>
    </row>
    <row r="265" spans="1:66" ht="12.9" customHeight="1">
      <c r="A265" s="19"/>
      <c r="B265" s="4"/>
      <c r="C265" s="4"/>
      <c r="D265" s="4" t="s">
        <v>90</v>
      </c>
      <c r="E265" s="4"/>
      <c r="F265" s="4"/>
      <c r="M265" s="1799" t="s">
        <v>2662</v>
      </c>
      <c r="N265" s="1799"/>
      <c r="O265" s="1799"/>
      <c r="P265" s="1799"/>
      <c r="Q265" s="1799"/>
      <c r="R265" s="1799"/>
      <c r="S265" s="1799"/>
      <c r="T265" s="1799"/>
      <c r="U265" s="1799"/>
      <c r="V265" s="1799"/>
      <c r="W265" s="1799"/>
      <c r="X265" s="1799"/>
      <c r="Y265" s="1799"/>
      <c r="Z265" s="1799"/>
      <c r="AA265" s="1799"/>
      <c r="AB265" s="1799"/>
      <c r="AC265" s="1799"/>
      <c r="AD265" s="1799"/>
      <c r="AE265" s="1799"/>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535</v>
      </c>
      <c r="E266" s="4"/>
      <c r="F266" s="4"/>
      <c r="G266" s="4"/>
      <c r="H266" s="4"/>
      <c r="I266" s="4"/>
      <c r="J266" s="4"/>
      <c r="K266" s="4"/>
      <c r="L266" s="4"/>
      <c r="M266" s="1435" t="s">
        <v>536</v>
      </c>
      <c r="N266" s="1435"/>
      <c r="O266" s="1435"/>
      <c r="P266" s="1435"/>
      <c r="Q266" s="1435"/>
      <c r="R266" s="1435"/>
      <c r="S266" s="1435"/>
      <c r="T266" s="1435"/>
      <c r="U266" s="204" t="s">
        <v>906</v>
      </c>
      <c r="V266" s="204"/>
      <c r="W266" s="204"/>
      <c r="X266" s="204"/>
      <c r="Y266" s="204"/>
      <c r="Z266" s="204"/>
      <c r="AA266" s="1776" t="s">
        <v>2673</v>
      </c>
      <c r="AB266" s="1777"/>
      <c r="AC266" s="1777"/>
      <c r="AD266" s="1777"/>
      <c r="AE266" s="1777"/>
      <c r="AF266" s="1777"/>
      <c r="AG266" s="1777"/>
      <c r="AH266" s="1777"/>
      <c r="AI266" s="1777"/>
      <c r="AJ266" s="1777"/>
      <c r="AK266" s="1777"/>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876</v>
      </c>
      <c r="D268" s="4" t="s">
        <v>532</v>
      </c>
      <c r="E268" s="4"/>
      <c r="F268" s="4"/>
      <c r="G268" s="4"/>
      <c r="H268" s="4"/>
      <c r="I268" s="4"/>
      <c r="J268" s="4"/>
      <c r="K268" s="4"/>
      <c r="L268" s="4"/>
      <c r="M268" s="1492"/>
      <c r="N268" s="1492"/>
      <c r="O268" s="1492"/>
      <c r="P268" s="1492"/>
      <c r="Q268" s="1492"/>
      <c r="R268" s="1492"/>
      <c r="S268" s="1492"/>
      <c r="T268" s="1492"/>
      <c r="U268" s="1492"/>
      <c r="V268" s="1492"/>
      <c r="W268" s="1492"/>
      <c r="X268" s="1492"/>
      <c r="Y268" s="1492"/>
      <c r="Z268" s="1492"/>
      <c r="AA268" s="1492"/>
      <c r="AB268" s="1492"/>
      <c r="AC268" s="1492"/>
      <c r="AD268" s="1492"/>
      <c r="AE268" s="1492"/>
      <c r="AF268" s="1492" t="s">
        <v>307</v>
      </c>
      <c r="AG268" s="1492"/>
      <c r="AH268" s="1492"/>
      <c r="AI268" s="1492"/>
      <c r="AJ268" s="1492"/>
      <c r="AK268" s="1492"/>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489"/>
      <c r="N269" s="1489"/>
      <c r="O269" s="1489"/>
      <c r="P269" s="1489"/>
      <c r="Q269" s="1489"/>
      <c r="R269" s="1489"/>
      <c r="S269" s="1489"/>
      <c r="T269" s="1489"/>
      <c r="U269" s="1489"/>
      <c r="V269" s="1489"/>
      <c r="W269" s="1489"/>
      <c r="X269" s="1489"/>
      <c r="Y269" s="1489"/>
      <c r="Z269" s="1489"/>
      <c r="AA269" s="1489"/>
      <c r="AB269" s="1489"/>
      <c r="AC269" s="1489"/>
      <c r="AD269" s="1489"/>
      <c r="AE269" s="1489"/>
      <c r="AF269" s="3" t="s">
        <v>1179</v>
      </c>
      <c r="AL269" s="3"/>
      <c r="AM269" s="3"/>
      <c r="AN269" s="3"/>
      <c r="AO269" s="3"/>
      <c r="AP269" s="3"/>
      <c r="AQ269" s="3"/>
      <c r="AR269" s="3"/>
      <c r="AS269" s="3"/>
      <c r="AT269" s="3"/>
      <c r="AU269" s="3"/>
      <c r="AV269" s="3"/>
      <c r="AW269" s="3"/>
      <c r="AX269" s="3"/>
      <c r="AY269" s="3"/>
    </row>
    <row r="270" spans="1:66" ht="12.9" customHeight="1">
      <c r="A270" s="13"/>
      <c r="B270" s="4"/>
      <c r="C270" s="4"/>
      <c r="D270" s="4" t="s">
        <v>580</v>
      </c>
      <c r="E270" s="4"/>
      <c r="M270" s="1489"/>
      <c r="N270" s="1489"/>
      <c r="O270" s="1489"/>
      <c r="P270" s="1489"/>
      <c r="Q270" s="1489"/>
      <c r="R270" s="1489"/>
      <c r="S270" s="1489"/>
      <c r="T270" s="1489"/>
      <c r="V270" s="33" t="s">
        <v>86</v>
      </c>
      <c r="W270" s="1472"/>
      <c r="X270" s="1472"/>
      <c r="Y270" s="4" t="s">
        <v>583</v>
      </c>
      <c r="AC270" s="1489"/>
      <c r="AD270" s="1489"/>
      <c r="AE270" s="1489"/>
      <c r="AF270" s="3" t="s">
        <v>1180</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489"/>
      <c r="N271" s="1489"/>
      <c r="O271" s="1489"/>
      <c r="P271" s="1489"/>
      <c r="Q271" s="1489"/>
      <c r="R271" s="1489"/>
      <c r="S271" s="1489"/>
      <c r="T271" s="1489"/>
      <c r="U271" s="1489"/>
      <c r="V271" s="1489"/>
      <c r="W271" s="1489"/>
      <c r="X271" s="1489"/>
      <c r="Y271" s="1489"/>
      <c r="Z271" s="1489"/>
      <c r="AA271" s="1489"/>
      <c r="AB271" s="1489"/>
      <c r="AC271" s="1489"/>
      <c r="AD271" s="1489"/>
      <c r="AE271" s="1489"/>
      <c r="AH271" s="1779"/>
      <c r="AI271" s="1779"/>
      <c r="AJ271" s="1779"/>
      <c r="AK271" s="1779"/>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707"/>
      <c r="N272" s="1707"/>
      <c r="O272" s="1707"/>
      <c r="P272" s="1707"/>
      <c r="Q272" s="1707"/>
      <c r="R272" s="1707"/>
      <c r="S272" s="4" t="s">
        <v>206</v>
      </c>
      <c r="T272" s="4"/>
      <c r="U272" s="1472"/>
      <c r="V272" s="1472"/>
      <c r="W272" s="1472"/>
      <c r="X272" s="4" t="s">
        <v>89</v>
      </c>
      <c r="Z272" s="1707"/>
      <c r="AA272" s="1707"/>
      <c r="AB272" s="1707"/>
      <c r="AC272" s="1707"/>
      <c r="AD272" s="1707"/>
      <c r="AE272" s="1707"/>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799"/>
      <c r="N273" s="1799"/>
      <c r="O273" s="1799"/>
      <c r="P273" s="1799"/>
      <c r="Q273" s="1799"/>
      <c r="R273" s="1799"/>
      <c r="S273" s="1799"/>
      <c r="T273" s="1799"/>
      <c r="U273" s="1799"/>
      <c r="V273" s="1799"/>
      <c r="W273" s="1799"/>
      <c r="X273" s="1799"/>
      <c r="Y273" s="1799"/>
      <c r="Z273" s="1799"/>
      <c r="AA273" s="1815"/>
      <c r="AB273" s="1815"/>
      <c r="AC273" s="1815"/>
      <c r="AD273" s="1815"/>
      <c r="AE273" s="1815"/>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535</v>
      </c>
      <c r="E274" s="4"/>
      <c r="F274" s="4"/>
      <c r="G274" s="4"/>
      <c r="H274" s="4"/>
      <c r="I274" s="4"/>
      <c r="J274" s="4"/>
      <c r="K274" s="4"/>
      <c r="L274" s="4"/>
      <c r="M274" s="1435" t="s">
        <v>307</v>
      </c>
      <c r="N274" s="1435"/>
      <c r="O274" s="1435"/>
      <c r="P274" s="1435"/>
      <c r="Q274" s="1435"/>
      <c r="R274" s="1435"/>
      <c r="S274" s="1435"/>
      <c r="T274" s="1435"/>
      <c r="U274" s="204" t="s">
        <v>906</v>
      </c>
      <c r="V274" s="204"/>
      <c r="W274" s="204"/>
      <c r="X274" s="204"/>
      <c r="Y274" s="204"/>
      <c r="Z274" s="204"/>
      <c r="AA274" s="1778"/>
      <c r="AB274" s="1778"/>
      <c r="AC274" s="1778"/>
      <c r="AD274" s="1778"/>
      <c r="AE274" s="1778"/>
      <c r="AF274" s="1778"/>
      <c r="AG274" s="1778"/>
      <c r="AH274" s="1778"/>
      <c r="AI274" s="1778"/>
      <c r="AJ274" s="1778"/>
      <c r="AK274" s="1778"/>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590</v>
      </c>
      <c r="B276" s="4"/>
      <c r="C276" s="2" t="s">
        <v>295</v>
      </c>
      <c r="D276" s="4"/>
      <c r="E276" s="4"/>
      <c r="F276" s="4"/>
      <c r="G276" s="4"/>
      <c r="H276" s="4"/>
      <c r="I276" s="4"/>
      <c r="J276" s="4"/>
      <c r="K276" s="4"/>
      <c r="L276" s="4"/>
      <c r="M276" s="35"/>
      <c r="N276" s="35"/>
      <c r="O276" s="35"/>
      <c r="P276" s="35"/>
      <c r="Q276" s="35"/>
      <c r="T276" s="1780" t="str">
        <f>IFERROR(BO254,"")</f>
        <v>Joint Venture</v>
      </c>
      <c r="U276" s="1780"/>
      <c r="V276" s="1780"/>
      <c r="W276" s="1780"/>
      <c r="X276" s="1780"/>
      <c r="Z276" s="307" t="s">
        <v>954</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 customHeight="1">
      <c r="A279" s="4"/>
      <c r="B279" s="36">
        <v>0</v>
      </c>
      <c r="D279" s="1489" t="s">
        <v>280</v>
      </c>
      <c r="E279" s="1489"/>
      <c r="F279" s="1489"/>
      <c r="G279" s="1489"/>
      <c r="H279" s="1489"/>
      <c r="J279" t="s">
        <v>279</v>
      </c>
      <c r="X279" s="1458"/>
      <c r="Y279" s="1458"/>
      <c r="Z279" s="1458"/>
      <c r="AA279" s="1458"/>
      <c r="AB279" s="1458"/>
      <c r="AC279" s="1458"/>
      <c r="AU279" s="3"/>
      <c r="AV279" s="3"/>
      <c r="AW279" s="3"/>
      <c r="AX279" s="3"/>
      <c r="AY279" s="3"/>
    </row>
    <row r="280" spans="1:51" ht="12.9"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296</v>
      </c>
      <c r="E283" s="4"/>
      <c r="F283" s="4"/>
      <c r="G283" s="4"/>
      <c r="H283" s="4"/>
      <c r="I283" s="4"/>
      <c r="J283" s="4"/>
      <c r="K283" s="4"/>
      <c r="L283" s="1492" t="s">
        <v>2673</v>
      </c>
      <c r="M283" s="1492"/>
      <c r="N283" s="1492"/>
      <c r="O283" s="1492"/>
      <c r="P283" s="1492"/>
      <c r="Q283" s="1492"/>
      <c r="R283" s="1492"/>
      <c r="S283" s="1492"/>
      <c r="T283" s="1492"/>
      <c r="U283" s="1492"/>
      <c r="V283" s="1492"/>
      <c r="W283" s="1492"/>
      <c r="X283" s="1492"/>
      <c r="Y283" s="1492"/>
      <c r="Z283" s="1492"/>
      <c r="AA283" s="1492"/>
      <c r="AB283" s="1492"/>
      <c r="AC283" s="1492"/>
      <c r="AD283" s="1492"/>
      <c r="AE283" s="1492"/>
      <c r="AF283" s="1492"/>
      <c r="AG283" s="1492"/>
      <c r="AH283" s="1492"/>
      <c r="AI283" s="1492"/>
      <c r="AJ283" s="1492"/>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89" t="s">
        <v>2657</v>
      </c>
      <c r="M284" s="1489"/>
      <c r="N284" s="1489"/>
      <c r="O284" s="1489"/>
      <c r="P284" s="1489"/>
      <c r="Q284" s="1489"/>
      <c r="R284" s="1489"/>
      <c r="S284" s="1489"/>
      <c r="T284" s="1489"/>
      <c r="U284" s="1489"/>
      <c r="V284" s="1489"/>
      <c r="W284" s="1489"/>
      <c r="X284" s="1489"/>
      <c r="Y284" s="1489"/>
      <c r="Z284" s="1489"/>
      <c r="AA284" s="1489"/>
      <c r="AB284" s="1489"/>
      <c r="AC284" s="1489"/>
      <c r="AD284" s="1489"/>
      <c r="AK284" s="3"/>
      <c r="AL284" s="3"/>
      <c r="AM284" s="3"/>
      <c r="AN284" s="3"/>
      <c r="AO284" s="3"/>
      <c r="AP284" s="3"/>
      <c r="AQ284" s="3"/>
      <c r="AR284" s="3"/>
      <c r="AS284" s="3"/>
      <c r="AT284" s="3"/>
      <c r="AU284" s="3"/>
      <c r="AV284" s="3"/>
      <c r="AW284" s="3"/>
      <c r="AX284" s="3"/>
      <c r="AY284" s="3"/>
    </row>
    <row r="285" spans="1:51" ht="12.9" customHeight="1">
      <c r="D285" s="4" t="s">
        <v>580</v>
      </c>
      <c r="E285" s="4"/>
      <c r="L285" s="1489" t="s">
        <v>2658</v>
      </c>
      <c r="M285" s="1489"/>
      <c r="N285" s="1489"/>
      <c r="O285" s="1489"/>
      <c r="P285" s="1489"/>
      <c r="Q285" s="1489"/>
      <c r="R285" s="1489"/>
      <c r="S285" s="1489"/>
      <c r="U285" s="33" t="s">
        <v>86</v>
      </c>
      <c r="V285" s="1384" t="s">
        <v>2659</v>
      </c>
      <c r="W285" s="1472"/>
      <c r="X285" s="4" t="s">
        <v>583</v>
      </c>
      <c r="AB285" s="1489">
        <v>10168</v>
      </c>
      <c r="AC285" s="1489"/>
      <c r="AD285" s="1489"/>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89" t="s">
        <v>2674</v>
      </c>
      <c r="M286" s="1489"/>
      <c r="N286" s="1489"/>
      <c r="O286" s="1489"/>
      <c r="P286" s="1489"/>
      <c r="Q286" s="1489"/>
      <c r="R286" s="1489"/>
      <c r="S286" s="1489"/>
      <c r="T286" s="1489"/>
      <c r="U286" s="1489"/>
      <c r="V286" s="1489"/>
      <c r="W286" s="1489"/>
      <c r="X286" s="1489"/>
      <c r="Y286" s="1489"/>
      <c r="Z286" s="1489"/>
      <c r="AA286" s="1489"/>
      <c r="AB286" s="1489"/>
      <c r="AC286" s="1489"/>
      <c r="AD286" s="1489"/>
      <c r="AI286" s="4"/>
      <c r="AJ286" s="4"/>
      <c r="AK286" s="3"/>
      <c r="AL286" s="3"/>
      <c r="AM286" s="3"/>
      <c r="AN286" s="3"/>
      <c r="AO286" s="3"/>
      <c r="AP286" s="3"/>
      <c r="AQ286" s="3"/>
      <c r="AR286" s="3"/>
      <c r="AS286" s="3"/>
      <c r="AT286" s="3"/>
    </row>
    <row r="287" spans="1:51" ht="12.9" customHeight="1">
      <c r="D287" s="4" t="s">
        <v>88</v>
      </c>
      <c r="E287" s="4"/>
      <c r="F287" s="4"/>
      <c r="L287" s="1709" t="s">
        <v>2675</v>
      </c>
      <c r="M287" s="1707"/>
      <c r="N287" s="1707"/>
      <c r="O287" s="1707"/>
      <c r="P287" s="1707"/>
      <c r="Q287" s="1707"/>
      <c r="R287" s="4" t="s">
        <v>206</v>
      </c>
      <c r="S287" s="4"/>
      <c r="T287" s="1472"/>
      <c r="U287" s="1472"/>
      <c r="V287" s="1472"/>
      <c r="W287" s="4" t="s">
        <v>89</v>
      </c>
      <c r="Y287" s="1707"/>
      <c r="Z287" s="1707"/>
      <c r="AA287" s="1707"/>
      <c r="AB287" s="1707"/>
      <c r="AC287" s="1707"/>
      <c r="AD287" s="1707"/>
    </row>
    <row r="288" spans="1:51" ht="12.9" customHeight="1">
      <c r="D288" s="4" t="s">
        <v>90</v>
      </c>
      <c r="E288" s="4"/>
      <c r="F288" s="4"/>
      <c r="L288" s="1799" t="s">
        <v>2676</v>
      </c>
      <c r="M288" s="1799"/>
      <c r="N288" s="1799"/>
      <c r="O288" s="1799"/>
      <c r="P288" s="1799"/>
      <c r="Q288" s="1799"/>
      <c r="R288" s="1799"/>
      <c r="S288" s="1799"/>
      <c r="T288" s="1799"/>
      <c r="U288" s="1799"/>
      <c r="V288" s="1799"/>
      <c r="W288" s="1799"/>
      <c r="X288" s="1799"/>
      <c r="Y288" s="1799"/>
      <c r="Z288" s="1799"/>
      <c r="AA288" s="1799"/>
      <c r="AB288" s="1799"/>
      <c r="AC288" s="1799"/>
      <c r="AD288" s="1799"/>
      <c r="AF288" s="4"/>
      <c r="AG288" s="4"/>
      <c r="AH288" s="4"/>
      <c r="AI288" s="4"/>
      <c r="AJ288" s="4"/>
      <c r="AU288" s="3"/>
      <c r="AV288" s="3"/>
      <c r="AW288" s="3"/>
      <c r="AX288" s="3"/>
      <c r="AY288" s="3"/>
    </row>
    <row r="289" spans="1:51" ht="12.9" customHeight="1">
      <c r="D289" s="3" t="s">
        <v>623</v>
      </c>
      <c r="E289" s="3"/>
      <c r="F289" s="3"/>
      <c r="G289" s="3"/>
      <c r="H289" s="3"/>
      <c r="I289" s="3"/>
      <c r="L289" s="1384" t="s">
        <v>2677</v>
      </c>
      <c r="M289" s="1384"/>
      <c r="N289" s="1384"/>
      <c r="O289" s="1384"/>
      <c r="P289" s="1384"/>
      <c r="Q289" s="1384"/>
      <c r="R289" s="1384"/>
      <c r="S289" s="1384"/>
      <c r="T289" s="1384"/>
      <c r="U289" s="1384"/>
      <c r="V289" s="1384"/>
      <c r="W289" s="1384"/>
      <c r="X289" s="1384"/>
      <c r="Y289" s="1384"/>
      <c r="Z289" s="1384"/>
      <c r="AA289" s="1384"/>
      <c r="AB289" s="1384"/>
      <c r="AC289" s="1384"/>
      <c r="AD289" s="1384"/>
      <c r="AK289" s="3"/>
      <c r="AL289" s="3"/>
      <c r="AM289" s="3"/>
      <c r="AN289" s="3"/>
      <c r="AO289" s="3"/>
      <c r="AP289" s="3"/>
      <c r="AQ289" s="3"/>
      <c r="AR289" s="3"/>
      <c r="AS289" s="3"/>
      <c r="AT289" s="3"/>
    </row>
    <row r="290" spans="1:51" ht="12.9" customHeight="1">
      <c r="L290" s="22" t="s">
        <v>624</v>
      </c>
      <c r="AU290" s="95"/>
      <c r="AV290" s="95"/>
      <c r="AW290" s="95"/>
      <c r="AX290" s="95"/>
      <c r="AY290" s="95"/>
    </row>
    <row r="291" spans="1:51" ht="12.9" customHeight="1">
      <c r="A291" s="1493" t="s">
        <v>541</v>
      </c>
      <c r="B291" s="1493"/>
      <c r="C291" s="1493"/>
      <c r="D291" s="1493"/>
      <c r="E291" s="1493"/>
      <c r="F291" s="1493"/>
      <c r="G291" s="1493"/>
      <c r="H291" s="1493"/>
      <c r="I291" s="1493"/>
      <c r="J291" s="1493"/>
      <c r="K291" s="1493"/>
      <c r="L291" s="1493"/>
      <c r="M291" s="1493"/>
      <c r="N291" s="1493"/>
      <c r="O291" s="1493"/>
      <c r="P291" s="1493"/>
      <c r="Q291" s="1493"/>
      <c r="R291" s="1493"/>
      <c r="S291" s="1493"/>
      <c r="T291" s="1493"/>
      <c r="U291" s="1493"/>
      <c r="V291" s="1493"/>
      <c r="W291" s="1493"/>
      <c r="X291" s="1493"/>
      <c r="Y291" s="1493"/>
      <c r="Z291" s="1493"/>
      <c r="AA291" s="1493"/>
      <c r="AB291" s="1493"/>
      <c r="AC291" s="1493"/>
      <c r="AD291" s="1493"/>
      <c r="AE291" s="1493"/>
      <c r="AF291" s="1493"/>
      <c r="AG291" s="1493"/>
      <c r="AH291" s="1493"/>
      <c r="AI291" s="1493"/>
      <c r="AJ291" s="1493"/>
      <c r="AK291" s="1493"/>
      <c r="AL291" s="1493"/>
      <c r="AM291" s="1493"/>
      <c r="AN291" s="1493"/>
      <c r="AO291" s="1493"/>
      <c r="AP291" s="1493"/>
      <c r="AQ291" s="1493"/>
      <c r="AR291" s="1493"/>
      <c r="AS291" s="1493"/>
      <c r="AT291" s="1493"/>
      <c r="AU291" s="95"/>
      <c r="AV291" s="95"/>
      <c r="AW291" s="95"/>
      <c r="AX291" s="95"/>
      <c r="AY291" s="95"/>
    </row>
    <row r="292" spans="1:51" ht="12.9" customHeight="1">
      <c r="A292" s="1493"/>
      <c r="B292" s="1493"/>
      <c r="C292" s="1493"/>
      <c r="D292" s="1493"/>
      <c r="E292" s="1493"/>
      <c r="F292" s="1493"/>
      <c r="G292" s="1493"/>
      <c r="H292" s="1493"/>
      <c r="I292" s="1493"/>
      <c r="J292" s="1493"/>
      <c r="K292" s="1493"/>
      <c r="L292" s="1493"/>
      <c r="M292" s="1493"/>
      <c r="N292" s="1493"/>
      <c r="O292" s="1493"/>
      <c r="P292" s="1493"/>
      <c r="Q292" s="1493"/>
      <c r="R292" s="1493"/>
      <c r="S292" s="1493"/>
      <c r="T292" s="1493"/>
      <c r="U292" s="1493"/>
      <c r="V292" s="1493"/>
      <c r="W292" s="1493"/>
      <c r="X292" s="1493"/>
      <c r="Y292" s="1493"/>
      <c r="Z292" s="1493"/>
      <c r="AA292" s="1493"/>
      <c r="AB292" s="1493"/>
      <c r="AC292" s="1493"/>
      <c r="AD292" s="1493"/>
      <c r="AE292" s="1493"/>
      <c r="AF292" s="1493"/>
      <c r="AG292" s="1493"/>
      <c r="AH292" s="1493"/>
      <c r="AI292" s="1493"/>
      <c r="AJ292" s="1493"/>
      <c r="AK292" s="1493"/>
      <c r="AL292" s="1493"/>
      <c r="AM292" s="1493"/>
      <c r="AN292" s="1493"/>
      <c r="AO292" s="1493"/>
      <c r="AP292" s="1493"/>
      <c r="AQ292" s="1493"/>
      <c r="AR292" s="1493"/>
      <c r="AS292" s="1493"/>
      <c r="AT292" s="1493"/>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626</v>
      </c>
      <c r="C296" s="3"/>
      <c r="D296" s="3"/>
      <c r="E296" s="3"/>
      <c r="F296" s="3"/>
      <c r="H296" s="1457" t="s">
        <v>2673</v>
      </c>
      <c r="I296" s="1457"/>
      <c r="J296" s="1457"/>
      <c r="K296" s="1457"/>
      <c r="L296" s="1457"/>
      <c r="M296" s="1457"/>
      <c r="N296" s="1457"/>
      <c r="O296" s="1457"/>
      <c r="P296" s="1457"/>
      <c r="Q296" s="1457"/>
      <c r="R296" s="1457"/>
      <c r="T296" s="3" t="s">
        <v>567</v>
      </c>
      <c r="V296" s="3"/>
      <c r="W296" s="3"/>
      <c r="X296" s="3"/>
      <c r="Y296" s="3"/>
      <c r="AA296" s="1457" t="s">
        <v>2679</v>
      </c>
      <c r="AB296" s="1457"/>
      <c r="AC296" s="1457"/>
      <c r="AD296" s="1457"/>
      <c r="AE296" s="1457"/>
      <c r="AF296" s="1457"/>
      <c r="AG296" s="1457"/>
      <c r="AH296" s="1457"/>
      <c r="AI296" s="1457"/>
      <c r="AJ296" s="1457"/>
      <c r="AK296" s="1457"/>
    </row>
    <row r="297" spans="1:51" ht="12.9" customHeight="1">
      <c r="B297" s="3" t="s">
        <v>471</v>
      </c>
      <c r="C297" s="3"/>
      <c r="D297" s="3"/>
      <c r="E297" s="3"/>
      <c r="F297" s="3"/>
      <c r="H297" s="1435" t="s">
        <v>2657</v>
      </c>
      <c r="I297" s="1435"/>
      <c r="J297" s="1435"/>
      <c r="K297" s="1435"/>
      <c r="L297" s="1435"/>
      <c r="M297" s="1435"/>
      <c r="N297" s="1435"/>
      <c r="O297" s="1435"/>
      <c r="P297" s="1435"/>
      <c r="Q297" s="1435"/>
      <c r="R297" s="1435"/>
      <c r="T297" s="3" t="s">
        <v>471</v>
      </c>
      <c r="V297" s="3"/>
      <c r="W297" s="3"/>
      <c r="X297" s="3"/>
      <c r="Y297" s="3"/>
      <c r="AA297" s="1435" t="s">
        <v>2680</v>
      </c>
      <c r="AB297" s="1435"/>
      <c r="AC297" s="1435"/>
      <c r="AD297" s="1435"/>
      <c r="AE297" s="1435"/>
      <c r="AF297" s="1435"/>
      <c r="AG297" s="1435"/>
      <c r="AH297" s="1435"/>
      <c r="AI297" s="1435"/>
      <c r="AJ297" s="1435"/>
      <c r="AK297" s="1435"/>
    </row>
    <row r="298" spans="1:51" ht="12.9" customHeight="1">
      <c r="B298" s="3" t="s">
        <v>472</v>
      </c>
      <c r="C298" s="3"/>
      <c r="D298" s="3"/>
      <c r="E298" s="3"/>
      <c r="F298" s="3"/>
      <c r="H298" s="1435" t="s">
        <v>2678</v>
      </c>
      <c r="I298" s="1435"/>
      <c r="J298" s="1435"/>
      <c r="K298" s="1435"/>
      <c r="L298" s="1435"/>
      <c r="M298" s="1435"/>
      <c r="N298" s="1435"/>
      <c r="O298" s="1435"/>
      <c r="P298" s="1435"/>
      <c r="Q298" s="1435"/>
      <c r="R298" s="1435"/>
      <c r="T298" s="3" t="s">
        <v>75</v>
      </c>
      <c r="V298" s="3"/>
      <c r="W298" s="3"/>
      <c r="X298" s="3"/>
      <c r="Y298" s="3"/>
      <c r="AA298" s="1435" t="s">
        <v>2681</v>
      </c>
      <c r="AB298" s="1435"/>
      <c r="AC298" s="1435"/>
      <c r="AD298" s="1435"/>
      <c r="AE298" s="1435"/>
      <c r="AF298" s="1435"/>
      <c r="AG298" s="1435"/>
      <c r="AH298" s="1435"/>
      <c r="AI298" s="1435"/>
      <c r="AJ298" s="1435"/>
      <c r="AK298" s="1435"/>
    </row>
    <row r="299" spans="1:51" ht="12.9" customHeight="1">
      <c r="B299" s="3" t="s">
        <v>87</v>
      </c>
      <c r="C299" s="3"/>
      <c r="D299" s="3"/>
      <c r="E299" s="3"/>
      <c r="F299" s="3"/>
      <c r="H299" s="1435" t="s">
        <v>2660</v>
      </c>
      <c r="I299" s="1435"/>
      <c r="J299" s="1435"/>
      <c r="K299" s="1435"/>
      <c r="L299" s="1435"/>
      <c r="M299" s="1435"/>
      <c r="N299" s="1435"/>
      <c r="O299" s="1435"/>
      <c r="P299" s="1435"/>
      <c r="Q299" s="1435"/>
      <c r="R299" s="1435"/>
      <c r="T299" s="3" t="s">
        <v>87</v>
      </c>
      <c r="V299" s="3"/>
      <c r="W299" s="3"/>
      <c r="X299" s="3"/>
      <c r="Y299" s="3"/>
      <c r="AA299" s="1435" t="s">
        <v>2682</v>
      </c>
      <c r="AB299" s="1435"/>
      <c r="AC299" s="1435"/>
      <c r="AD299" s="1435"/>
      <c r="AE299" s="1435"/>
      <c r="AF299" s="1435"/>
      <c r="AG299" s="1435"/>
      <c r="AH299" s="1435"/>
      <c r="AI299" s="1435"/>
      <c r="AJ299" s="1435"/>
      <c r="AK299" s="1435"/>
    </row>
    <row r="300" spans="1:51" ht="12.9" customHeight="1">
      <c r="B300" s="3" t="s">
        <v>88</v>
      </c>
      <c r="C300" s="3"/>
      <c r="D300" s="3"/>
      <c r="E300" s="3"/>
      <c r="F300" s="3"/>
      <c r="G300" s="3"/>
      <c r="H300" s="1495" t="s">
        <v>2661</v>
      </c>
      <c r="I300" s="1495"/>
      <c r="J300" s="1495"/>
      <c r="K300" s="1495"/>
      <c r="L300" s="1495"/>
      <c r="M300" s="1495"/>
      <c r="N300" s="4" t="s">
        <v>206</v>
      </c>
      <c r="O300" s="4"/>
      <c r="P300" s="1489"/>
      <c r="Q300" s="1489"/>
      <c r="R300" s="1489"/>
      <c r="S300" s="3"/>
      <c r="T300" s="3" t="s">
        <v>88</v>
      </c>
      <c r="V300" s="3"/>
      <c r="W300" s="3"/>
      <c r="X300" s="3"/>
      <c r="Y300" s="3"/>
      <c r="AA300" s="1495" t="s">
        <v>2683</v>
      </c>
      <c r="AB300" s="1495"/>
      <c r="AC300" s="1495"/>
      <c r="AD300" s="1495"/>
      <c r="AE300" s="1495"/>
      <c r="AF300" s="1495"/>
      <c r="AG300" s="4" t="s">
        <v>206</v>
      </c>
      <c r="AH300" s="4"/>
      <c r="AI300" s="1489"/>
      <c r="AJ300" s="1489"/>
      <c r="AK300" s="1489"/>
    </row>
    <row r="301" spans="1:51" ht="12.9" customHeight="1">
      <c r="B301" s="3" t="s">
        <v>89</v>
      </c>
      <c r="C301" s="3"/>
      <c r="D301" s="3"/>
      <c r="E301" s="3"/>
      <c r="F301" s="3"/>
      <c r="G301" s="3"/>
      <c r="H301" s="1707"/>
      <c r="I301" s="1707"/>
      <c r="J301" s="1707"/>
      <c r="K301" s="1707"/>
      <c r="L301" s="1707"/>
      <c r="M301" s="1707"/>
      <c r="N301" s="4"/>
      <c r="O301" s="4"/>
      <c r="P301" s="35"/>
      <c r="Q301" s="35"/>
      <c r="R301" s="35"/>
      <c r="S301" s="3"/>
      <c r="T301" s="3" t="s">
        <v>89</v>
      </c>
      <c r="V301" s="3"/>
      <c r="W301" s="3"/>
      <c r="X301" s="3"/>
      <c r="Y301" s="3"/>
      <c r="AA301" s="1707"/>
      <c r="AB301" s="1707"/>
      <c r="AC301" s="1707"/>
      <c r="AD301" s="1707"/>
      <c r="AE301" s="1707"/>
      <c r="AF301" s="1707"/>
      <c r="AG301" s="4"/>
      <c r="AH301" s="4"/>
      <c r="AI301" s="35"/>
      <c r="AJ301" s="35"/>
      <c r="AK301" s="35"/>
    </row>
    <row r="302" spans="1:51" ht="12.9" customHeight="1">
      <c r="B302" s="3" t="s">
        <v>76</v>
      </c>
      <c r="C302" s="3"/>
      <c r="D302" s="3"/>
      <c r="E302" s="3"/>
      <c r="F302" s="3"/>
      <c r="G302" s="3"/>
      <c r="H302" s="1435" t="s">
        <v>2662</v>
      </c>
      <c r="I302" s="1435"/>
      <c r="J302" s="1435"/>
      <c r="K302" s="1435"/>
      <c r="L302" s="1435"/>
      <c r="M302" s="1435"/>
      <c r="N302" s="1457"/>
      <c r="O302" s="1457"/>
      <c r="P302" s="1457"/>
      <c r="Q302" s="1457"/>
      <c r="R302" s="1457"/>
      <c r="S302" s="3"/>
      <c r="T302" s="3" t="s">
        <v>76</v>
      </c>
      <c r="V302" s="3"/>
      <c r="W302" s="3"/>
      <c r="X302" s="3"/>
      <c r="Y302" s="3"/>
      <c r="AA302" s="1435" t="s">
        <v>2684</v>
      </c>
      <c r="AB302" s="1435"/>
      <c r="AC302" s="1435"/>
      <c r="AD302" s="1435"/>
      <c r="AE302" s="1435"/>
      <c r="AF302" s="1435"/>
      <c r="AG302" s="1457"/>
      <c r="AH302" s="1457"/>
      <c r="AI302" s="1457"/>
      <c r="AJ302" s="1457"/>
      <c r="AK302" s="1457"/>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323</v>
      </c>
      <c r="C304" s="3"/>
      <c r="D304" s="3"/>
      <c r="E304" s="3"/>
      <c r="F304" s="3"/>
      <c r="H304" s="1457" t="s">
        <v>2685</v>
      </c>
      <c r="I304" s="1457"/>
      <c r="J304" s="1457"/>
      <c r="K304" s="1457"/>
      <c r="L304" s="1457"/>
      <c r="M304" s="1457"/>
      <c r="N304" s="1457"/>
      <c r="O304" s="1457"/>
      <c r="P304" s="1457"/>
      <c r="Q304" s="1457"/>
      <c r="R304" s="1457"/>
      <c r="T304" s="3" t="s">
        <v>364</v>
      </c>
      <c r="V304" s="3"/>
      <c r="W304" s="3"/>
      <c r="X304" s="3"/>
      <c r="Y304" s="3"/>
      <c r="AA304" s="1457" t="s">
        <v>2691</v>
      </c>
      <c r="AB304" s="1457"/>
      <c r="AC304" s="1457"/>
      <c r="AD304" s="1457"/>
      <c r="AE304" s="1457"/>
      <c r="AF304" s="1457"/>
      <c r="AG304" s="1457"/>
      <c r="AH304" s="1457"/>
      <c r="AI304" s="1457"/>
      <c r="AJ304" s="1457"/>
      <c r="AK304" s="1457"/>
    </row>
    <row r="305" spans="2:72" ht="12.9" customHeight="1">
      <c r="B305" s="3" t="s">
        <v>471</v>
      </c>
      <c r="C305" s="3"/>
      <c r="D305" s="3"/>
      <c r="E305" s="3"/>
      <c r="F305" s="3"/>
      <c r="H305" s="1435" t="s">
        <v>2686</v>
      </c>
      <c r="I305" s="1435"/>
      <c r="J305" s="1435"/>
      <c r="K305" s="1435"/>
      <c r="L305" s="1435"/>
      <c r="M305" s="1435"/>
      <c r="N305" s="1435"/>
      <c r="O305" s="1435"/>
      <c r="P305" s="1435"/>
      <c r="Q305" s="1435"/>
      <c r="R305" s="1435"/>
      <c r="T305" s="3" t="s">
        <v>471</v>
      </c>
      <c r="V305" s="3"/>
      <c r="W305" s="3"/>
      <c r="X305" s="3"/>
      <c r="Y305" s="3"/>
      <c r="AA305" s="1435" t="s">
        <v>2692</v>
      </c>
      <c r="AB305" s="1435"/>
      <c r="AC305" s="1435"/>
      <c r="AD305" s="1435"/>
      <c r="AE305" s="1435"/>
      <c r="AF305" s="1435"/>
      <c r="AG305" s="1435"/>
      <c r="AH305" s="1435"/>
      <c r="AI305" s="1435"/>
      <c r="AJ305" s="1435"/>
      <c r="AK305" s="143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472</v>
      </c>
      <c r="C306" s="3"/>
      <c r="D306" s="3"/>
      <c r="E306" s="3"/>
      <c r="F306" s="3"/>
      <c r="H306" s="1435" t="s">
        <v>2687</v>
      </c>
      <c r="I306" s="1435"/>
      <c r="J306" s="1435"/>
      <c r="K306" s="1435"/>
      <c r="L306" s="1435"/>
      <c r="M306" s="1435"/>
      <c r="N306" s="1435"/>
      <c r="O306" s="1435"/>
      <c r="P306" s="1435"/>
      <c r="Q306" s="1435"/>
      <c r="R306" s="1435"/>
      <c r="T306" s="3" t="s">
        <v>75</v>
      </c>
      <c r="V306" s="3"/>
      <c r="W306" s="3"/>
      <c r="X306" s="3"/>
      <c r="Y306" s="3"/>
      <c r="AA306" s="1435" t="s">
        <v>2693</v>
      </c>
      <c r="AB306" s="1435"/>
      <c r="AC306" s="1435"/>
      <c r="AD306" s="1435"/>
      <c r="AE306" s="1435"/>
      <c r="AF306" s="1435"/>
      <c r="AG306" s="1435"/>
      <c r="AH306" s="1435"/>
      <c r="AI306" s="1435"/>
      <c r="AJ306" s="1435"/>
      <c r="AK306" s="143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435" t="s">
        <v>2688</v>
      </c>
      <c r="I307" s="1435"/>
      <c r="J307" s="1435"/>
      <c r="K307" s="1435"/>
      <c r="L307" s="1435"/>
      <c r="M307" s="1435"/>
      <c r="N307" s="1435"/>
      <c r="O307" s="1435"/>
      <c r="P307" s="1435"/>
      <c r="Q307" s="1435"/>
      <c r="R307" s="1435"/>
      <c r="T307" s="3" t="s">
        <v>87</v>
      </c>
      <c r="V307" s="3"/>
      <c r="W307" s="3"/>
      <c r="X307" s="3"/>
      <c r="Y307" s="3"/>
      <c r="AA307" s="1435" t="s">
        <v>2694</v>
      </c>
      <c r="AB307" s="1435"/>
      <c r="AC307" s="1435"/>
      <c r="AD307" s="1435"/>
      <c r="AE307" s="1435"/>
      <c r="AF307" s="1435"/>
      <c r="AG307" s="1435"/>
      <c r="AH307" s="1435"/>
      <c r="AI307" s="1435"/>
      <c r="AJ307" s="1435"/>
      <c r="AK307" s="1435"/>
    </row>
    <row r="308" spans="2:72" ht="12.9" customHeight="1">
      <c r="B308" s="3" t="s">
        <v>88</v>
      </c>
      <c r="C308" s="3"/>
      <c r="D308" s="3"/>
      <c r="E308" s="3"/>
      <c r="F308" s="3"/>
      <c r="G308" s="3"/>
      <c r="H308" s="1495" t="s">
        <v>2689</v>
      </c>
      <c r="I308" s="1495"/>
      <c r="J308" s="1495"/>
      <c r="K308" s="1495"/>
      <c r="L308" s="1495"/>
      <c r="M308" s="1495"/>
      <c r="N308" s="4" t="s">
        <v>206</v>
      </c>
      <c r="O308" s="4"/>
      <c r="P308" s="1489"/>
      <c r="Q308" s="1489"/>
      <c r="R308" s="1489"/>
      <c r="S308" s="3"/>
      <c r="T308" s="3" t="s">
        <v>88</v>
      </c>
      <c r="V308" s="3"/>
      <c r="W308" s="3"/>
      <c r="X308" s="3"/>
      <c r="Y308" s="3"/>
      <c r="AA308" s="1495" t="s">
        <v>2695</v>
      </c>
      <c r="AB308" s="1495"/>
      <c r="AC308" s="1495"/>
      <c r="AD308" s="1495"/>
      <c r="AE308" s="1495"/>
      <c r="AF308" s="1495"/>
      <c r="AG308" s="4" t="s">
        <v>206</v>
      </c>
      <c r="AH308" s="4"/>
      <c r="AI308" s="1489"/>
      <c r="AJ308" s="1489"/>
      <c r="AK308" s="1489"/>
    </row>
    <row r="309" spans="2:72" ht="12.9" customHeight="1">
      <c r="B309" s="3" t="s">
        <v>89</v>
      </c>
      <c r="C309" s="3"/>
      <c r="D309" s="3"/>
      <c r="E309" s="3"/>
      <c r="F309" s="3"/>
      <c r="G309" s="3"/>
      <c r="H309" s="1707"/>
      <c r="I309" s="1707"/>
      <c r="J309" s="1707"/>
      <c r="K309" s="1707"/>
      <c r="L309" s="1707"/>
      <c r="M309" s="1707"/>
      <c r="N309" s="4"/>
      <c r="O309" s="4"/>
      <c r="P309" s="35"/>
      <c r="Q309" s="35"/>
      <c r="R309" s="35"/>
      <c r="S309" s="3"/>
      <c r="T309" s="3" t="s">
        <v>89</v>
      </c>
      <c r="V309" s="3"/>
      <c r="W309" s="3"/>
      <c r="X309" s="3"/>
      <c r="Y309" s="3"/>
      <c r="AA309" s="1707"/>
      <c r="AB309" s="1707"/>
      <c r="AC309" s="1707"/>
      <c r="AD309" s="1707"/>
      <c r="AE309" s="1707"/>
      <c r="AF309" s="1707"/>
      <c r="AG309" s="4"/>
      <c r="AH309" s="4"/>
      <c r="AI309" s="35"/>
      <c r="AJ309" s="35"/>
      <c r="AK309" s="35"/>
    </row>
    <row r="310" spans="2:72" ht="12.9" customHeight="1">
      <c r="B310" s="3" t="s">
        <v>76</v>
      </c>
      <c r="C310" s="3"/>
      <c r="D310" s="3"/>
      <c r="E310" s="3"/>
      <c r="F310" s="3"/>
      <c r="G310" s="3"/>
      <c r="H310" s="1435" t="s">
        <v>2690</v>
      </c>
      <c r="I310" s="1435"/>
      <c r="J310" s="1435"/>
      <c r="K310" s="1435"/>
      <c r="L310" s="1435"/>
      <c r="M310" s="1435"/>
      <c r="N310" s="1457"/>
      <c r="O310" s="1457"/>
      <c r="P310" s="1457"/>
      <c r="Q310" s="1457"/>
      <c r="R310" s="1457"/>
      <c r="S310" s="3"/>
      <c r="T310" s="3" t="s">
        <v>76</v>
      </c>
      <c r="V310" s="3"/>
      <c r="W310" s="3"/>
      <c r="X310" s="3"/>
      <c r="Y310" s="3"/>
      <c r="AA310" s="1435" t="s">
        <v>2696</v>
      </c>
      <c r="AB310" s="1435"/>
      <c r="AC310" s="1435"/>
      <c r="AD310" s="1435"/>
      <c r="AE310" s="1435"/>
      <c r="AF310" s="1435"/>
      <c r="AG310" s="1457"/>
      <c r="AH310" s="1457"/>
      <c r="AI310" s="1457"/>
      <c r="AJ310" s="1457"/>
      <c r="AK310" s="1457"/>
    </row>
    <row r="311" spans="2:72" ht="12.9" customHeight="1"/>
    <row r="312" spans="2:72" ht="12.9" customHeight="1">
      <c r="B312" s="3" t="s">
        <v>77</v>
      </c>
      <c r="C312" s="3"/>
      <c r="D312" s="3"/>
      <c r="E312" s="3"/>
      <c r="F312" s="3"/>
      <c r="H312" s="1457" t="s">
        <v>2757</v>
      </c>
      <c r="I312" s="1457"/>
      <c r="J312" s="1457"/>
      <c r="K312" s="1457"/>
      <c r="L312" s="1457"/>
      <c r="M312" s="1457"/>
      <c r="N312" s="1457"/>
      <c r="O312" s="1457"/>
      <c r="P312" s="1457"/>
      <c r="Q312" s="1457"/>
      <c r="R312" s="1457"/>
      <c r="T312" s="4" t="s">
        <v>878</v>
      </c>
      <c r="V312" s="3"/>
      <c r="W312" s="3"/>
      <c r="X312" s="3"/>
      <c r="Y312" s="3"/>
      <c r="AA312" s="1457" t="s">
        <v>2711</v>
      </c>
      <c r="AB312" s="1457"/>
      <c r="AC312" s="1457"/>
      <c r="AD312" s="1457"/>
      <c r="AE312" s="1457"/>
      <c r="AF312" s="1457"/>
      <c r="AG312" s="1457"/>
      <c r="AH312" s="1457"/>
      <c r="AI312" s="1457"/>
      <c r="AJ312" s="1457"/>
      <c r="AK312" s="1457"/>
    </row>
    <row r="313" spans="2:72" ht="12.9" customHeight="1">
      <c r="B313" s="3" t="s">
        <v>471</v>
      </c>
      <c r="C313" s="3"/>
      <c r="D313" s="3"/>
      <c r="E313" s="3"/>
      <c r="F313" s="3"/>
      <c r="H313" s="1435" t="s">
        <v>2758</v>
      </c>
      <c r="I313" s="1435"/>
      <c r="J313" s="1435"/>
      <c r="K313" s="1435"/>
      <c r="L313" s="1435"/>
      <c r="M313" s="1435"/>
      <c r="N313" s="1435"/>
      <c r="O313" s="1435"/>
      <c r="P313" s="1435"/>
      <c r="Q313" s="1435"/>
      <c r="R313" s="1435"/>
      <c r="T313" s="3" t="s">
        <v>471</v>
      </c>
      <c r="V313" s="3"/>
      <c r="W313" s="3"/>
      <c r="X313" s="3"/>
      <c r="Y313" s="3"/>
      <c r="AA313" s="1435" t="s">
        <v>2712</v>
      </c>
      <c r="AB313" s="1435"/>
      <c r="AC313" s="1435"/>
      <c r="AD313" s="1435"/>
      <c r="AE313" s="1435"/>
      <c r="AF313" s="1435"/>
      <c r="AG313" s="1435"/>
      <c r="AH313" s="1435"/>
      <c r="AI313" s="1435"/>
      <c r="AJ313" s="1435"/>
      <c r="AK313" s="1435"/>
    </row>
    <row r="314" spans="2:72" ht="12.9" customHeight="1">
      <c r="B314" s="3" t="s">
        <v>472</v>
      </c>
      <c r="C314" s="3"/>
      <c r="D314" s="3"/>
      <c r="E314" s="3"/>
      <c r="F314" s="3"/>
      <c r="H314" s="1435" t="s">
        <v>2759</v>
      </c>
      <c r="I314" s="1435"/>
      <c r="J314" s="1435"/>
      <c r="K314" s="1435"/>
      <c r="L314" s="1435"/>
      <c r="M314" s="1435"/>
      <c r="N314" s="1435"/>
      <c r="O314" s="1435"/>
      <c r="P314" s="1435"/>
      <c r="Q314" s="1435"/>
      <c r="R314" s="1435"/>
      <c r="T314" s="3" t="s">
        <v>75</v>
      </c>
      <c r="V314" s="3"/>
      <c r="W314" s="3"/>
      <c r="X314" s="3"/>
      <c r="Y314" s="3"/>
      <c r="AA314" s="1435" t="s">
        <v>2713</v>
      </c>
      <c r="AB314" s="1435"/>
      <c r="AC314" s="1435"/>
      <c r="AD314" s="1435"/>
      <c r="AE314" s="1435"/>
      <c r="AF314" s="1435"/>
      <c r="AG314" s="1435"/>
      <c r="AH314" s="1435"/>
      <c r="AI314" s="1435"/>
      <c r="AJ314" s="1435"/>
      <c r="AK314" s="1435"/>
    </row>
    <row r="315" spans="2:72" ht="12.9" customHeight="1">
      <c r="B315" s="3" t="s">
        <v>87</v>
      </c>
      <c r="C315" s="3"/>
      <c r="D315" s="3"/>
      <c r="E315" s="3"/>
      <c r="F315" s="3"/>
      <c r="H315" s="1435" t="s">
        <v>2700</v>
      </c>
      <c r="I315" s="1435"/>
      <c r="J315" s="1435"/>
      <c r="K315" s="1435"/>
      <c r="L315" s="1435"/>
      <c r="M315" s="1435"/>
      <c r="N315" s="1435"/>
      <c r="O315" s="1435"/>
      <c r="P315" s="1435"/>
      <c r="Q315" s="1435"/>
      <c r="R315" s="1435"/>
      <c r="T315" s="3" t="s">
        <v>87</v>
      </c>
      <c r="V315" s="3"/>
      <c r="W315" s="3"/>
      <c r="X315" s="3"/>
      <c r="Y315" s="3"/>
      <c r="AA315" s="1435" t="s">
        <v>2714</v>
      </c>
      <c r="AB315" s="1435"/>
      <c r="AC315" s="1435"/>
      <c r="AD315" s="1435"/>
      <c r="AE315" s="1435"/>
      <c r="AF315" s="1435"/>
      <c r="AG315" s="1435"/>
      <c r="AH315" s="1435"/>
      <c r="AI315" s="1435"/>
      <c r="AJ315" s="1435"/>
      <c r="AK315" s="1435"/>
    </row>
    <row r="316" spans="2:72" ht="12.9" customHeight="1">
      <c r="B316" s="3" t="s">
        <v>88</v>
      </c>
      <c r="C316" s="3"/>
      <c r="D316" s="3"/>
      <c r="E316" s="3"/>
      <c r="F316" s="3"/>
      <c r="G316" s="3"/>
      <c r="H316" s="1495" t="s">
        <v>2760</v>
      </c>
      <c r="I316" s="1495"/>
      <c r="J316" s="1495"/>
      <c r="K316" s="1495"/>
      <c r="L316" s="1495"/>
      <c r="M316" s="1495"/>
      <c r="N316" s="4" t="s">
        <v>206</v>
      </c>
      <c r="O316" s="4"/>
      <c r="P316" s="1489"/>
      <c r="Q316" s="1489"/>
      <c r="R316" s="1489"/>
      <c r="S316" s="3"/>
      <c r="T316" s="3" t="s">
        <v>88</v>
      </c>
      <c r="V316" s="3"/>
      <c r="W316" s="3"/>
      <c r="X316" s="3"/>
      <c r="Y316" s="3"/>
      <c r="AA316" s="1495" t="s">
        <v>2715</v>
      </c>
      <c r="AB316" s="1495"/>
      <c r="AC316" s="1495"/>
      <c r="AD316" s="1495"/>
      <c r="AE316" s="1495"/>
      <c r="AF316" s="1495"/>
      <c r="AG316" s="4" t="s">
        <v>206</v>
      </c>
      <c r="AH316" s="4"/>
      <c r="AI316" s="1489"/>
      <c r="AJ316" s="1489"/>
      <c r="AK316" s="1489"/>
    </row>
    <row r="317" spans="2:72" ht="12.9" customHeight="1">
      <c r="B317" s="3" t="s">
        <v>89</v>
      </c>
      <c r="C317" s="3"/>
      <c r="D317" s="3"/>
      <c r="E317" s="3"/>
      <c r="F317" s="3"/>
      <c r="G317" s="3"/>
      <c r="H317" s="1707"/>
      <c r="I317" s="1707"/>
      <c r="J317" s="1707"/>
      <c r="K317" s="1707"/>
      <c r="L317" s="1707"/>
      <c r="M317" s="1707"/>
      <c r="N317" s="4"/>
      <c r="O317" s="4"/>
      <c r="P317" s="35"/>
      <c r="Q317" s="35"/>
      <c r="R317" s="35"/>
      <c r="S317" s="3"/>
      <c r="T317" s="3" t="s">
        <v>89</v>
      </c>
      <c r="V317" s="3"/>
      <c r="W317" s="3"/>
      <c r="X317" s="3"/>
      <c r="Y317" s="3"/>
      <c r="AA317" s="1707"/>
      <c r="AB317" s="1707"/>
      <c r="AC317" s="1707"/>
      <c r="AD317" s="1707"/>
      <c r="AE317" s="1707"/>
      <c r="AF317" s="1707"/>
      <c r="AG317" s="4"/>
      <c r="AH317" s="4"/>
      <c r="AI317" s="35"/>
      <c r="AJ317" s="35"/>
      <c r="AK317" s="35"/>
    </row>
    <row r="318" spans="2:72" ht="12.9" customHeight="1">
      <c r="B318" s="3" t="s">
        <v>76</v>
      </c>
      <c r="C318" s="3"/>
      <c r="D318" s="3"/>
      <c r="E318" s="3"/>
      <c r="F318" s="3"/>
      <c r="G318" s="3"/>
      <c r="H318" s="1435" t="s">
        <v>2702</v>
      </c>
      <c r="I318" s="1435"/>
      <c r="J318" s="1435"/>
      <c r="K318" s="1435"/>
      <c r="L318" s="1435"/>
      <c r="M318" s="1435"/>
      <c r="N318" s="1457"/>
      <c r="O318" s="1457"/>
      <c r="P318" s="1457"/>
      <c r="Q318" s="1457"/>
      <c r="R318" s="1457"/>
      <c r="S318" s="3"/>
      <c r="T318" s="3" t="s">
        <v>76</v>
      </c>
      <c r="V318" s="3"/>
      <c r="W318" s="3"/>
      <c r="X318" s="3"/>
      <c r="Y318" s="3"/>
      <c r="AA318" s="1435" t="s">
        <v>2716</v>
      </c>
      <c r="AB318" s="1435"/>
      <c r="AC318" s="1435"/>
      <c r="AD318" s="1435"/>
      <c r="AE318" s="1435"/>
      <c r="AF318" s="1435"/>
      <c r="AG318" s="1457"/>
      <c r="AH318" s="1457"/>
      <c r="AI318" s="1457"/>
      <c r="AJ318" s="1457"/>
      <c r="AK318" s="1457"/>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907</v>
      </c>
      <c r="C320" s="3"/>
      <c r="D320" s="3"/>
      <c r="E320" s="3"/>
      <c r="F320" s="3"/>
      <c r="H320" s="1457" t="s">
        <v>2697</v>
      </c>
      <c r="I320" s="1457"/>
      <c r="J320" s="1457"/>
      <c r="K320" s="1457"/>
      <c r="L320" s="1457"/>
      <c r="M320" s="1457"/>
      <c r="N320" s="1457"/>
      <c r="O320" s="1457"/>
      <c r="P320" s="1457"/>
      <c r="Q320" s="1457"/>
      <c r="R320" s="1457"/>
      <c r="S320" s="3"/>
      <c r="T320" s="3" t="s">
        <v>365</v>
      </c>
      <c r="V320" s="3"/>
      <c r="W320" s="3"/>
      <c r="X320" s="3"/>
      <c r="Y320" s="3"/>
      <c r="AA320" s="1457" t="s">
        <v>2703</v>
      </c>
      <c r="AB320" s="1457"/>
      <c r="AC320" s="1457"/>
      <c r="AD320" s="1457"/>
      <c r="AE320" s="1457"/>
      <c r="AF320" s="1457"/>
      <c r="AG320" s="1457"/>
      <c r="AH320" s="1457"/>
      <c r="AI320" s="1457"/>
      <c r="AJ320" s="1457"/>
      <c r="AK320" s="1457"/>
    </row>
    <row r="321" spans="2:37" ht="12.9" customHeight="1">
      <c r="B321" s="3" t="s">
        <v>471</v>
      </c>
      <c r="C321" s="3"/>
      <c r="D321" s="3"/>
      <c r="E321" s="3"/>
      <c r="F321" s="3"/>
      <c r="H321" s="1435" t="s">
        <v>2698</v>
      </c>
      <c r="I321" s="1435"/>
      <c r="J321" s="1435"/>
      <c r="K321" s="1435"/>
      <c r="L321" s="1435"/>
      <c r="M321" s="1435"/>
      <c r="N321" s="1435"/>
      <c r="O321" s="1435"/>
      <c r="P321" s="1435"/>
      <c r="Q321" s="1435"/>
      <c r="R321" s="1435"/>
      <c r="S321" s="3"/>
      <c r="T321" s="3" t="s">
        <v>471</v>
      </c>
      <c r="V321" s="3"/>
      <c r="W321" s="3"/>
      <c r="X321" s="3"/>
      <c r="Y321" s="3"/>
      <c r="AA321" s="1435" t="s">
        <v>2704</v>
      </c>
      <c r="AB321" s="1435"/>
      <c r="AC321" s="1435"/>
      <c r="AD321" s="1435"/>
      <c r="AE321" s="1435"/>
      <c r="AF321" s="1435"/>
      <c r="AG321" s="1435"/>
      <c r="AH321" s="1435"/>
      <c r="AI321" s="1435"/>
      <c r="AJ321" s="1435"/>
      <c r="AK321" s="1435"/>
    </row>
    <row r="322" spans="2:37" ht="12.9" customHeight="1">
      <c r="B322" s="3" t="s">
        <v>472</v>
      </c>
      <c r="C322" s="3"/>
      <c r="D322" s="3"/>
      <c r="E322" s="3"/>
      <c r="F322" s="3"/>
      <c r="H322" s="1435" t="s">
        <v>2699</v>
      </c>
      <c r="I322" s="1435"/>
      <c r="J322" s="1435"/>
      <c r="K322" s="1435"/>
      <c r="L322" s="1435"/>
      <c r="M322" s="1435"/>
      <c r="N322" s="1435"/>
      <c r="O322" s="1435"/>
      <c r="P322" s="1435"/>
      <c r="Q322" s="1435"/>
      <c r="R322" s="1435"/>
      <c r="S322" s="3"/>
      <c r="T322" s="3" t="s">
        <v>75</v>
      </c>
      <c r="V322" s="3"/>
      <c r="W322" s="3"/>
      <c r="X322" s="3"/>
      <c r="Y322" s="3"/>
      <c r="AA322" s="1435" t="s">
        <v>2705</v>
      </c>
      <c r="AB322" s="1435"/>
      <c r="AC322" s="1435"/>
      <c r="AD322" s="1435"/>
      <c r="AE322" s="1435"/>
      <c r="AF322" s="1435"/>
      <c r="AG322" s="1435"/>
      <c r="AH322" s="1435"/>
      <c r="AI322" s="1435"/>
      <c r="AJ322" s="1435"/>
      <c r="AK322" s="1435"/>
    </row>
    <row r="323" spans="2:37" ht="12.9" customHeight="1">
      <c r="B323" s="3" t="s">
        <v>87</v>
      </c>
      <c r="C323" s="3"/>
      <c r="D323" s="3"/>
      <c r="E323" s="3"/>
      <c r="F323" s="3"/>
      <c r="H323" s="1435" t="s">
        <v>2700</v>
      </c>
      <c r="I323" s="1435"/>
      <c r="J323" s="1435"/>
      <c r="K323" s="1435"/>
      <c r="L323" s="1435"/>
      <c r="M323" s="1435"/>
      <c r="N323" s="1435"/>
      <c r="O323" s="1435"/>
      <c r="P323" s="1435"/>
      <c r="Q323" s="1435"/>
      <c r="R323" s="1435"/>
      <c r="S323" s="3"/>
      <c r="T323" s="3" t="s">
        <v>87</v>
      </c>
      <c r="V323" s="3"/>
      <c r="W323" s="3"/>
      <c r="X323" s="3"/>
      <c r="Y323" s="3"/>
      <c r="AA323" s="1435" t="s">
        <v>2706</v>
      </c>
      <c r="AB323" s="1435"/>
      <c r="AC323" s="1435"/>
      <c r="AD323" s="1435"/>
      <c r="AE323" s="1435"/>
      <c r="AF323" s="1435"/>
      <c r="AG323" s="1435"/>
      <c r="AH323" s="1435"/>
      <c r="AI323" s="1435"/>
      <c r="AJ323" s="1435"/>
      <c r="AK323" s="1435"/>
    </row>
    <row r="324" spans="2:37" ht="12.9" customHeight="1">
      <c r="B324" s="3" t="s">
        <v>88</v>
      </c>
      <c r="C324" s="3"/>
      <c r="D324" s="3"/>
      <c r="E324" s="3"/>
      <c r="F324" s="3"/>
      <c r="G324" s="3"/>
      <c r="H324" s="1495" t="s">
        <v>2701</v>
      </c>
      <c r="I324" s="1495"/>
      <c r="J324" s="1495"/>
      <c r="K324" s="1495"/>
      <c r="L324" s="1495"/>
      <c r="M324" s="1495"/>
      <c r="N324" s="4" t="s">
        <v>206</v>
      </c>
      <c r="O324" s="4"/>
      <c r="P324" s="1489"/>
      <c r="Q324" s="1489"/>
      <c r="R324" s="1489"/>
      <c r="S324" s="3"/>
      <c r="T324" s="3" t="s">
        <v>88</v>
      </c>
      <c r="V324" s="3"/>
      <c r="W324" s="3"/>
      <c r="X324" s="3"/>
      <c r="Y324" s="3"/>
      <c r="AA324" s="1495" t="s">
        <v>2707</v>
      </c>
      <c r="AB324" s="1495"/>
      <c r="AC324" s="1495"/>
      <c r="AD324" s="1495"/>
      <c r="AE324" s="1495"/>
      <c r="AF324" s="1495"/>
      <c r="AG324" s="4" t="s">
        <v>206</v>
      </c>
      <c r="AH324" s="4"/>
      <c r="AI324" s="1489"/>
      <c r="AJ324" s="1489"/>
      <c r="AK324" s="1489"/>
    </row>
    <row r="325" spans="2:37" ht="12.9" customHeight="1">
      <c r="B325" s="3" t="s">
        <v>89</v>
      </c>
      <c r="C325" s="3"/>
      <c r="D325" s="3"/>
      <c r="E325" s="3"/>
      <c r="F325" s="3"/>
      <c r="G325" s="3"/>
      <c r="H325" s="1707"/>
      <c r="I325" s="1707"/>
      <c r="J325" s="1707"/>
      <c r="K325" s="1707"/>
      <c r="L325" s="1707"/>
      <c r="M325" s="1707"/>
      <c r="N325" s="4"/>
      <c r="O325" s="4"/>
      <c r="P325" s="35"/>
      <c r="Q325" s="35"/>
      <c r="R325" s="35"/>
      <c r="S325" s="3"/>
      <c r="T325" s="3" t="s">
        <v>89</v>
      </c>
      <c r="V325" s="3"/>
      <c r="W325" s="3"/>
      <c r="X325" s="3"/>
      <c r="Y325" s="3"/>
      <c r="AA325" s="1707"/>
      <c r="AB325" s="1707"/>
      <c r="AC325" s="1707"/>
      <c r="AD325" s="1707"/>
      <c r="AE325" s="1707"/>
      <c r="AF325" s="1707"/>
      <c r="AG325" s="4"/>
      <c r="AH325" s="4"/>
      <c r="AI325" s="35"/>
      <c r="AJ325" s="35"/>
      <c r="AK325" s="35"/>
    </row>
    <row r="326" spans="2:37" ht="12.9" customHeight="1">
      <c r="B326" s="3" t="s">
        <v>76</v>
      </c>
      <c r="C326" s="3"/>
      <c r="D326" s="3"/>
      <c r="E326" s="3"/>
      <c r="F326" s="3"/>
      <c r="G326" s="3"/>
      <c r="H326" s="1435" t="s">
        <v>2702</v>
      </c>
      <c r="I326" s="1435"/>
      <c r="J326" s="1435"/>
      <c r="K326" s="1435"/>
      <c r="L326" s="1435"/>
      <c r="M326" s="1435"/>
      <c r="N326" s="1457"/>
      <c r="O326" s="1457"/>
      <c r="P326" s="1457"/>
      <c r="Q326" s="1457"/>
      <c r="R326" s="1457"/>
      <c r="S326" s="3"/>
      <c r="T326" s="3" t="s">
        <v>76</v>
      </c>
      <c r="V326" s="3"/>
      <c r="W326" s="3"/>
      <c r="X326" s="3"/>
      <c r="Y326" s="3"/>
      <c r="AA326" s="1435" t="s">
        <v>2708</v>
      </c>
      <c r="AB326" s="1435"/>
      <c r="AC326" s="1435"/>
      <c r="AD326" s="1435"/>
      <c r="AE326" s="1435"/>
      <c r="AF326" s="1435"/>
      <c r="AG326" s="1457"/>
      <c r="AH326" s="1457"/>
      <c r="AI326" s="1457"/>
      <c r="AJ326" s="1457"/>
      <c r="AK326" s="1457"/>
    </row>
    <row r="327" spans="2:37" ht="12.9" customHeight="1"/>
    <row r="328" spans="2:37" ht="12.9" customHeight="1">
      <c r="B328" s="4" t="s">
        <v>908</v>
      </c>
      <c r="C328" s="3"/>
      <c r="D328" s="3"/>
      <c r="E328" s="3"/>
      <c r="F328" s="3"/>
      <c r="H328" s="1457"/>
      <c r="I328" s="1457"/>
      <c r="J328" s="1457"/>
      <c r="K328" s="1457"/>
      <c r="L328" s="1457"/>
      <c r="M328" s="1457"/>
      <c r="N328" s="1457"/>
      <c r="O328" s="1457"/>
      <c r="P328" s="1457"/>
      <c r="Q328" s="1457"/>
      <c r="R328" s="1457"/>
      <c r="T328" s="3" t="s">
        <v>366</v>
      </c>
      <c r="V328" s="3"/>
      <c r="W328" s="3"/>
      <c r="X328" s="3"/>
      <c r="Y328" s="3"/>
      <c r="AA328" s="1457" t="s">
        <v>2697</v>
      </c>
      <c r="AB328" s="1457"/>
      <c r="AC328" s="1457"/>
      <c r="AD328" s="1457"/>
      <c r="AE328" s="1457"/>
      <c r="AF328" s="1457"/>
      <c r="AG328" s="1457"/>
      <c r="AH328" s="1457"/>
      <c r="AI328" s="1457"/>
      <c r="AJ328" s="1457"/>
      <c r="AK328" s="1457"/>
    </row>
    <row r="329" spans="2:37" ht="12.9" customHeight="1">
      <c r="B329" s="3" t="s">
        <v>471</v>
      </c>
      <c r="C329" s="3"/>
      <c r="D329" s="3"/>
      <c r="E329" s="3"/>
      <c r="F329" s="3"/>
      <c r="H329" s="1435"/>
      <c r="I329" s="1435"/>
      <c r="J329" s="1435"/>
      <c r="K329" s="1435"/>
      <c r="L329" s="1435"/>
      <c r="M329" s="1435"/>
      <c r="N329" s="1435"/>
      <c r="O329" s="1435"/>
      <c r="P329" s="1435"/>
      <c r="Q329" s="1435"/>
      <c r="R329" s="1435"/>
      <c r="T329" s="3" t="s">
        <v>471</v>
      </c>
      <c r="V329" s="3"/>
      <c r="W329" s="3"/>
      <c r="X329" s="3"/>
      <c r="Y329" s="3"/>
      <c r="AA329" s="1435" t="s">
        <v>2698</v>
      </c>
      <c r="AB329" s="1435"/>
      <c r="AC329" s="1435"/>
      <c r="AD329" s="1435"/>
      <c r="AE329" s="1435"/>
      <c r="AF329" s="1435"/>
      <c r="AG329" s="1435"/>
      <c r="AH329" s="1435"/>
      <c r="AI329" s="1435"/>
      <c r="AJ329" s="1435"/>
      <c r="AK329" s="1435"/>
    </row>
    <row r="330" spans="2:37" ht="12.9" customHeight="1">
      <c r="B330" s="3" t="s">
        <v>472</v>
      </c>
      <c r="C330" s="3"/>
      <c r="D330" s="3"/>
      <c r="E330" s="3"/>
      <c r="F330" s="3"/>
      <c r="H330" s="1435"/>
      <c r="I330" s="1435"/>
      <c r="J330" s="1435"/>
      <c r="K330" s="1435"/>
      <c r="L330" s="1435"/>
      <c r="M330" s="1435"/>
      <c r="N330" s="1435"/>
      <c r="O330" s="1435"/>
      <c r="P330" s="1435"/>
      <c r="Q330" s="1435"/>
      <c r="R330" s="1435"/>
      <c r="T330" s="3" t="s">
        <v>75</v>
      </c>
      <c r="V330" s="3"/>
      <c r="W330" s="3"/>
      <c r="X330" s="3"/>
      <c r="Y330" s="3"/>
      <c r="AA330" s="1435" t="s">
        <v>2699</v>
      </c>
      <c r="AB330" s="1435"/>
      <c r="AC330" s="1435"/>
      <c r="AD330" s="1435"/>
      <c r="AE330" s="1435"/>
      <c r="AF330" s="1435"/>
      <c r="AG330" s="1435"/>
      <c r="AH330" s="1435"/>
      <c r="AI330" s="1435"/>
      <c r="AJ330" s="1435"/>
      <c r="AK330" s="1435"/>
    </row>
    <row r="331" spans="2:37" ht="12.9" customHeight="1">
      <c r="B331" s="3" t="s">
        <v>87</v>
      </c>
      <c r="C331" s="3"/>
      <c r="D331" s="3"/>
      <c r="E331" s="3"/>
      <c r="F331" s="3"/>
      <c r="H331" s="1435"/>
      <c r="I331" s="1435"/>
      <c r="J331" s="1435"/>
      <c r="K331" s="1435"/>
      <c r="L331" s="1435"/>
      <c r="M331" s="1435"/>
      <c r="N331" s="1435"/>
      <c r="O331" s="1435"/>
      <c r="P331" s="1435"/>
      <c r="Q331" s="1435"/>
      <c r="R331" s="1435"/>
      <c r="T331" s="3" t="s">
        <v>87</v>
      </c>
      <c r="V331" s="3"/>
      <c r="W331" s="3"/>
      <c r="X331" s="3"/>
      <c r="Y331" s="3"/>
      <c r="AA331" s="1435" t="s">
        <v>2700</v>
      </c>
      <c r="AB331" s="1435"/>
      <c r="AC331" s="1435"/>
      <c r="AD331" s="1435"/>
      <c r="AE331" s="1435"/>
      <c r="AF331" s="1435"/>
      <c r="AG331" s="1435"/>
      <c r="AH331" s="1435"/>
      <c r="AI331" s="1435"/>
      <c r="AJ331" s="1435"/>
      <c r="AK331" s="1435"/>
    </row>
    <row r="332" spans="2:37" ht="12.9" customHeight="1">
      <c r="B332" s="3" t="s">
        <v>88</v>
      </c>
      <c r="C332" s="3"/>
      <c r="D332" s="3"/>
      <c r="E332" s="3"/>
      <c r="F332" s="3"/>
      <c r="G332" s="3"/>
      <c r="H332" s="1495"/>
      <c r="I332" s="1495"/>
      <c r="J332" s="1495"/>
      <c r="K332" s="1495"/>
      <c r="L332" s="1495"/>
      <c r="M332" s="1495"/>
      <c r="N332" s="4" t="s">
        <v>206</v>
      </c>
      <c r="O332" s="4"/>
      <c r="P332" s="1489"/>
      <c r="Q332" s="1489"/>
      <c r="R332" s="1489"/>
      <c r="S332" s="3"/>
      <c r="T332" s="3" t="s">
        <v>88</v>
      </c>
      <c r="V332" s="3"/>
      <c r="W332" s="3"/>
      <c r="X332" s="3"/>
      <c r="Y332" s="3"/>
      <c r="AA332" s="1495" t="s">
        <v>2701</v>
      </c>
      <c r="AB332" s="1495"/>
      <c r="AC332" s="1495"/>
      <c r="AD332" s="1495"/>
      <c r="AE332" s="1495"/>
      <c r="AF332" s="1495"/>
      <c r="AG332" s="4" t="s">
        <v>206</v>
      </c>
      <c r="AH332" s="4"/>
      <c r="AI332" s="1489"/>
      <c r="AJ332" s="1489"/>
      <c r="AK332" s="1489"/>
    </row>
    <row r="333" spans="2:37" ht="12.9" customHeight="1">
      <c r="B333" s="3" t="s">
        <v>89</v>
      </c>
      <c r="C333" s="3"/>
      <c r="D333" s="3"/>
      <c r="E333" s="3"/>
      <c r="F333" s="3"/>
      <c r="G333" s="3"/>
      <c r="H333" s="1707"/>
      <c r="I333" s="1707"/>
      <c r="J333" s="1707"/>
      <c r="K333" s="1707"/>
      <c r="L333" s="1707"/>
      <c r="M333" s="1707"/>
      <c r="N333" s="4"/>
      <c r="O333" s="4"/>
      <c r="P333" s="35"/>
      <c r="Q333" s="35"/>
      <c r="R333" s="35"/>
      <c r="S333" s="3"/>
      <c r="T333" s="3" t="s">
        <v>89</v>
      </c>
      <c r="V333" s="3"/>
      <c r="W333" s="3"/>
      <c r="X333" s="3"/>
      <c r="Y333" s="3"/>
      <c r="AA333" s="1707"/>
      <c r="AB333" s="1707"/>
      <c r="AC333" s="1707"/>
      <c r="AD333" s="1707"/>
      <c r="AE333" s="1707"/>
      <c r="AF333" s="1707"/>
      <c r="AG333" s="4"/>
      <c r="AH333" s="4"/>
      <c r="AI333" s="35"/>
      <c r="AJ333" s="35"/>
      <c r="AK333" s="35"/>
    </row>
    <row r="334" spans="2:37" ht="12.9" customHeight="1">
      <c r="B334" s="3" t="s">
        <v>76</v>
      </c>
      <c r="C334" s="3"/>
      <c r="D334" s="3"/>
      <c r="E334" s="3"/>
      <c r="F334" s="3"/>
      <c r="G334" s="3"/>
      <c r="H334" s="1435"/>
      <c r="I334" s="1435"/>
      <c r="J334" s="1435"/>
      <c r="K334" s="1435"/>
      <c r="L334" s="1435"/>
      <c r="M334" s="1435"/>
      <c r="N334" s="1457"/>
      <c r="O334" s="1457"/>
      <c r="P334" s="1457"/>
      <c r="Q334" s="1457"/>
      <c r="R334" s="1457"/>
      <c r="S334" s="3"/>
      <c r="T334" s="3" t="s">
        <v>76</v>
      </c>
      <c r="V334" s="3"/>
      <c r="W334" s="3"/>
      <c r="X334" s="3"/>
      <c r="Y334" s="3"/>
      <c r="AA334" s="1435" t="s">
        <v>2702</v>
      </c>
      <c r="AB334" s="1435"/>
      <c r="AC334" s="1435"/>
      <c r="AD334" s="1435"/>
      <c r="AE334" s="1435"/>
      <c r="AF334" s="1435"/>
      <c r="AG334" s="1457"/>
      <c r="AH334" s="1457"/>
      <c r="AI334" s="1457"/>
      <c r="AJ334" s="1457"/>
      <c r="AK334" s="1457"/>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367</v>
      </c>
      <c r="C336" s="3"/>
      <c r="D336" s="3"/>
      <c r="E336" s="3"/>
      <c r="F336" s="3"/>
      <c r="H336" s="1457" t="s">
        <v>2697</v>
      </c>
      <c r="I336" s="1457"/>
      <c r="J336" s="1457"/>
      <c r="K336" s="1457"/>
      <c r="L336" s="1457"/>
      <c r="M336" s="1457"/>
      <c r="N336" s="1457"/>
      <c r="O336" s="1457"/>
      <c r="P336" s="1457"/>
      <c r="Q336" s="1457"/>
      <c r="R336" s="1457"/>
      <c r="T336" s="3" t="s">
        <v>368</v>
      </c>
      <c r="V336" s="3"/>
      <c r="W336" s="3"/>
      <c r="X336" s="3"/>
      <c r="Y336" s="3"/>
      <c r="AA336" s="1457"/>
      <c r="AB336" s="1457"/>
      <c r="AC336" s="1457"/>
      <c r="AD336" s="1457"/>
      <c r="AE336" s="1457"/>
      <c r="AF336" s="1457"/>
      <c r="AG336" s="1457"/>
      <c r="AH336" s="1457"/>
      <c r="AI336" s="1457"/>
      <c r="AJ336" s="1457"/>
      <c r="AK336" s="1457"/>
    </row>
    <row r="337" spans="2:66" ht="12.9" customHeight="1">
      <c r="B337" s="3" t="s">
        <v>471</v>
      </c>
      <c r="C337" s="3"/>
      <c r="D337" s="3"/>
      <c r="E337" s="3"/>
      <c r="F337" s="3"/>
      <c r="H337" s="1435" t="s">
        <v>2698</v>
      </c>
      <c r="I337" s="1435"/>
      <c r="J337" s="1435"/>
      <c r="K337" s="1435"/>
      <c r="L337" s="1435"/>
      <c r="M337" s="1435"/>
      <c r="N337" s="1435"/>
      <c r="O337" s="1435"/>
      <c r="P337" s="1435"/>
      <c r="Q337" s="1435"/>
      <c r="R337" s="1435"/>
      <c r="T337" s="3" t="s">
        <v>471</v>
      </c>
      <c r="V337" s="3"/>
      <c r="W337" s="3"/>
      <c r="X337" s="3"/>
      <c r="Y337" s="3"/>
      <c r="AA337" s="1435"/>
      <c r="AB337" s="1435"/>
      <c r="AC337" s="1435"/>
      <c r="AD337" s="1435"/>
      <c r="AE337" s="1435"/>
      <c r="AF337" s="1435"/>
      <c r="AG337" s="1435"/>
      <c r="AH337" s="1435"/>
      <c r="AI337" s="1435"/>
      <c r="AJ337" s="1435"/>
      <c r="AK337" s="1435"/>
    </row>
    <row r="338" spans="2:66" ht="12.9" customHeight="1">
      <c r="B338" s="3" t="s">
        <v>472</v>
      </c>
      <c r="C338" s="3"/>
      <c r="D338" s="3"/>
      <c r="E338" s="3"/>
      <c r="F338" s="3"/>
      <c r="H338" s="1435" t="s">
        <v>2699</v>
      </c>
      <c r="I338" s="1435"/>
      <c r="J338" s="1435"/>
      <c r="K338" s="1435"/>
      <c r="L338" s="1435"/>
      <c r="M338" s="1435"/>
      <c r="N338" s="1435"/>
      <c r="O338" s="1435"/>
      <c r="P338" s="1435"/>
      <c r="Q338" s="1435"/>
      <c r="R338" s="1435"/>
      <c r="T338" s="3" t="s">
        <v>75</v>
      </c>
      <c r="V338" s="3"/>
      <c r="W338" s="3"/>
      <c r="X338" s="3"/>
      <c r="Y338" s="3"/>
      <c r="AA338" s="1435"/>
      <c r="AB338" s="1435"/>
      <c r="AC338" s="1435"/>
      <c r="AD338" s="1435"/>
      <c r="AE338" s="1435"/>
      <c r="AF338" s="1435"/>
      <c r="AG338" s="1435"/>
      <c r="AH338" s="1435"/>
      <c r="AI338" s="1435"/>
      <c r="AJ338" s="1435"/>
      <c r="AK338" s="1435"/>
    </row>
    <row r="339" spans="2:66" ht="12.9" customHeight="1">
      <c r="B339" s="3" t="s">
        <v>87</v>
      </c>
      <c r="C339" s="3"/>
      <c r="D339" s="3"/>
      <c r="E339" s="3"/>
      <c r="F339" s="3"/>
      <c r="H339" s="1435" t="s">
        <v>2709</v>
      </c>
      <c r="I339" s="1435"/>
      <c r="J339" s="1435"/>
      <c r="K339" s="1435"/>
      <c r="L339" s="1435"/>
      <c r="M339" s="1435"/>
      <c r="N339" s="1435"/>
      <c r="O339" s="1435"/>
      <c r="P339" s="1435"/>
      <c r="Q339" s="1435"/>
      <c r="R339" s="1435"/>
      <c r="T339" s="3" t="s">
        <v>87</v>
      </c>
      <c r="V339" s="3"/>
      <c r="W339" s="3"/>
      <c r="X339" s="3"/>
      <c r="Y339" s="3"/>
      <c r="AA339" s="1435"/>
      <c r="AB339" s="1435"/>
      <c r="AC339" s="1435"/>
      <c r="AD339" s="1435"/>
      <c r="AE339" s="1435"/>
      <c r="AF339" s="1435"/>
      <c r="AG339" s="1435"/>
      <c r="AH339" s="1435"/>
      <c r="AI339" s="1435"/>
      <c r="AJ339" s="1435"/>
      <c r="AK339" s="1435"/>
    </row>
    <row r="340" spans="2:66" ht="12.9" customHeight="1">
      <c r="B340" s="3" t="s">
        <v>88</v>
      </c>
      <c r="C340" s="3"/>
      <c r="D340" s="3"/>
      <c r="E340" s="3"/>
      <c r="F340" s="3"/>
      <c r="G340" s="3"/>
      <c r="H340" s="1495"/>
      <c r="I340" s="1495"/>
      <c r="J340" s="1495"/>
      <c r="K340" s="1495"/>
      <c r="L340" s="1495"/>
      <c r="M340" s="1495"/>
      <c r="N340" s="4" t="s">
        <v>206</v>
      </c>
      <c r="O340" s="4"/>
      <c r="P340" s="1489"/>
      <c r="Q340" s="1489"/>
      <c r="R340" s="1489"/>
      <c r="S340" s="3"/>
      <c r="T340" s="3" t="s">
        <v>88</v>
      </c>
      <c r="V340" s="3"/>
      <c r="W340" s="3"/>
      <c r="X340" s="3"/>
      <c r="Y340" s="3"/>
      <c r="AA340" s="1495"/>
      <c r="AB340" s="1495"/>
      <c r="AC340" s="1495"/>
      <c r="AD340" s="1495"/>
      <c r="AE340" s="1495"/>
      <c r="AF340" s="1495"/>
      <c r="AG340" s="4" t="s">
        <v>206</v>
      </c>
      <c r="AH340" s="4"/>
      <c r="AI340" s="1489"/>
      <c r="AJ340" s="1489"/>
      <c r="AK340" s="1489"/>
    </row>
    <row r="341" spans="2:66" ht="12.9" customHeight="1">
      <c r="B341" s="3" t="s">
        <v>89</v>
      </c>
      <c r="C341" s="3"/>
      <c r="D341" s="3"/>
      <c r="E341" s="3"/>
      <c r="F341" s="3"/>
      <c r="G341" s="3"/>
      <c r="H341" s="1707"/>
      <c r="I341" s="1707"/>
      <c r="J341" s="1707"/>
      <c r="K341" s="1707"/>
      <c r="L341" s="1707"/>
      <c r="M341" s="1707"/>
      <c r="N341" s="4"/>
      <c r="O341" s="4"/>
      <c r="P341" s="35"/>
      <c r="Q341" s="35"/>
      <c r="R341" s="35"/>
      <c r="S341" s="3"/>
      <c r="T341" s="3" t="s">
        <v>89</v>
      </c>
      <c r="V341" s="3"/>
      <c r="W341" s="3"/>
      <c r="X341" s="3"/>
      <c r="Y341" s="3"/>
      <c r="AA341" s="1707"/>
      <c r="AB341" s="1707"/>
      <c r="AC341" s="1707"/>
      <c r="AD341" s="1707"/>
      <c r="AE341" s="1707"/>
      <c r="AF341" s="1707"/>
      <c r="AG341" s="4"/>
      <c r="AH341" s="4"/>
      <c r="AI341" s="35"/>
      <c r="AJ341" s="35"/>
      <c r="AK341" s="35"/>
    </row>
    <row r="342" spans="2:66" ht="12.9" customHeight="1">
      <c r="B342" s="3" t="s">
        <v>76</v>
      </c>
      <c r="C342" s="3"/>
      <c r="D342" s="3"/>
      <c r="E342" s="3"/>
      <c r="F342" s="3"/>
      <c r="G342" s="3"/>
      <c r="H342" s="1435" t="s">
        <v>2710</v>
      </c>
      <c r="I342" s="1435"/>
      <c r="J342" s="1435"/>
      <c r="K342" s="1435"/>
      <c r="L342" s="1435"/>
      <c r="M342" s="1435"/>
      <c r="N342" s="1457"/>
      <c r="O342" s="1457"/>
      <c r="P342" s="1457"/>
      <c r="Q342" s="1457"/>
      <c r="R342" s="1457"/>
      <c r="S342" s="3"/>
      <c r="T342" s="3" t="s">
        <v>76</v>
      </c>
      <c r="V342" s="3"/>
      <c r="W342" s="3"/>
      <c r="X342" s="3"/>
      <c r="Y342" s="3"/>
      <c r="AA342" s="1435"/>
      <c r="AB342" s="1435"/>
      <c r="AC342" s="1435"/>
      <c r="AD342" s="1435"/>
      <c r="AE342" s="1435"/>
      <c r="AF342" s="1435"/>
      <c r="AG342" s="1457"/>
      <c r="AH342" s="1457"/>
      <c r="AI342" s="1457"/>
      <c r="AJ342" s="1457"/>
      <c r="AK342" s="1457"/>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329</v>
      </c>
      <c r="C344" s="3"/>
      <c r="D344" s="3"/>
      <c r="E344" s="3"/>
      <c r="F344" s="3"/>
      <c r="H344" s="1457" t="s">
        <v>2717</v>
      </c>
      <c r="I344" s="1457"/>
      <c r="J344" s="1457"/>
      <c r="K344" s="1457"/>
      <c r="L344" s="1457"/>
      <c r="M344" s="1457"/>
      <c r="N344" s="1457"/>
      <c r="O344" s="1457"/>
      <c r="P344" s="1457"/>
      <c r="Q344" s="1457"/>
      <c r="R344" s="1457"/>
      <c r="T344" s="204" t="s">
        <v>886</v>
      </c>
      <c r="V344" s="3"/>
      <c r="W344" s="3"/>
      <c r="X344" s="3"/>
      <c r="Y344" s="3"/>
      <c r="AA344" s="1457" t="s">
        <v>2785</v>
      </c>
      <c r="AB344" s="1457"/>
      <c r="AC344" s="1457"/>
      <c r="AD344" s="1457"/>
      <c r="AE344" s="1457"/>
      <c r="AF344" s="1457"/>
      <c r="AG344" s="1457"/>
      <c r="AH344" s="1457"/>
      <c r="AI344" s="1457"/>
      <c r="AJ344" s="1457"/>
      <c r="AK344" s="1457"/>
    </row>
    <row r="345" spans="2:66" ht="12.9" customHeight="1">
      <c r="B345" s="3" t="s">
        <v>471</v>
      </c>
      <c r="C345" s="3"/>
      <c r="D345" s="3"/>
      <c r="E345" s="3"/>
      <c r="F345" s="3"/>
      <c r="H345" s="1435" t="s">
        <v>2718</v>
      </c>
      <c r="I345" s="1435"/>
      <c r="J345" s="1435"/>
      <c r="K345" s="1435"/>
      <c r="L345" s="1435"/>
      <c r="M345" s="1435"/>
      <c r="N345" s="1435"/>
      <c r="O345" s="1435"/>
      <c r="P345" s="1435"/>
      <c r="Q345" s="1435"/>
      <c r="R345" s="1435"/>
      <c r="T345" s="3" t="s">
        <v>471</v>
      </c>
      <c r="V345" s="3"/>
      <c r="W345" s="3"/>
      <c r="X345" s="3"/>
      <c r="Y345" s="3"/>
      <c r="AA345" s="1435" t="s">
        <v>2786</v>
      </c>
      <c r="AB345" s="1435"/>
      <c r="AC345" s="1435"/>
      <c r="AD345" s="1435"/>
      <c r="AE345" s="1435"/>
      <c r="AF345" s="1435"/>
      <c r="AG345" s="1435"/>
      <c r="AH345" s="1435"/>
      <c r="AI345" s="1435"/>
      <c r="AJ345" s="1435"/>
      <c r="AK345" s="1435"/>
    </row>
    <row r="346" spans="2:66" ht="12.9" customHeight="1">
      <c r="B346" s="3" t="s">
        <v>75</v>
      </c>
      <c r="C346" s="3"/>
      <c r="D346" s="3"/>
      <c r="E346" s="3"/>
      <c r="F346" s="3"/>
      <c r="H346" s="1435" t="s">
        <v>2719</v>
      </c>
      <c r="I346" s="1435"/>
      <c r="J346" s="1435"/>
      <c r="K346" s="1435"/>
      <c r="L346" s="1435"/>
      <c r="M346" s="1435"/>
      <c r="N346" s="1435"/>
      <c r="O346" s="1435"/>
      <c r="P346" s="1435"/>
      <c r="Q346" s="1435"/>
      <c r="R346" s="1435"/>
      <c r="T346" s="3" t="s">
        <v>75</v>
      </c>
      <c r="V346" s="3"/>
      <c r="W346" s="3"/>
      <c r="X346" s="3"/>
      <c r="Y346" s="3"/>
      <c r="AA346" s="1435" t="s">
        <v>2787</v>
      </c>
      <c r="AB346" s="1435"/>
      <c r="AC346" s="1435"/>
      <c r="AD346" s="1435"/>
      <c r="AE346" s="1435"/>
      <c r="AF346" s="1435"/>
      <c r="AG346" s="1435"/>
      <c r="AH346" s="1435"/>
      <c r="AI346" s="1435"/>
      <c r="AJ346" s="1435"/>
      <c r="AK346" s="1435"/>
    </row>
    <row r="347" spans="2:66" ht="12.9" customHeight="1">
      <c r="B347" s="3" t="s">
        <v>87</v>
      </c>
      <c r="C347" s="3"/>
      <c r="D347" s="3"/>
      <c r="E347" s="3"/>
      <c r="F347" s="3"/>
      <c r="G347" s="3"/>
      <c r="H347" s="1435" t="s">
        <v>2756</v>
      </c>
      <c r="I347" s="1435"/>
      <c r="J347" s="1435"/>
      <c r="K347" s="1435"/>
      <c r="L347" s="1435"/>
      <c r="M347" s="1435"/>
      <c r="N347" s="1435"/>
      <c r="O347" s="1435"/>
      <c r="P347" s="1435"/>
      <c r="Q347" s="1435"/>
      <c r="R347" s="1435"/>
      <c r="T347" s="3" t="s">
        <v>87</v>
      </c>
      <c r="V347" s="3"/>
      <c r="W347" s="3"/>
      <c r="X347" s="3"/>
      <c r="Y347" s="3"/>
      <c r="AA347" s="1435" t="s">
        <v>2788</v>
      </c>
      <c r="AB347" s="1435"/>
      <c r="AC347" s="1435"/>
      <c r="AD347" s="1435"/>
      <c r="AE347" s="1435"/>
      <c r="AF347" s="1435"/>
      <c r="AG347" s="1435"/>
      <c r="AH347" s="1435"/>
      <c r="AI347" s="1435"/>
      <c r="AJ347" s="1435"/>
      <c r="AK347" s="1435"/>
    </row>
    <row r="348" spans="2:66" ht="12.9" customHeight="1">
      <c r="B348" s="3" t="s">
        <v>88</v>
      </c>
      <c r="C348" s="3"/>
      <c r="D348" s="3"/>
      <c r="E348" s="3"/>
      <c r="F348" s="3"/>
      <c r="G348" s="3"/>
      <c r="H348" s="1495" t="s">
        <v>2720</v>
      </c>
      <c r="I348" s="1495"/>
      <c r="J348" s="1495"/>
      <c r="K348" s="1495"/>
      <c r="L348" s="1495"/>
      <c r="M348" s="1495"/>
      <c r="N348" s="4" t="s">
        <v>206</v>
      </c>
      <c r="O348" s="4"/>
      <c r="P348" s="1489"/>
      <c r="Q348" s="1489"/>
      <c r="R348" s="1489"/>
      <c r="S348" s="3"/>
      <c r="T348" s="3" t="s">
        <v>88</v>
      </c>
      <c r="V348" s="3"/>
      <c r="W348" s="3"/>
      <c r="X348" s="3"/>
      <c r="Y348" s="3"/>
      <c r="AA348" s="1494" t="s">
        <v>2789</v>
      </c>
      <c r="AB348" s="1495"/>
      <c r="AC348" s="1495"/>
      <c r="AD348" s="1495"/>
      <c r="AE348" s="1495"/>
      <c r="AF348" s="1495"/>
      <c r="AG348" s="4" t="s">
        <v>206</v>
      </c>
      <c r="AH348" s="4"/>
      <c r="AI348" s="1489"/>
      <c r="AJ348" s="1489"/>
      <c r="AK348" s="1489"/>
    </row>
    <row r="349" spans="2:66" ht="12.9" customHeight="1">
      <c r="B349" s="3" t="s">
        <v>89</v>
      </c>
      <c r="C349" s="3"/>
      <c r="D349" s="3"/>
      <c r="E349" s="3"/>
      <c r="F349" s="3"/>
      <c r="G349" s="3"/>
      <c r="H349" s="1707"/>
      <c r="I349" s="1707"/>
      <c r="J349" s="1707"/>
      <c r="K349" s="1707"/>
      <c r="L349" s="1707"/>
      <c r="M349" s="1707"/>
      <c r="N349" s="4"/>
      <c r="O349" s="4"/>
      <c r="P349" s="35"/>
      <c r="Q349" s="35"/>
      <c r="R349" s="35"/>
      <c r="S349" s="3"/>
      <c r="T349" s="3" t="s">
        <v>89</v>
      </c>
      <c r="V349" s="3"/>
      <c r="W349" s="3"/>
      <c r="X349" s="3"/>
      <c r="Y349" s="3"/>
      <c r="AA349" s="1707"/>
      <c r="AB349" s="1707"/>
      <c r="AC349" s="1707"/>
      <c r="AD349" s="1707"/>
      <c r="AE349" s="1707"/>
      <c r="AF349" s="1707"/>
      <c r="AG349" s="4"/>
      <c r="AH349" s="4"/>
      <c r="AI349" s="35"/>
      <c r="AJ349" s="35"/>
      <c r="AK349" s="35"/>
    </row>
    <row r="350" spans="2:66" ht="12.9" customHeight="1">
      <c r="B350" s="3" t="s">
        <v>76</v>
      </c>
      <c r="C350" s="3"/>
      <c r="D350" s="3"/>
      <c r="E350" s="3"/>
      <c r="F350" s="3"/>
      <c r="G350" s="3"/>
      <c r="H350" s="1435" t="s">
        <v>2761</v>
      </c>
      <c r="I350" s="1435"/>
      <c r="J350" s="1435"/>
      <c r="K350" s="1435"/>
      <c r="L350" s="1435"/>
      <c r="M350" s="1435"/>
      <c r="N350" s="1457"/>
      <c r="O350" s="1457"/>
      <c r="P350" s="1457"/>
      <c r="Q350" s="1457"/>
      <c r="R350" s="1457"/>
      <c r="S350" s="3"/>
      <c r="T350" s="3" t="s">
        <v>76</v>
      </c>
      <c r="V350" s="3"/>
      <c r="W350" s="3"/>
      <c r="X350" s="3"/>
      <c r="Y350" s="3"/>
      <c r="AA350" s="1435" t="s">
        <v>2790</v>
      </c>
      <c r="AB350" s="1435"/>
      <c r="AC350" s="1435"/>
      <c r="AD350" s="1435"/>
      <c r="AE350" s="1435"/>
      <c r="AF350" s="1435"/>
      <c r="AG350" s="1457"/>
      <c r="AH350" s="1457"/>
      <c r="AI350" s="1457"/>
      <c r="AJ350" s="1457"/>
      <c r="AK350" s="1457"/>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 customHeight="1">
      <c r="B352" s="3"/>
      <c r="C352" s="4"/>
      <c r="D352" s="4"/>
      <c r="E352" s="4"/>
      <c r="F352" s="4"/>
      <c r="I352" s="204" t="s">
        <v>887</v>
      </c>
      <c r="P352" s="1457"/>
      <c r="Q352" s="1457"/>
      <c r="R352" s="1457"/>
      <c r="S352" s="1457"/>
      <c r="T352" s="1457"/>
      <c r="U352" s="1457"/>
      <c r="V352" s="1457"/>
      <c r="W352" s="1457"/>
      <c r="X352" s="1457"/>
      <c r="Y352" s="1457"/>
      <c r="Z352" s="1457"/>
      <c r="AA352" s="1457"/>
      <c r="AB352" s="1457"/>
      <c r="AC352" s="1457"/>
      <c r="AD352" s="1457"/>
      <c r="AE352" s="1457"/>
      <c r="BN352" t="s">
        <v>669</v>
      </c>
    </row>
    <row r="353" spans="1:66" ht="12.9" customHeight="1">
      <c r="B353" s="4"/>
      <c r="C353" s="4"/>
      <c r="D353" s="4"/>
      <c r="E353" s="4"/>
      <c r="F353" s="4"/>
      <c r="I353" s="4" t="s">
        <v>471</v>
      </c>
      <c r="P353" s="1435"/>
      <c r="Q353" s="1435"/>
      <c r="R353" s="1435"/>
      <c r="S353" s="1435"/>
      <c r="T353" s="1435"/>
      <c r="U353" s="1435"/>
      <c r="V353" s="1435"/>
      <c r="W353" s="1435"/>
      <c r="X353" s="1435"/>
      <c r="Y353" s="1435"/>
      <c r="Z353" s="1435"/>
      <c r="AA353" s="1435"/>
      <c r="AB353" s="1435"/>
      <c r="AC353" s="1435"/>
      <c r="AD353" s="1435"/>
      <c r="AE353" s="1435"/>
      <c r="BN353" t="s">
        <v>545</v>
      </c>
    </row>
    <row r="354" spans="1:66" ht="12.9" customHeight="1">
      <c r="B354" s="4"/>
      <c r="C354" s="4"/>
      <c r="D354" s="4"/>
      <c r="E354" s="4"/>
      <c r="F354" s="4"/>
      <c r="I354" s="4" t="s">
        <v>75</v>
      </c>
      <c r="P354" s="1435"/>
      <c r="Q354" s="1435"/>
      <c r="R354" s="1435"/>
      <c r="S354" s="1435"/>
      <c r="T354" s="1435"/>
      <c r="U354" s="1435"/>
      <c r="V354" s="1435"/>
      <c r="W354" s="1435"/>
      <c r="X354" s="1435"/>
      <c r="Y354" s="1435"/>
      <c r="Z354" s="1435"/>
      <c r="AA354" s="1435"/>
      <c r="AB354" s="1435"/>
      <c r="AC354" s="1435"/>
      <c r="AD354" s="1435"/>
      <c r="AE354" s="1435"/>
    </row>
    <row r="355" spans="1:66" ht="12.9" customHeight="1">
      <c r="B355" s="4"/>
      <c r="C355" s="4"/>
      <c r="D355" s="4"/>
      <c r="E355" s="4"/>
      <c r="F355" s="4"/>
      <c r="G355" s="4"/>
      <c r="I355" s="4" t="s">
        <v>87</v>
      </c>
      <c r="P355" s="1435"/>
      <c r="Q355" s="1435"/>
      <c r="R355" s="1435"/>
      <c r="S355" s="1435"/>
      <c r="T355" s="1435"/>
      <c r="U355" s="1435"/>
      <c r="V355" s="1435"/>
      <c r="W355" s="1435"/>
      <c r="X355" s="1435"/>
      <c r="Y355" s="1435"/>
      <c r="Z355" s="1435"/>
      <c r="AA355" s="1435"/>
      <c r="AB355" s="1435"/>
      <c r="AC355" s="1435"/>
      <c r="AD355" s="1435"/>
      <c r="AE355" s="1435"/>
    </row>
    <row r="356" spans="1:66" ht="12.9" customHeight="1">
      <c r="B356" s="4"/>
      <c r="C356" s="4"/>
      <c r="D356" s="4"/>
      <c r="E356" s="4"/>
      <c r="F356" s="4"/>
      <c r="G356" s="4"/>
      <c r="H356" s="302"/>
      <c r="I356" s="4" t="s">
        <v>88</v>
      </c>
      <c r="P356" s="1707"/>
      <c r="Q356" s="1707"/>
      <c r="R356" s="1707"/>
      <c r="S356" s="1707"/>
      <c r="T356" s="1707"/>
      <c r="U356" s="1707"/>
      <c r="V356" s="1707"/>
      <c r="W356" s="1707"/>
      <c r="X356" s="1707"/>
      <c r="Y356" s="1707"/>
      <c r="Z356" s="1707"/>
      <c r="AA356" s="4" t="s">
        <v>206</v>
      </c>
      <c r="AB356" s="4"/>
      <c r="AC356" s="1472"/>
      <c r="AD356" s="1472"/>
      <c r="AE356" s="1472"/>
      <c r="AF356" s="302"/>
      <c r="AG356" s="4"/>
      <c r="AH356" s="4"/>
      <c r="AI356" s="4"/>
      <c r="AJ356" s="4"/>
      <c r="AK356" s="4"/>
    </row>
    <row r="357" spans="1:66" ht="12.9" customHeight="1">
      <c r="B357" s="4"/>
      <c r="C357" s="4"/>
      <c r="D357" s="4"/>
      <c r="E357" s="4"/>
      <c r="F357" s="4"/>
      <c r="G357" s="4"/>
      <c r="H357" s="302"/>
      <c r="I357" s="4" t="s">
        <v>89</v>
      </c>
      <c r="P357" s="1707"/>
      <c r="Q357" s="1707"/>
      <c r="R357" s="1707"/>
      <c r="S357" s="1707"/>
      <c r="T357" s="1707"/>
      <c r="U357" s="1707"/>
      <c r="V357" s="1707"/>
      <c r="W357" s="1707"/>
      <c r="X357" s="1707"/>
      <c r="Y357" s="1707"/>
      <c r="Z357" s="1707"/>
      <c r="AF357" s="302"/>
      <c r="AG357" s="4"/>
      <c r="AH357" s="4"/>
      <c r="AI357" s="35"/>
      <c r="AJ357" s="35"/>
      <c r="AK357" s="35"/>
    </row>
    <row r="358" spans="1:66" ht="12.9" customHeight="1">
      <c r="B358" s="4"/>
      <c r="C358" s="4"/>
      <c r="D358" s="4"/>
      <c r="E358" s="4"/>
      <c r="F358" s="4"/>
      <c r="G358" s="4"/>
      <c r="I358" s="4" t="s">
        <v>76</v>
      </c>
      <c r="P358" s="1457"/>
      <c r="Q358" s="1457"/>
      <c r="R358" s="1457"/>
      <c r="S358" s="1457"/>
      <c r="T358" s="1457"/>
      <c r="U358" s="1457"/>
      <c r="V358" s="1457"/>
      <c r="W358" s="1457"/>
      <c r="X358" s="1457"/>
      <c r="Y358" s="1457"/>
      <c r="Z358" s="1457"/>
      <c r="AA358" s="1457"/>
      <c r="AB358" s="1457"/>
      <c r="AC358" s="1457"/>
      <c r="AD358" s="1457"/>
      <c r="AE358" s="1457"/>
    </row>
    <row r="359" spans="1:66" ht="12.9" customHeight="1">
      <c r="T359" s="8"/>
      <c r="U359" s="8"/>
      <c r="V359" s="8"/>
      <c r="W359" s="8"/>
      <c r="X359" s="8"/>
      <c r="Y359" s="8"/>
      <c r="Z359" s="8"/>
      <c r="AU359" s="95"/>
      <c r="AV359" s="95"/>
      <c r="AW359" s="95"/>
      <c r="AX359" s="95"/>
      <c r="AY359" s="95"/>
    </row>
    <row r="360" spans="1:66" ht="12.9" customHeight="1">
      <c r="A360" s="1493" t="s">
        <v>542</v>
      </c>
      <c r="B360" s="1493"/>
      <c r="C360" s="1493"/>
      <c r="D360" s="1493"/>
      <c r="E360" s="1493"/>
      <c r="F360" s="1493"/>
      <c r="G360" s="1493"/>
      <c r="H360" s="1493"/>
      <c r="I360" s="1493"/>
      <c r="J360" s="1493"/>
      <c r="K360" s="1493"/>
      <c r="L360" s="1493"/>
      <c r="M360" s="1493"/>
      <c r="N360" s="1493"/>
      <c r="O360" s="1493"/>
      <c r="P360" s="1493"/>
      <c r="Q360" s="1493"/>
      <c r="R360" s="1493"/>
      <c r="S360" s="1493"/>
      <c r="T360" s="1493"/>
      <c r="U360" s="1493"/>
      <c r="V360" s="1493"/>
      <c r="W360" s="1493"/>
      <c r="X360" s="1493"/>
      <c r="Y360" s="1493"/>
      <c r="Z360" s="1493"/>
      <c r="AA360" s="1493"/>
      <c r="AB360" s="1493"/>
      <c r="AC360" s="1493"/>
      <c r="AD360" s="1493"/>
      <c r="AE360" s="1493"/>
      <c r="AF360" s="1493"/>
      <c r="AG360" s="1493"/>
      <c r="AH360" s="1493"/>
      <c r="AI360" s="1493"/>
      <c r="AJ360" s="1493"/>
      <c r="AK360" s="1493"/>
      <c r="AL360" s="1493"/>
      <c r="AM360" s="1493"/>
      <c r="AN360" s="1493"/>
      <c r="AO360" s="1493"/>
      <c r="AP360" s="1493"/>
      <c r="AQ360" s="1493"/>
      <c r="AR360" s="1493"/>
      <c r="AS360" s="1493"/>
      <c r="AT360" s="1493"/>
      <c r="AU360" s="95"/>
      <c r="AV360" s="95"/>
      <c r="AW360" s="95"/>
      <c r="AX360" s="95"/>
      <c r="AY360" s="95"/>
    </row>
    <row r="361" spans="1:66" ht="12.9" customHeight="1">
      <c r="A361" s="1493"/>
      <c r="B361" s="1493"/>
      <c r="C361" s="1493"/>
      <c r="D361" s="1493"/>
      <c r="E361" s="1493"/>
      <c r="F361" s="1493"/>
      <c r="G361" s="1493"/>
      <c r="H361" s="1493"/>
      <c r="I361" s="1493"/>
      <c r="J361" s="1493"/>
      <c r="K361" s="1493"/>
      <c r="L361" s="1493"/>
      <c r="M361" s="1493"/>
      <c r="N361" s="1493"/>
      <c r="O361" s="1493"/>
      <c r="P361" s="1493"/>
      <c r="Q361" s="1493"/>
      <c r="R361" s="1493"/>
      <c r="S361" s="1493"/>
      <c r="T361" s="1493"/>
      <c r="U361" s="1493"/>
      <c r="V361" s="1493"/>
      <c r="W361" s="1493"/>
      <c r="X361" s="1493"/>
      <c r="Y361" s="1493"/>
      <c r="Z361" s="1493"/>
      <c r="AA361" s="1493"/>
      <c r="AB361" s="1493"/>
      <c r="AC361" s="1493"/>
      <c r="AD361" s="1493"/>
      <c r="AE361" s="1493"/>
      <c r="AF361" s="1493"/>
      <c r="AG361" s="1493"/>
      <c r="AH361" s="1493"/>
      <c r="AI361" s="1493"/>
      <c r="AJ361" s="1493"/>
      <c r="AK361" s="1493"/>
      <c r="AL361" s="1493"/>
      <c r="AM361" s="1493"/>
      <c r="AN361" s="1493"/>
      <c r="AO361" s="1493"/>
      <c r="AP361" s="1493"/>
      <c r="AQ361" s="1493"/>
      <c r="AR361" s="1493"/>
      <c r="AS361" s="1493"/>
      <c r="AT361" s="1493"/>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319</v>
      </c>
      <c r="B363" s="2"/>
      <c r="C363" s="2" t="s">
        <v>782</v>
      </c>
    </row>
    <row r="364" spans="1:66" ht="12.9" customHeight="1">
      <c r="D364" s="3" t="s">
        <v>2055</v>
      </c>
      <c r="M364" s="1341" t="s">
        <v>545</v>
      </c>
      <c r="N364" s="1341"/>
      <c r="P364" t="s">
        <v>1639</v>
      </c>
      <c r="AJ364" s="1341" t="s">
        <v>545</v>
      </c>
      <c r="AK364" s="1341"/>
    </row>
    <row r="365" spans="1:66" ht="12.9" customHeight="1">
      <c r="D365" s="3" t="s">
        <v>1628</v>
      </c>
      <c r="M365" s="1341" t="s">
        <v>591</v>
      </c>
      <c r="N365" s="1341"/>
      <c r="P365" s="3" t="s">
        <v>1708</v>
      </c>
      <c r="AJ365" s="1481"/>
      <c r="AK365" s="1481"/>
    </row>
    <row r="366" spans="1:66" ht="12.9" customHeight="1">
      <c r="D366" s="3" t="s">
        <v>704</v>
      </c>
      <c r="M366" s="1341" t="s">
        <v>591</v>
      </c>
      <c r="N366" s="1341"/>
      <c r="P366" t="s">
        <v>1638</v>
      </c>
      <c r="AJ366" s="1341" t="s">
        <v>591</v>
      </c>
      <c r="AK366" s="1341"/>
    </row>
    <row r="367" spans="1:66" ht="12.9" customHeight="1">
      <c r="D367" s="3" t="s">
        <v>705</v>
      </c>
      <c r="M367" s="1341" t="s">
        <v>591</v>
      </c>
      <c r="N367" s="1341"/>
      <c r="Q367" s="4"/>
    </row>
    <row r="368" spans="1:66" ht="12.9" customHeight="1">
      <c r="Q368" s="4"/>
    </row>
    <row r="369" spans="1:34" ht="12.9" customHeight="1">
      <c r="Q369" s="4"/>
    </row>
    <row r="370" spans="1:34" ht="12.9" customHeight="1">
      <c r="A370" s="2" t="s">
        <v>576</v>
      </c>
      <c r="B370" s="2"/>
      <c r="C370" s="2" t="s">
        <v>552</v>
      </c>
      <c r="D370" s="2"/>
    </row>
    <row r="371" spans="1:34" ht="12.9"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186</v>
      </c>
      <c r="E372" s="40"/>
      <c r="F372" s="40"/>
      <c r="G372" s="40"/>
      <c r="H372" s="40"/>
      <c r="I372" s="40"/>
      <c r="J372" s="40"/>
      <c r="K372" s="40"/>
      <c r="L372" s="40"/>
      <c r="M372" s="40"/>
      <c r="N372" s="1341" t="s">
        <v>591</v>
      </c>
      <c r="O372" s="1341"/>
      <c r="P372" s="40"/>
      <c r="Q372" s="40"/>
      <c r="R372" s="40"/>
      <c r="S372" s="40"/>
      <c r="T372" s="40"/>
      <c r="U372" s="40"/>
      <c r="V372" s="40"/>
      <c r="W372" s="40"/>
      <c r="X372" s="40"/>
      <c r="Y372" s="40"/>
      <c r="Z372" s="40"/>
      <c r="AC372" s="40"/>
      <c r="AD372" s="40"/>
      <c r="AE372" s="40"/>
    </row>
    <row r="373" spans="1:34" ht="12.9" customHeight="1">
      <c r="E373" t="s">
        <v>370</v>
      </c>
      <c r="Y373" s="1341" t="s">
        <v>591</v>
      </c>
      <c r="Z373" s="1341"/>
    </row>
    <row r="374" spans="1:34" ht="12.9" customHeight="1">
      <c r="D374" s="4" t="s">
        <v>978</v>
      </c>
      <c r="Q374" s="1457"/>
      <c r="R374" s="1457"/>
      <c r="S374" s="1457"/>
      <c r="T374" s="1457"/>
      <c r="U374" s="1457"/>
      <c r="V374" s="1457"/>
      <c r="W374" s="1457"/>
      <c r="X374" s="1457"/>
      <c r="Y374" s="1457"/>
      <c r="Z374" s="1457"/>
      <c r="AA374" s="1457"/>
      <c r="AB374" s="1457"/>
      <c r="AC374" s="1457"/>
      <c r="AD374" s="1457"/>
      <c r="AE374" s="1457"/>
      <c r="AF374" s="1457"/>
      <c r="AG374" s="1457"/>
    </row>
    <row r="375" spans="1:34" ht="12.9"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188</v>
      </c>
      <c r="E376" s="40"/>
      <c r="F376" s="40"/>
      <c r="G376" s="40"/>
      <c r="H376" s="40"/>
      <c r="I376" s="40"/>
      <c r="J376" s="1341" t="s">
        <v>591</v>
      </c>
      <c r="K376" s="1341"/>
      <c r="L376" s="40"/>
      <c r="M376" s="40"/>
      <c r="N376" s="40"/>
      <c r="O376" s="40"/>
      <c r="P376" s="40"/>
      <c r="Q376" s="40"/>
      <c r="R376" s="40"/>
      <c r="S376" s="40"/>
      <c r="T376" s="40"/>
      <c r="U376" s="40"/>
      <c r="V376" s="40"/>
      <c r="W376" s="40"/>
      <c r="X376" s="40"/>
      <c r="Y376" s="40"/>
      <c r="Z376" s="40"/>
      <c r="AC376" s="40"/>
      <c r="AD376" s="40"/>
      <c r="AE376" s="40"/>
    </row>
    <row r="377" spans="1:34" ht="12.9" customHeight="1">
      <c r="E377" s="1488" t="s">
        <v>706</v>
      </c>
      <c r="F377" s="1488"/>
      <c r="G377" s="1488"/>
      <c r="H377" s="1488"/>
      <c r="I377" s="1488"/>
      <c r="J377" s="1488"/>
      <c r="K377" s="1488"/>
      <c r="L377" s="1488"/>
      <c r="M377" s="1488"/>
      <c r="N377" s="1488"/>
      <c r="O377" s="1488"/>
      <c r="P377" s="1488"/>
      <c r="Q377" s="1488"/>
      <c r="R377" s="1488"/>
      <c r="S377" s="1488"/>
      <c r="T377" s="1488"/>
      <c r="U377" s="1488"/>
      <c r="V377" s="1488"/>
      <c r="W377" s="1488"/>
      <c r="X377" s="1488"/>
      <c r="Y377" s="1488"/>
      <c r="Z377" s="1488"/>
      <c r="AA377" s="1488"/>
      <c r="AB377" s="1488"/>
      <c r="AC377" s="1488"/>
      <c r="AD377" s="1488"/>
      <c r="AE377" s="1488"/>
      <c r="AF377" s="1488"/>
      <c r="AG377" s="1488"/>
      <c r="AH377" s="1488"/>
    </row>
    <row r="378" spans="1:34" ht="12.9" customHeight="1">
      <c r="E378" s="1488"/>
      <c r="F378" s="1488"/>
      <c r="G378" s="1488"/>
      <c r="H378" s="1488"/>
      <c r="I378" s="1488"/>
      <c r="J378" s="1488"/>
      <c r="K378" s="1488"/>
      <c r="L378" s="1488"/>
      <c r="M378" s="1488"/>
      <c r="N378" s="1488"/>
      <c r="O378" s="1488"/>
      <c r="P378" s="1488"/>
      <c r="Q378" s="1488"/>
      <c r="R378" s="1488"/>
      <c r="S378" s="1488"/>
      <c r="T378" s="1488"/>
      <c r="U378" s="1488"/>
      <c r="V378" s="1488"/>
      <c r="W378" s="1488"/>
      <c r="X378" s="1488"/>
      <c r="Y378" s="1488"/>
      <c r="Z378" s="1488"/>
      <c r="AA378" s="1488"/>
      <c r="AB378" s="1488"/>
      <c r="AC378" s="1488"/>
      <c r="AD378" s="1488"/>
      <c r="AE378" s="1488"/>
      <c r="AF378" s="1488"/>
      <c r="AG378" s="1488"/>
      <c r="AH378" s="1488"/>
    </row>
    <row r="379" spans="1:34" ht="12.9" customHeight="1">
      <c r="E379" s="4" t="s">
        <v>448</v>
      </c>
      <c r="F379" s="4"/>
      <c r="G379" s="4"/>
      <c r="H379" s="4"/>
      <c r="I379" s="4"/>
      <c r="J379" s="4"/>
      <c r="K379" s="4"/>
      <c r="L379" s="4"/>
      <c r="N379" s="1470"/>
      <c r="O379" s="1470"/>
      <c r="P379" s="1470"/>
      <c r="Q379" s="1470"/>
      <c r="R379" s="4"/>
      <c r="U379" s="4" t="s">
        <v>449</v>
      </c>
      <c r="V379" s="4"/>
      <c r="W379" s="4"/>
      <c r="X379" s="4"/>
      <c r="Y379" s="4"/>
      <c r="Z379" s="4"/>
      <c r="AA379" s="4"/>
      <c r="AB379" s="4"/>
      <c r="AC379" s="1470"/>
      <c r="AD379" s="1470"/>
      <c r="AE379" s="1470"/>
      <c r="AF379" s="1470"/>
    </row>
    <row r="380" spans="1:34" ht="12.9" customHeight="1">
      <c r="E380" s="4" t="s">
        <v>450</v>
      </c>
      <c r="F380" s="4"/>
      <c r="G380" s="4"/>
      <c r="H380" s="4"/>
      <c r="I380" s="4"/>
      <c r="J380" s="4"/>
      <c r="K380" s="4"/>
      <c r="L380" s="4"/>
      <c r="N380" s="1470"/>
      <c r="O380" s="1470"/>
      <c r="P380" s="1470"/>
      <c r="Q380" s="1470"/>
      <c r="R380" s="4"/>
      <c r="U380" s="4" t="s">
        <v>0</v>
      </c>
      <c r="V380" s="4"/>
      <c r="W380" s="4"/>
      <c r="X380" s="4"/>
      <c r="Y380" s="4"/>
      <c r="Z380" s="4"/>
      <c r="AA380" s="4"/>
      <c r="AB380" s="4"/>
      <c r="AC380" s="1470"/>
      <c r="AD380" s="1470"/>
      <c r="AE380" s="1470"/>
      <c r="AF380" s="1470"/>
    </row>
    <row r="381" spans="1:34" ht="12.9" customHeight="1">
      <c r="E381" s="4" t="s">
        <v>1</v>
      </c>
      <c r="F381" s="4"/>
      <c r="G381" s="4"/>
      <c r="H381" s="4"/>
      <c r="I381" s="4"/>
      <c r="J381" s="4"/>
      <c r="K381" s="4"/>
      <c r="L381" s="4"/>
      <c r="N381" s="1470"/>
      <c r="O381" s="1470"/>
      <c r="P381" s="1470"/>
      <c r="Q381" s="1470"/>
      <c r="R381" s="4"/>
      <c r="V381" s="4"/>
      <c r="W381" s="4"/>
      <c r="X381" s="4"/>
      <c r="Y381" s="4"/>
      <c r="Z381" s="4"/>
      <c r="AA381" s="4"/>
      <c r="AB381" s="4"/>
    </row>
    <row r="382" spans="1:34" ht="12.9" customHeight="1">
      <c r="E382" s="4" t="s">
        <v>2</v>
      </c>
      <c r="F382" s="4"/>
      <c r="G382" s="4"/>
      <c r="H382" s="4"/>
      <c r="I382" s="4"/>
      <c r="J382" s="4"/>
      <c r="K382" s="4"/>
      <c r="L382" s="4"/>
      <c r="N382" s="1809"/>
      <c r="O382" s="1809"/>
      <c r="P382" s="1809"/>
      <c r="Q382" s="1809"/>
      <c r="R382" s="1809"/>
      <c r="S382" s="1809"/>
      <c r="T382" s="1809"/>
      <c r="U382" s="1809"/>
      <c r="V382" s="1809"/>
      <c r="W382" s="1809"/>
      <c r="X382" s="1809"/>
      <c r="Y382" s="1809"/>
      <c r="Z382" s="1809"/>
      <c r="AA382" s="1809"/>
      <c r="AB382" s="1809"/>
      <c r="AC382" s="1809"/>
      <c r="AD382" s="1809"/>
      <c r="AE382" s="1809"/>
      <c r="AF382" s="1809"/>
    </row>
    <row r="383" spans="1:34" ht="12.9" customHeight="1">
      <c r="E383" s="4"/>
      <c r="F383" s="4"/>
      <c r="G383" s="4"/>
      <c r="H383" s="4"/>
      <c r="I383" s="4"/>
      <c r="J383" s="4"/>
      <c r="K383" s="4"/>
      <c r="L383" s="4"/>
      <c r="N383" s="1810"/>
      <c r="O383" s="1810"/>
      <c r="P383" s="1810"/>
      <c r="Q383" s="1810"/>
      <c r="R383" s="1810"/>
      <c r="S383" s="1810"/>
      <c r="T383" s="1810"/>
      <c r="U383" s="1810"/>
      <c r="V383" s="1810"/>
      <c r="W383" s="1810"/>
      <c r="X383" s="1810"/>
      <c r="Y383" s="1810"/>
      <c r="Z383" s="1810"/>
      <c r="AA383" s="1810"/>
      <c r="AB383" s="1810"/>
      <c r="AC383" s="1810"/>
      <c r="AD383" s="1810"/>
      <c r="AE383" s="1810"/>
      <c r="AF383" s="1810"/>
    </row>
    <row r="384" spans="1:34" ht="12.9" customHeight="1">
      <c r="C384" s="512"/>
      <c r="E384" s="4"/>
      <c r="F384" s="4"/>
      <c r="G384" s="4"/>
      <c r="H384" s="4"/>
      <c r="I384" s="4"/>
      <c r="J384" s="4"/>
      <c r="K384" s="4"/>
      <c r="L384" s="4"/>
    </row>
    <row r="385" spans="1:36" ht="12.9" customHeight="1">
      <c r="D385" s="2" t="s">
        <v>975</v>
      </c>
      <c r="E385" s="2"/>
      <c r="F385" s="4"/>
      <c r="G385" s="4"/>
      <c r="H385" s="4"/>
      <c r="I385" s="4"/>
      <c r="J385" s="4"/>
      <c r="K385" s="4"/>
      <c r="L385" s="4"/>
    </row>
    <row r="386" spans="1:36" ht="12.9" customHeight="1">
      <c r="E386" s="4" t="s">
        <v>2041</v>
      </c>
      <c r="F386" s="4"/>
      <c r="G386" s="4"/>
      <c r="H386" s="4"/>
      <c r="I386" s="4"/>
      <c r="J386" s="4"/>
      <c r="K386" s="4"/>
      <c r="L386" s="4"/>
      <c r="N386" t="s">
        <v>2037</v>
      </c>
      <c r="R386" s="27" t="s">
        <v>305</v>
      </c>
      <c r="S386" s="1811"/>
      <c r="T386" s="1811"/>
      <c r="U386" s="1" t="s">
        <v>306</v>
      </c>
      <c r="V386" s="1811"/>
      <c r="W386" s="1811"/>
      <c r="Y386" t="s">
        <v>2037</v>
      </c>
      <c r="AC386" s="27" t="s">
        <v>305</v>
      </c>
      <c r="AD386" s="1811"/>
      <c r="AE386" s="1811"/>
      <c r="AF386" s="1" t="s">
        <v>306</v>
      </c>
      <c r="AG386" s="1811"/>
      <c r="AH386" s="1811"/>
    </row>
    <row r="387" spans="1:36" ht="12.9" customHeight="1">
      <c r="E387" s="4" t="s">
        <v>987</v>
      </c>
      <c r="F387" s="4"/>
      <c r="G387" s="4"/>
      <c r="H387" s="4"/>
      <c r="I387" s="4"/>
      <c r="J387" s="4"/>
      <c r="K387" s="4"/>
      <c r="L387" s="4"/>
      <c r="N387" s="1811"/>
      <c r="O387" s="1811"/>
      <c r="P387" s="1811"/>
    </row>
    <row r="388" spans="1:36" ht="12.9" customHeight="1">
      <c r="E388" s="204" t="s">
        <v>2042</v>
      </c>
      <c r="F388" s="4"/>
      <c r="G388" s="4"/>
      <c r="H388" s="4"/>
      <c r="I388" s="4"/>
      <c r="J388" s="4"/>
      <c r="K388" s="4"/>
      <c r="L388" s="4"/>
      <c r="AG388" s="1802" t="s">
        <v>591</v>
      </c>
      <c r="AH388" s="1802"/>
    </row>
    <row r="389" spans="1:36" ht="12.9" customHeight="1">
      <c r="E389" s="4"/>
      <c r="F389" s="4"/>
      <c r="G389" s="4" t="s">
        <v>2043</v>
      </c>
      <c r="H389" s="4"/>
      <c r="I389" s="4"/>
      <c r="J389" s="4"/>
      <c r="K389" s="4"/>
      <c r="L389" s="4"/>
      <c r="AG389" s="1802" t="s">
        <v>591</v>
      </c>
      <c r="AH389" s="1802"/>
    </row>
    <row r="390" spans="1:36" ht="12.9" customHeight="1">
      <c r="E390" s="4"/>
      <c r="F390" s="4"/>
      <c r="G390" s="320" t="s">
        <v>988</v>
      </c>
      <c r="H390" s="4"/>
      <c r="I390" s="4"/>
      <c r="J390" s="4"/>
      <c r="K390" s="4"/>
      <c r="L390" s="4"/>
      <c r="V390" s="1341" t="s">
        <v>591</v>
      </c>
      <c r="W390" s="1341"/>
      <c r="Y390" s="22" t="s">
        <v>980</v>
      </c>
    </row>
    <row r="391" spans="1:36" ht="12.9" customHeight="1">
      <c r="E391" s="4" t="s">
        <v>981</v>
      </c>
      <c r="F391" s="4"/>
      <c r="G391" s="4"/>
      <c r="H391" s="4"/>
      <c r="I391" s="4"/>
      <c r="J391" s="4"/>
      <c r="K391" s="4"/>
      <c r="L391" s="4"/>
      <c r="V391" s="1341" t="s">
        <v>591</v>
      </c>
      <c r="W391" s="1341"/>
      <c r="Y391" s="4" t="s">
        <v>982</v>
      </c>
    </row>
    <row r="392" spans="1:36" ht="12.9" customHeight="1"/>
    <row r="393" spans="1:36" ht="12.9" customHeight="1">
      <c r="A393" s="2" t="s">
        <v>78</v>
      </c>
      <c r="B393" s="2"/>
    </row>
    <row r="394" spans="1:36" ht="12.9" customHeight="1">
      <c r="D394" t="s">
        <v>428</v>
      </c>
      <c r="J394" s="1457" t="s">
        <v>2721</v>
      </c>
      <c r="K394" s="1457"/>
      <c r="L394" s="1457"/>
      <c r="M394" s="1457"/>
      <c r="N394" s="1457"/>
      <c r="O394" s="1457"/>
      <c r="P394" s="1457"/>
      <c r="Q394" s="1457"/>
      <c r="R394" s="1457"/>
      <c r="S394" s="1457"/>
      <c r="T394" s="1457"/>
      <c r="U394" s="1457"/>
      <c r="V394" s="8" t="s">
        <v>83</v>
      </c>
      <c r="W394" s="8"/>
      <c r="X394" s="8"/>
      <c r="Y394" s="8"/>
      <c r="Z394" s="8"/>
      <c r="AA394" s="8"/>
      <c r="AB394" s="8"/>
      <c r="AC394" s="1457" t="s">
        <v>2722</v>
      </c>
      <c r="AD394" s="1457"/>
      <c r="AE394" s="1457"/>
      <c r="AF394" s="1457"/>
      <c r="AG394" s="1457"/>
      <c r="AH394" s="1457"/>
      <c r="AI394" s="1457"/>
      <c r="AJ394" s="1457"/>
    </row>
    <row r="395" spans="1:36" ht="12.9" customHeight="1">
      <c r="D395" s="3" t="s">
        <v>1182</v>
      </c>
      <c r="J395" s="1435" t="s">
        <v>2722</v>
      </c>
      <c r="K395" s="1435"/>
      <c r="L395" s="1435"/>
      <c r="M395" s="1435"/>
      <c r="N395" s="1435"/>
      <c r="O395" s="1435"/>
      <c r="P395" s="1435"/>
      <c r="Q395" s="1435"/>
      <c r="R395" s="1435"/>
      <c r="S395" s="1435"/>
      <c r="T395" s="1435"/>
      <c r="U395" s="1435"/>
      <c r="V395" s="3" t="s">
        <v>1182</v>
      </c>
      <c r="W395" s="8"/>
      <c r="X395" s="8"/>
      <c r="Y395" s="8"/>
      <c r="Z395" s="8"/>
      <c r="AA395" s="8"/>
      <c r="AB395" s="8"/>
      <c r="AC395" s="1457" t="s">
        <v>2722</v>
      </c>
      <c r="AD395" s="1457"/>
      <c r="AE395" s="1457"/>
      <c r="AF395" s="1457"/>
      <c r="AG395" s="1457"/>
      <c r="AH395" s="1457"/>
      <c r="AI395" s="1457"/>
      <c r="AJ395" s="1457"/>
    </row>
    <row r="396" spans="1:36" ht="12.9" customHeight="1">
      <c r="D396" s="3" t="s">
        <v>441</v>
      </c>
      <c r="J396" s="1435" t="s">
        <v>2762</v>
      </c>
      <c r="K396" s="1435"/>
      <c r="L396" s="1435"/>
      <c r="M396" s="1435"/>
      <c r="N396" s="1435"/>
      <c r="O396" s="1435"/>
      <c r="P396" s="1435"/>
      <c r="Q396" s="1435"/>
      <c r="R396" s="1435"/>
      <c r="S396" s="1435"/>
      <c r="T396" s="1435"/>
      <c r="U396" s="1435"/>
      <c r="V396" s="3" t="s">
        <v>441</v>
      </c>
      <c r="W396" s="8"/>
      <c r="X396" s="8"/>
      <c r="Y396" s="8"/>
      <c r="Z396" s="8"/>
      <c r="AA396" s="8"/>
      <c r="AB396" s="8"/>
      <c r="AC396" s="1457" t="s">
        <v>2752</v>
      </c>
      <c r="AD396" s="1457"/>
      <c r="AE396" s="1457"/>
      <c r="AF396" s="1457"/>
      <c r="AG396" s="1457"/>
      <c r="AH396" s="1457"/>
      <c r="AI396" s="1457"/>
      <c r="AJ396" s="1457"/>
    </row>
    <row r="397" spans="1:36" ht="12.9" customHeight="1">
      <c r="D397" t="s">
        <v>1178</v>
      </c>
      <c r="J397" s="1378" t="s">
        <v>2723</v>
      </c>
      <c r="K397" s="1378"/>
      <c r="L397" s="1378"/>
      <c r="M397" s="1378"/>
      <c r="N397" s="1378"/>
      <c r="O397" s="1378"/>
      <c r="P397" s="1378"/>
      <c r="Q397" s="1378"/>
      <c r="R397" s="1378"/>
      <c r="S397" s="1378"/>
      <c r="T397" s="1378"/>
      <c r="U397" s="1378"/>
      <c r="V397" s="1457"/>
      <c r="W397" s="1457"/>
      <c r="X397" s="1457"/>
      <c r="Y397" s="1457"/>
      <c r="Z397" s="1457"/>
      <c r="AA397" s="1457"/>
      <c r="AB397" s="1457"/>
      <c r="AC397" s="1457"/>
      <c r="AD397" s="1457"/>
      <c r="AE397" s="1457"/>
      <c r="AF397" s="1457"/>
      <c r="AG397" s="1457"/>
      <c r="AH397" s="1457"/>
      <c r="AI397" s="1457"/>
      <c r="AJ397" s="1457"/>
    </row>
    <row r="398" spans="1:36" ht="12.9" customHeight="1">
      <c r="D398" t="s">
        <v>4</v>
      </c>
      <c r="Q398" s="1766">
        <v>45838</v>
      </c>
      <c r="R398" s="1766"/>
      <c r="S398" s="1766"/>
      <c r="T398" s="1766"/>
      <c r="U398" s="1766"/>
      <c r="V398" t="s">
        <v>309</v>
      </c>
      <c r="AI398" s="1341" t="s">
        <v>545</v>
      </c>
      <c r="AJ398" s="1341"/>
    </row>
    <row r="399" spans="1:36" ht="12.9" customHeight="1">
      <c r="D399" t="s">
        <v>5</v>
      </c>
      <c r="Q399" s="1657">
        <v>46203</v>
      </c>
      <c r="R399" s="1817"/>
      <c r="S399" s="1817"/>
      <c r="T399" s="1817"/>
      <c r="U399" s="1817"/>
      <c r="W399" s="21" t="s">
        <v>74</v>
      </c>
      <c r="AG399" s="1812"/>
      <c r="AH399" s="1812"/>
      <c r="AI399" s="1812"/>
      <c r="AJ399" s="1812"/>
    </row>
    <row r="400" spans="1:36" ht="12.9" customHeight="1">
      <c r="D400" t="s">
        <v>427</v>
      </c>
      <c r="Q400" s="1829">
        <v>5000000</v>
      </c>
      <c r="R400" s="1829"/>
      <c r="S400" s="1829"/>
      <c r="T400" s="1829"/>
      <c r="U400" s="1829"/>
      <c r="V400" s="3" t="s">
        <v>1181</v>
      </c>
      <c r="AG400" s="1816">
        <v>46203</v>
      </c>
      <c r="AH400" s="1816"/>
      <c r="AI400" s="1816"/>
      <c r="AJ400" s="1816"/>
    </row>
    <row r="401" spans="4:36" ht="12.9" customHeight="1">
      <c r="D401" t="s">
        <v>88</v>
      </c>
      <c r="I401" s="1494"/>
      <c r="J401" s="1495"/>
      <c r="K401" s="1495"/>
      <c r="L401" s="1495"/>
      <c r="M401" s="1495"/>
      <c r="N401" s="1495"/>
      <c r="Q401" s="4" t="s">
        <v>206</v>
      </c>
      <c r="S401" s="1828"/>
      <c r="T401" s="1828"/>
      <c r="U401" s="1828"/>
      <c r="V401" t="s">
        <v>73</v>
      </c>
      <c r="AI401" s="1341" t="s">
        <v>669</v>
      </c>
      <c r="AJ401" s="1341"/>
    </row>
    <row r="402" spans="4:36" ht="12.9" customHeight="1">
      <c r="D402" t="s">
        <v>310</v>
      </c>
      <c r="Q402" s="1423"/>
      <c r="R402" s="1423"/>
      <c r="S402" s="1423"/>
      <c r="T402" s="1423"/>
      <c r="U402" s="1423"/>
      <c r="V402" t="s">
        <v>311</v>
      </c>
      <c r="AG402" s="1812"/>
      <c r="AH402" s="1812"/>
      <c r="AI402" s="1812"/>
      <c r="AJ402" s="1812"/>
    </row>
    <row r="403" spans="4:36" ht="12.9" customHeight="1">
      <c r="D403" t="s">
        <v>312</v>
      </c>
      <c r="Q403" s="1813"/>
      <c r="R403" s="1813"/>
      <c r="S403" s="1813"/>
      <c r="T403" s="1813"/>
      <c r="U403" s="1813"/>
      <c r="V403" t="s">
        <v>1163</v>
      </c>
      <c r="AG403" s="1812"/>
      <c r="AH403" s="1812"/>
      <c r="AI403" s="1812"/>
      <c r="AJ403" s="1812"/>
    </row>
    <row r="404" spans="4:36" ht="12.9" customHeight="1">
      <c r="D404" t="s">
        <v>1162</v>
      </c>
      <c r="AG404" s="1812"/>
      <c r="AH404" s="1812"/>
      <c r="AI404" s="1812"/>
      <c r="AJ404" s="1812"/>
    </row>
    <row r="405" spans="4:36" ht="12.9" customHeight="1">
      <c r="AG405" s="456"/>
      <c r="AH405" s="456"/>
      <c r="AI405" s="456"/>
      <c r="AJ405" s="456"/>
    </row>
    <row r="406" spans="4:36" ht="12.9" customHeight="1">
      <c r="D406" s="3" t="s">
        <v>2099</v>
      </c>
      <c r="AG406" s="456"/>
      <c r="AH406" s="456"/>
      <c r="AI406" s="1341" t="s">
        <v>669</v>
      </c>
      <c r="AJ406" s="1341"/>
    </row>
    <row r="407" spans="4:36" ht="12.9" customHeight="1">
      <c r="D407" s="3" t="s">
        <v>1656</v>
      </c>
      <c r="T407" s="1765"/>
      <c r="U407" s="1765"/>
      <c r="V407" s="1765"/>
      <c r="W407" s="1765"/>
      <c r="X407" s="1765"/>
      <c r="Y407" s="1765"/>
      <c r="Z407" s="1765"/>
      <c r="AA407" s="1765"/>
      <c r="AB407" s="1765"/>
      <c r="AC407" s="1765"/>
      <c r="AD407" s="1765"/>
      <c r="AE407" s="1765"/>
      <c r="AF407" s="1765"/>
      <c r="AG407" s="1765"/>
      <c r="AH407" s="1765"/>
      <c r="AI407" s="1765"/>
      <c r="AJ407" s="1765"/>
    </row>
    <row r="408" spans="4:36" ht="12.9" customHeight="1">
      <c r="D408" s="3" t="s">
        <v>1655</v>
      </c>
      <c r="T408" s="1765"/>
      <c r="U408" s="1765"/>
      <c r="V408" s="1765"/>
      <c r="W408" s="1765"/>
      <c r="X408" s="1765"/>
      <c r="Y408" s="1765"/>
      <c r="Z408" s="1765"/>
      <c r="AA408" s="1765"/>
      <c r="AB408" s="1765"/>
      <c r="AC408" s="1765"/>
      <c r="AD408" s="1765"/>
      <c r="AE408" s="1765"/>
      <c r="AF408" s="1765"/>
      <c r="AG408" s="1765"/>
      <c r="AH408" s="1765"/>
      <c r="AI408" s="1765"/>
      <c r="AJ408" s="1765"/>
    </row>
    <row r="409" spans="4:36" ht="12.9" customHeight="1">
      <c r="AG409" s="456"/>
      <c r="AH409" s="456"/>
      <c r="AI409" s="456"/>
      <c r="AJ409" s="456"/>
    </row>
    <row r="410" spans="4:36" ht="12.9" customHeight="1">
      <c r="D410" s="3" t="s">
        <v>1649</v>
      </c>
      <c r="S410" s="1765" t="s">
        <v>669</v>
      </c>
      <c r="T410" s="1765"/>
      <c r="U410" s="1765"/>
      <c r="V410" t="s">
        <v>1650</v>
      </c>
      <c r="AG410" s="1819"/>
      <c r="AH410" s="1819"/>
      <c r="AI410" s="1819"/>
      <c r="AJ410" s="1819"/>
    </row>
    <row r="411" spans="4:36" ht="12.9" customHeight="1">
      <c r="D411" s="3" t="s">
        <v>1647</v>
      </c>
      <c r="S411" s="1765" t="s">
        <v>591</v>
      </c>
      <c r="T411" s="1765"/>
      <c r="U411" s="1765"/>
      <c r="V411" t="s">
        <v>1652</v>
      </c>
      <c r="AE411" s="1775"/>
      <c r="AF411" s="1775"/>
      <c r="AG411" s="1775"/>
      <c r="AH411" s="1775"/>
      <c r="AI411" s="1775"/>
      <c r="AJ411" s="1775"/>
    </row>
    <row r="412" spans="4:36" ht="12.9" customHeight="1">
      <c r="D412" s="3" t="s">
        <v>1648</v>
      </c>
      <c r="K412" s="1796"/>
      <c r="L412" s="1796"/>
      <c r="M412" s="1796"/>
      <c r="N412" s="1796"/>
      <c r="O412" s="1796"/>
      <c r="P412" s="1796"/>
      <c r="Q412" s="1796"/>
      <c r="R412" s="1796"/>
      <c r="S412" s="1796"/>
      <c r="T412" s="1796"/>
      <c r="U412" s="1796"/>
      <c r="V412" s="1796"/>
      <c r="W412" s="1796"/>
      <c r="X412" s="1796"/>
      <c r="Y412" s="1796"/>
      <c r="Z412" s="1796"/>
      <c r="AA412" s="1796"/>
      <c r="AB412" s="1796"/>
      <c r="AC412" s="1796"/>
      <c r="AD412" s="1796"/>
      <c r="AE412" s="1796"/>
      <c r="AF412" s="1796"/>
      <c r="AG412" s="1796"/>
      <c r="AH412" s="1796"/>
      <c r="AI412" s="1796"/>
      <c r="AJ412" s="1796"/>
    </row>
    <row r="413" spans="4:36" ht="12.9" customHeight="1">
      <c r="D413" s="3" t="s">
        <v>1651</v>
      </c>
      <c r="K413" s="1796"/>
      <c r="L413" s="1796"/>
      <c r="M413" s="1796"/>
      <c r="N413" s="1796"/>
      <c r="O413" s="1796"/>
      <c r="P413" s="1796"/>
      <c r="Q413" s="1796"/>
      <c r="R413" s="1796"/>
      <c r="S413" s="1796"/>
      <c r="T413" s="1796"/>
      <c r="U413" s="1796"/>
      <c r="V413" s="1796"/>
      <c r="W413" s="1796"/>
      <c r="X413" s="1796"/>
      <c r="Y413" s="1796"/>
      <c r="Z413" s="1796"/>
      <c r="AA413" s="1796"/>
      <c r="AB413" s="1796"/>
      <c r="AC413" s="1796"/>
      <c r="AD413" s="1796"/>
      <c r="AE413" s="1796"/>
      <c r="AF413" s="1796"/>
      <c r="AG413" s="1796"/>
      <c r="AH413" s="1796"/>
      <c r="AI413" s="1796"/>
      <c r="AJ413" s="1796"/>
    </row>
    <row r="414" spans="4:36" ht="12.9" customHeight="1">
      <c r="D414" s="3" t="s">
        <v>1654</v>
      </c>
      <c r="E414" s="477"/>
      <c r="F414" s="477"/>
      <c r="G414" s="477"/>
      <c r="H414" s="477"/>
      <c r="I414" s="477"/>
      <c r="J414" s="477"/>
      <c r="K414" s="477"/>
      <c r="L414" s="477"/>
      <c r="M414" s="477"/>
      <c r="N414" s="477"/>
      <c r="O414" s="477"/>
      <c r="P414" s="477"/>
      <c r="Q414" s="477"/>
      <c r="R414" s="477"/>
      <c r="S414" s="1827" t="s">
        <v>1184</v>
      </c>
      <c r="T414" s="1827"/>
      <c r="U414" s="1827"/>
      <c r="V414" s="1827"/>
      <c r="W414" s="1827"/>
      <c r="X414" s="1827"/>
      <c r="Y414" s="1827"/>
      <c r="Z414" s="1827"/>
      <c r="AA414" s="1827"/>
      <c r="AB414" s="1827"/>
      <c r="AC414" s="1827"/>
      <c r="AD414" s="1827"/>
      <c r="AE414" s="1827"/>
      <c r="AF414" s="1827"/>
      <c r="AG414" s="1827"/>
      <c r="AH414" s="1827"/>
      <c r="AI414" s="1827"/>
      <c r="AJ414" s="1827"/>
    </row>
    <row r="415" spans="4:36" ht="12.9" customHeight="1">
      <c r="D415" s="1275" t="s">
        <v>1653</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2.9"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2.9" customHeight="1">
      <c r="AG417" s="456"/>
      <c r="AH417" s="456"/>
      <c r="AI417" s="456"/>
      <c r="AJ417" s="456"/>
    </row>
    <row r="418" spans="1:39" ht="12.9" customHeight="1">
      <c r="A418" s="2" t="s">
        <v>589</v>
      </c>
      <c r="B418" s="2"/>
      <c r="C418" s="2" t="s">
        <v>111</v>
      </c>
    </row>
    <row r="419" spans="1:39" ht="12.9" customHeight="1">
      <c r="B419" s="2"/>
      <c r="C419" s="2"/>
      <c r="D419" s="2" t="s">
        <v>1204</v>
      </c>
      <c r="I419" s="1439" t="s">
        <v>2724</v>
      </c>
      <c r="J419" s="1439"/>
      <c r="K419" s="1439"/>
      <c r="L419" s="1439"/>
      <c r="M419" s="1439"/>
      <c r="N419" s="1439"/>
      <c r="O419" s="1439"/>
      <c r="P419" s="1439"/>
      <c r="Q419" s="1439"/>
      <c r="R419" s="1439"/>
      <c r="S419" s="1439"/>
      <c r="T419" s="1439"/>
      <c r="U419" s="1439"/>
      <c r="V419" s="1439"/>
      <c r="W419" s="1439"/>
      <c r="X419" s="1439"/>
      <c r="Y419" s="1439"/>
      <c r="Z419" s="1439"/>
      <c r="AA419" s="1439"/>
      <c r="AB419" s="1439"/>
      <c r="AC419" s="1439"/>
      <c r="AD419" s="1439"/>
      <c r="AE419" s="1439"/>
    </row>
    <row r="420" spans="1:39" ht="12.9" customHeight="1">
      <c r="E420" t="s">
        <v>106</v>
      </c>
      <c r="R420" s="1341" t="s">
        <v>545</v>
      </c>
      <c r="S420" s="1341"/>
      <c r="AC420" s="27" t="s">
        <v>570</v>
      </c>
      <c r="AD420" s="1470">
        <v>8</v>
      </c>
      <c r="AE420" s="1470"/>
    </row>
    <row r="421" spans="1:39" ht="12.9" customHeight="1">
      <c r="E421" t="s">
        <v>107</v>
      </c>
      <c r="R421" s="1341" t="s">
        <v>591</v>
      </c>
      <c r="S421" s="1341"/>
      <c r="AC421" s="27" t="s">
        <v>570</v>
      </c>
      <c r="AD421" s="1470"/>
      <c r="AE421" s="1470"/>
    </row>
    <row r="422" spans="1:39" ht="12.9" customHeight="1">
      <c r="E422" t="s">
        <v>108</v>
      </c>
      <c r="S422" s="1341" t="s">
        <v>591</v>
      </c>
      <c r="T422" s="1341"/>
    </row>
    <row r="423" spans="1:39" ht="12.9" customHeight="1">
      <c r="E423" t="s">
        <v>170</v>
      </c>
      <c r="H423" s="1773" t="s">
        <v>2753</v>
      </c>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row>
    <row r="424" spans="1:39" ht="12.9" customHeight="1">
      <c r="H424" s="1774"/>
      <c r="I424" s="1774"/>
      <c r="J424" s="1774"/>
      <c r="K424" s="1774"/>
      <c r="L424" s="1774"/>
      <c r="M424" s="1774"/>
      <c r="N424" s="1774"/>
      <c r="O424" s="1774"/>
      <c r="P424" s="1774"/>
      <c r="Q424" s="1774"/>
      <c r="R424" s="1774"/>
      <c r="S424" s="1774"/>
      <c r="T424" s="1774"/>
      <c r="U424" s="1774"/>
      <c r="V424" s="1774"/>
      <c r="W424" s="1774"/>
      <c r="X424" s="1774"/>
      <c r="Y424" s="1774"/>
      <c r="Z424" s="1774"/>
      <c r="AA424" s="1774"/>
      <c r="AB424" s="1774"/>
      <c r="AC424" s="1774"/>
      <c r="AD424" s="1774"/>
      <c r="AE424" s="1774"/>
    </row>
    <row r="425" spans="1:39" ht="12.9" customHeight="1"/>
    <row r="426" spans="1:39" ht="12.9" customHeight="1">
      <c r="A426" s="2" t="s">
        <v>590</v>
      </c>
      <c r="B426" s="2"/>
      <c r="C426" s="2"/>
      <c r="D426" s="2" t="s">
        <v>114</v>
      </c>
      <c r="AF426" s="2" t="s">
        <v>957</v>
      </c>
    </row>
    <row r="427" spans="1:39" ht="12.9" customHeight="1">
      <c r="E427" s="1811"/>
      <c r="F427" s="1811"/>
      <c r="G427" s="1811"/>
      <c r="H427" s="13" t="s">
        <v>115</v>
      </c>
      <c r="I427" s="1811"/>
      <c r="J427" s="1811"/>
      <c r="K427" s="1811"/>
      <c r="L427" t="s">
        <v>116</v>
      </c>
      <c r="N427" s="27" t="s">
        <v>575</v>
      </c>
      <c r="P427" s="1845">
        <v>0.35</v>
      </c>
      <c r="Q427" s="1845"/>
      <c r="R427" s="1845"/>
      <c r="S427" t="s">
        <v>117</v>
      </c>
      <c r="W427" s="1847">
        <f>IF(E427&gt;0,(E427*I427),(P427*43560))</f>
        <v>15245.999999999998</v>
      </c>
      <c r="X427" s="1847"/>
      <c r="Y427" s="1847"/>
      <c r="Z427" t="s">
        <v>118</v>
      </c>
      <c r="AF427" s="1848">
        <f>IFERROR(IF(P427&gt;0,(AG446/P427),(AG446/(W427/43560))),0)</f>
        <v>180</v>
      </c>
      <c r="AG427" s="1848"/>
      <c r="AH427" s="1848"/>
      <c r="AM427" s="3"/>
    </row>
    <row r="428" spans="1:39" ht="12.9" customHeight="1">
      <c r="E428" t="s">
        <v>51</v>
      </c>
    </row>
    <row r="429" spans="1:39" ht="12.9" customHeight="1">
      <c r="E429" s="1814"/>
      <c r="F429" s="1814"/>
      <c r="G429" s="1814"/>
      <c r="H429" s="1814"/>
      <c r="I429" s="1814"/>
      <c r="J429" s="1814"/>
      <c r="K429" s="1814"/>
      <c r="L429" s="1814"/>
      <c r="M429" s="1814"/>
      <c r="N429" s="1814"/>
      <c r="O429" s="1814"/>
      <c r="P429" s="1814"/>
      <c r="Q429" s="1814"/>
      <c r="R429" s="1814"/>
      <c r="S429" s="1814"/>
      <c r="T429" s="1814"/>
      <c r="U429" s="1814"/>
      <c r="V429" s="1814"/>
      <c r="W429" s="1814"/>
      <c r="X429" s="1814"/>
      <c r="Y429" s="1814"/>
      <c r="Z429" s="1814"/>
      <c r="AA429" s="1814"/>
      <c r="AB429" s="1814"/>
      <c r="AC429" s="1814"/>
      <c r="AD429" s="1814"/>
      <c r="AE429" s="1814"/>
      <c r="AF429" s="1814"/>
      <c r="AG429" s="1814"/>
      <c r="AH429" s="1814"/>
      <c r="AI429" s="1814"/>
      <c r="AJ429" s="1814"/>
    </row>
    <row r="430" spans="1:39" ht="12.9" customHeight="1">
      <c r="E430" s="118" t="s">
        <v>1725</v>
      </c>
      <c r="F430" s="1008"/>
      <c r="G430" s="1008"/>
      <c r="H430" s="1008"/>
      <c r="I430" s="1844">
        <v>0.35</v>
      </c>
      <c r="J430" s="1844"/>
      <c r="K430" s="1844"/>
      <c r="L430" s="1008"/>
      <c r="M430" s="118"/>
      <c r="N430" s="1008"/>
      <c r="O430" s="1008"/>
      <c r="P430" s="1541">
        <f>(DU763+DU786+DU808)/I430</f>
        <v>360</v>
      </c>
      <c r="Q430" s="1541"/>
      <c r="R430" s="1541"/>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592</v>
      </c>
      <c r="B432" s="2"/>
      <c r="C432" s="2"/>
      <c r="D432" s="2" t="s">
        <v>120</v>
      </c>
    </row>
    <row r="433" spans="1:36" ht="12.9" customHeight="1">
      <c r="E433" t="s">
        <v>121</v>
      </c>
      <c r="P433" s="1341">
        <v>1</v>
      </c>
      <c r="Q433" s="1341"/>
      <c r="S433" t="s">
        <v>189</v>
      </c>
      <c r="AE433" s="1341">
        <v>1</v>
      </c>
      <c r="AF433" s="1341"/>
    </row>
    <row r="434" spans="1:36" ht="12.9" customHeight="1">
      <c r="E434" t="s">
        <v>190</v>
      </c>
      <c r="P434" s="1341">
        <v>0</v>
      </c>
      <c r="Q434" s="1341"/>
      <c r="S434" t="s">
        <v>131</v>
      </c>
      <c r="AE434" s="1341" t="s">
        <v>591</v>
      </c>
      <c r="AF434" s="1341"/>
    </row>
    <row r="435" spans="1:36" ht="12.9" customHeight="1">
      <c r="F435" s="28" t="s">
        <v>132</v>
      </c>
    </row>
    <row r="436" spans="1:36" ht="12.9" customHeight="1">
      <c r="F436" s="1437"/>
      <c r="G436" s="1437"/>
      <c r="H436" s="1437"/>
      <c r="I436" s="1437"/>
      <c r="J436" s="1437"/>
      <c r="K436" s="1437"/>
      <c r="L436" s="1437"/>
      <c r="M436" s="1437"/>
      <c r="N436" s="1437"/>
      <c r="O436" s="1437"/>
      <c r="P436" s="1437"/>
      <c r="Q436" s="1437"/>
      <c r="R436" s="1437"/>
      <c r="S436" s="1437"/>
      <c r="T436" s="1437"/>
      <c r="U436" s="1437"/>
      <c r="V436" s="1437"/>
      <c r="W436" s="1437"/>
      <c r="X436" s="1437"/>
      <c r="Y436" s="1437"/>
      <c r="Z436" s="1437"/>
      <c r="AA436" s="1437"/>
      <c r="AB436" s="1437"/>
      <c r="AC436" s="1437"/>
      <c r="AD436" s="1437"/>
      <c r="AE436" s="1437"/>
      <c r="AF436" s="1437"/>
      <c r="AG436" s="1437"/>
      <c r="AH436" s="1437"/>
    </row>
    <row r="437" spans="1:36" ht="12.9" customHeight="1">
      <c r="F437" s="1438"/>
      <c r="G437" s="1438"/>
      <c r="H437" s="1438"/>
      <c r="I437" s="1438"/>
      <c r="J437" s="1438"/>
      <c r="K437" s="1438"/>
      <c r="L437" s="1438"/>
      <c r="M437" s="1438"/>
      <c r="N437" s="1438"/>
      <c r="O437" s="1438"/>
      <c r="P437" s="1438"/>
      <c r="Q437" s="1438"/>
      <c r="R437" s="1438"/>
      <c r="S437" s="1438"/>
      <c r="T437" s="1438"/>
      <c r="U437" s="1438"/>
      <c r="V437" s="1438"/>
      <c r="W437" s="1438"/>
      <c r="X437" s="1438"/>
      <c r="Y437" s="1438"/>
      <c r="Z437" s="1438"/>
      <c r="AA437" s="1438"/>
      <c r="AB437" s="1438"/>
      <c r="AC437" s="1438"/>
      <c r="AD437" s="1438"/>
      <c r="AE437" s="1438"/>
      <c r="AF437" s="1438"/>
      <c r="AG437" s="1438"/>
      <c r="AH437" s="1438"/>
    </row>
    <row r="438" spans="1:36" ht="12.9" customHeight="1">
      <c r="E438" t="s">
        <v>608</v>
      </c>
      <c r="P438" s="1"/>
      <c r="Q438" s="1341" t="s">
        <v>545</v>
      </c>
      <c r="R438" s="1341"/>
    </row>
    <row r="439" spans="1:36" ht="12.9" customHeight="1">
      <c r="F439" t="s">
        <v>609</v>
      </c>
      <c r="P439" s="1"/>
      <c r="Q439" s="1"/>
      <c r="AF439" s="1341" t="s">
        <v>591</v>
      </c>
      <c r="AG439" s="1821"/>
    </row>
    <row r="440" spans="1:36" ht="12.9" customHeight="1"/>
    <row r="441" spans="1:36" ht="12.9" customHeight="1">
      <c r="A441" s="2"/>
      <c r="B441" s="2"/>
      <c r="C441" s="2"/>
      <c r="E441" s="4" t="s">
        <v>308</v>
      </c>
      <c r="Z441" s="1341" t="s">
        <v>669</v>
      </c>
      <c r="AA441" s="1341"/>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707</v>
      </c>
      <c r="G443" s="40"/>
      <c r="I443" s="40"/>
      <c r="J443" s="40"/>
      <c r="K443" s="40"/>
      <c r="L443" s="40"/>
      <c r="M443" s="40"/>
      <c r="N443" s="40"/>
      <c r="O443" s="28"/>
      <c r="P443" s="40"/>
      <c r="Q443" s="40"/>
      <c r="R443" s="40"/>
      <c r="S443" s="40"/>
      <c r="T443" s="40"/>
      <c r="U443" s="40"/>
      <c r="V443" s="40"/>
      <c r="W443" s="40"/>
      <c r="Z443" s="1341" t="s">
        <v>591</v>
      </c>
      <c r="AA443" s="1341"/>
    </row>
    <row r="444" spans="1:36" ht="12.9" customHeight="1"/>
    <row r="445" spans="1:36" ht="12.9" customHeight="1">
      <c r="A445" s="2" t="s">
        <v>467</v>
      </c>
      <c r="B445" s="2"/>
      <c r="C445" s="2"/>
      <c r="D445" s="2" t="s">
        <v>764</v>
      </c>
      <c r="AF445" s="48"/>
    </row>
    <row r="446" spans="1:36" ht="12.9" customHeight="1">
      <c r="D446" s="1685" t="s">
        <v>43</v>
      </c>
      <c r="E446" s="1686"/>
      <c r="F446" s="1686"/>
      <c r="G446" s="1686"/>
      <c r="H446" s="1686"/>
      <c r="I446" s="1686"/>
      <c r="J446" s="1686"/>
      <c r="K446" s="1686"/>
      <c r="L446" s="1686"/>
      <c r="M446" s="1686"/>
      <c r="N446" s="1686"/>
      <c r="O446" s="1686"/>
      <c r="P446" s="1686"/>
      <c r="Q446" s="1686"/>
      <c r="R446" s="1686"/>
      <c r="S446" s="1686"/>
      <c r="T446" s="1686"/>
      <c r="U446" s="1686"/>
      <c r="V446" s="1686"/>
      <c r="W446" s="1686"/>
      <c r="X446" s="1686"/>
      <c r="Y446" s="1686"/>
      <c r="Z446" s="1686"/>
      <c r="AA446" s="1686"/>
      <c r="AB446" s="1686"/>
      <c r="AC446" s="1686"/>
      <c r="AD446" s="1686"/>
      <c r="AE446" s="1686"/>
      <c r="AF446" s="1824"/>
      <c r="AG446" s="1818">
        <v>63</v>
      </c>
      <c r="AH446" s="1818"/>
      <c r="AI446" s="1818"/>
      <c r="AJ446" s="1818"/>
    </row>
    <row r="447" spans="1:36" ht="12.9" customHeight="1">
      <c r="D447" s="1767" t="s">
        <v>1222</v>
      </c>
      <c r="E447" s="1768"/>
      <c r="F447" s="1768"/>
      <c r="G447" s="1768"/>
      <c r="H447" s="1768"/>
      <c r="I447" s="1768"/>
      <c r="J447" s="1768"/>
      <c r="K447" s="1768"/>
      <c r="L447" s="1768"/>
      <c r="M447" s="1768"/>
      <c r="N447" s="1768"/>
      <c r="O447" s="1768"/>
      <c r="P447" s="1768"/>
      <c r="Q447" s="1768"/>
      <c r="R447" s="1768"/>
      <c r="S447" s="1768"/>
      <c r="T447" s="1768"/>
      <c r="U447" s="1768"/>
      <c r="V447" s="1768"/>
      <c r="W447" s="1768"/>
      <c r="X447" s="1768"/>
      <c r="Y447" s="1768"/>
      <c r="Z447" s="1768"/>
      <c r="AA447" s="1768"/>
      <c r="AB447" s="1768"/>
      <c r="AC447" s="1768"/>
      <c r="AD447" s="1768"/>
      <c r="AE447" s="1768"/>
      <c r="AF447" s="1769"/>
      <c r="AG447" s="1822">
        <v>0</v>
      </c>
      <c r="AH447" s="1570"/>
      <c r="AI447" s="1570"/>
      <c r="AJ447" s="1570"/>
    </row>
    <row r="448" spans="1:36" ht="12.9" customHeight="1">
      <c r="D448" s="1767" t="s">
        <v>1031</v>
      </c>
      <c r="E448" s="1768"/>
      <c r="F448" s="1768"/>
      <c r="G448" s="1768"/>
      <c r="H448" s="1768"/>
      <c r="I448" s="1768"/>
      <c r="J448" s="1768"/>
      <c r="K448" s="1768"/>
      <c r="L448" s="1768"/>
      <c r="M448" s="1768"/>
      <c r="N448" s="1768"/>
      <c r="O448" s="1768"/>
      <c r="P448" s="1768"/>
      <c r="Q448" s="1768"/>
      <c r="R448" s="1768"/>
      <c r="S448" s="1768"/>
      <c r="T448" s="1768"/>
      <c r="U448" s="1768"/>
      <c r="V448" s="1768"/>
      <c r="W448" s="1768"/>
      <c r="X448" s="1768"/>
      <c r="Y448" s="1768"/>
      <c r="Z448" s="1768"/>
      <c r="AA448" s="1768"/>
      <c r="AB448" s="1768"/>
      <c r="AC448" s="1768"/>
      <c r="AD448" s="1768"/>
      <c r="AE448" s="1768"/>
      <c r="AF448" s="1769"/>
      <c r="AG448" s="1818">
        <v>62</v>
      </c>
      <c r="AH448" s="1818"/>
      <c r="AI448" s="1818"/>
      <c r="AJ448" s="1818"/>
    </row>
    <row r="449" spans="4:55" ht="12.9" customHeight="1">
      <c r="D449" s="1767" t="s">
        <v>1032</v>
      </c>
      <c r="E449" s="1768"/>
      <c r="F449" s="1768"/>
      <c r="G449" s="1768"/>
      <c r="H449" s="1768"/>
      <c r="I449" s="1768"/>
      <c r="J449" s="1768"/>
      <c r="K449" s="1768"/>
      <c r="L449" s="1768"/>
      <c r="M449" s="1768"/>
      <c r="N449" s="1768"/>
      <c r="O449" s="1768"/>
      <c r="P449" s="1768"/>
      <c r="Q449" s="1768"/>
      <c r="R449" s="1768"/>
      <c r="S449" s="1768"/>
      <c r="T449" s="1768"/>
      <c r="U449" s="1768"/>
      <c r="V449" s="1768"/>
      <c r="W449" s="1768"/>
      <c r="X449" s="1768"/>
      <c r="Y449" s="1768"/>
      <c r="Z449" s="1768"/>
      <c r="AA449" s="1768"/>
      <c r="AB449" s="1768"/>
      <c r="AC449" s="1768"/>
      <c r="AD449" s="1768"/>
      <c r="AE449" s="1768"/>
      <c r="AF449" s="1769"/>
      <c r="AG449" s="1818">
        <v>62</v>
      </c>
      <c r="AH449" s="1818"/>
      <c r="AI449" s="1818"/>
      <c r="AJ449" s="1818"/>
    </row>
    <row r="450" spans="4:55" ht="12.9" customHeight="1">
      <c r="D450" s="1767" t="s">
        <v>1034</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54">
        <f>IF(ISERROR(AG449/AG448),0,AG449/AG448)</f>
        <v>1</v>
      </c>
      <c r="AH450" s="1854"/>
      <c r="AI450" s="1854"/>
      <c r="AJ450" s="1854"/>
    </row>
    <row r="451" spans="4:55" ht="12.9" customHeight="1">
      <c r="D451" s="1767" t="s">
        <v>1033</v>
      </c>
      <c r="E451" s="1768"/>
      <c r="F451" s="1768"/>
      <c r="G451" s="1768"/>
      <c r="H451" s="1768"/>
      <c r="I451" s="1768"/>
      <c r="J451" s="1768"/>
      <c r="K451" s="1768"/>
      <c r="L451" s="1768"/>
      <c r="M451" s="1768"/>
      <c r="N451" s="1768"/>
      <c r="O451" s="1768"/>
      <c r="P451" s="1768"/>
      <c r="Q451" s="1768"/>
      <c r="R451" s="1768"/>
      <c r="S451" s="1768"/>
      <c r="T451" s="1768"/>
      <c r="U451" s="1768"/>
      <c r="V451" s="1768"/>
      <c r="W451" s="1768"/>
      <c r="X451" s="1768"/>
      <c r="Y451" s="1768"/>
      <c r="Z451" s="1768"/>
      <c r="AA451" s="1768"/>
      <c r="AB451" s="1768"/>
      <c r="AC451" s="1768"/>
      <c r="AD451" s="1768"/>
      <c r="AE451" s="1768"/>
      <c r="AF451" s="1769"/>
      <c r="AG451" s="1514">
        <v>46111</v>
      </c>
      <c r="AH451" s="1514"/>
      <c r="AI451" s="1514"/>
      <c r="AJ451" s="1514"/>
    </row>
    <row r="452" spans="4:55" ht="12.9" customHeight="1">
      <c r="D452" s="1767" t="s">
        <v>1035</v>
      </c>
      <c r="E452" s="1768"/>
      <c r="F452" s="1768"/>
      <c r="G452" s="1768"/>
      <c r="H452" s="1768"/>
      <c r="I452" s="1768"/>
      <c r="J452" s="1768"/>
      <c r="K452" s="1768"/>
      <c r="L452" s="1768"/>
      <c r="M452" s="1768"/>
      <c r="N452" s="1768"/>
      <c r="O452" s="1768"/>
      <c r="P452" s="1768"/>
      <c r="Q452" s="1768"/>
      <c r="R452" s="1768"/>
      <c r="S452" s="1768"/>
      <c r="T452" s="1768"/>
      <c r="U452" s="1768"/>
      <c r="V452" s="1768"/>
      <c r="W452" s="1768"/>
      <c r="X452" s="1768"/>
      <c r="Y452" s="1768"/>
      <c r="Z452" s="1768"/>
      <c r="AA452" s="1768"/>
      <c r="AB452" s="1768"/>
      <c r="AC452" s="1768"/>
      <c r="AD452" s="1768"/>
      <c r="AE452" s="1768"/>
      <c r="AF452" s="1769"/>
      <c r="AG452" s="1514">
        <v>46111</v>
      </c>
      <c r="AH452" s="1514"/>
      <c r="AI452" s="1514"/>
      <c r="AJ452" s="1514"/>
    </row>
    <row r="453" spans="4:55" ht="12.9" customHeight="1">
      <c r="D453" s="1767" t="s">
        <v>1036</v>
      </c>
      <c r="E453" s="1768"/>
      <c r="F453" s="1768"/>
      <c r="G453" s="1768"/>
      <c r="H453" s="1768"/>
      <c r="I453" s="1768"/>
      <c r="J453" s="1768"/>
      <c r="K453" s="1768"/>
      <c r="L453" s="1768"/>
      <c r="M453" s="1768"/>
      <c r="N453" s="1768"/>
      <c r="O453" s="1768"/>
      <c r="P453" s="1768"/>
      <c r="Q453" s="1768"/>
      <c r="R453" s="1768"/>
      <c r="S453" s="1768"/>
      <c r="T453" s="1768"/>
      <c r="U453" s="1768"/>
      <c r="V453" s="1768"/>
      <c r="W453" s="1768"/>
      <c r="X453" s="1768"/>
      <c r="Y453" s="1768"/>
      <c r="Z453" s="1768"/>
      <c r="AA453" s="1768"/>
      <c r="AB453" s="1768"/>
      <c r="AC453" s="1768"/>
      <c r="AD453" s="1768"/>
      <c r="AE453" s="1768"/>
      <c r="AF453" s="1769"/>
      <c r="AG453" s="1854">
        <f>IF(ISERROR(AG452/AG451),0,AG452/AG451)</f>
        <v>1</v>
      </c>
      <c r="AH453" s="1854"/>
      <c r="AI453" s="1854"/>
      <c r="AJ453" s="1854"/>
    </row>
    <row r="454" spans="4:55" ht="12.9" customHeight="1">
      <c r="D454" s="1767" t="s">
        <v>1037</v>
      </c>
      <c r="E454" s="1768"/>
      <c r="F454" s="1768"/>
      <c r="G454" s="1768"/>
      <c r="H454" s="1768"/>
      <c r="I454" s="1768"/>
      <c r="J454" s="1768"/>
      <c r="K454" s="1768"/>
      <c r="L454" s="1768"/>
      <c r="M454" s="1768"/>
      <c r="N454" s="1768"/>
      <c r="O454" s="1768"/>
      <c r="P454" s="1768"/>
      <c r="Q454" s="1768"/>
      <c r="R454" s="1768"/>
      <c r="S454" s="1768"/>
      <c r="T454" s="1768"/>
      <c r="U454" s="1768"/>
      <c r="V454" s="1768"/>
      <c r="W454" s="1768"/>
      <c r="X454" s="1768"/>
      <c r="Y454" s="1768"/>
      <c r="Z454" s="1768"/>
      <c r="AA454" s="1768"/>
      <c r="AB454" s="1768"/>
      <c r="AC454" s="1768"/>
      <c r="AD454" s="1768"/>
      <c r="AE454" s="1768"/>
      <c r="AF454" s="1769"/>
      <c r="AG454" s="1854">
        <f>MIN(IF(AG450&gt;AG453,AG453,AG450),1)</f>
        <v>1</v>
      </c>
      <c r="AH454" s="1854"/>
      <c r="AI454" s="1854"/>
      <c r="AJ454" s="1854"/>
    </row>
    <row r="455" spans="4:55" ht="12.9" customHeight="1">
      <c r="D455" s="1767" t="s">
        <v>2044</v>
      </c>
      <c r="E455" s="1686"/>
      <c r="F455" s="1686"/>
      <c r="G455" s="1686"/>
      <c r="H455" s="1686"/>
      <c r="I455" s="1686"/>
      <c r="J455" s="1686"/>
      <c r="K455" s="1686"/>
      <c r="L455" s="1686"/>
      <c r="M455" s="1686"/>
      <c r="N455" s="1686"/>
      <c r="O455" s="1686"/>
      <c r="P455" s="1686"/>
      <c r="Q455" s="1686"/>
      <c r="R455" s="1686"/>
      <c r="S455" s="1686"/>
      <c r="T455" s="1686"/>
      <c r="U455" s="1686"/>
      <c r="V455" s="1686"/>
      <c r="W455" s="1686"/>
      <c r="X455" s="1686"/>
      <c r="Y455" s="1686"/>
      <c r="Z455" s="1686"/>
      <c r="AA455" s="1686"/>
      <c r="AB455" s="1686"/>
      <c r="AC455" s="1686"/>
      <c r="AD455" s="1686"/>
      <c r="AE455" s="1686"/>
      <c r="AF455" s="1824"/>
      <c r="AG455" s="1514">
        <v>1539</v>
      </c>
      <c r="AH455" s="1514"/>
      <c r="AI455" s="1514"/>
      <c r="AJ455" s="1514"/>
      <c r="AZ455" s="34"/>
      <c r="BA455" s="34"/>
      <c r="BB455" s="34"/>
      <c r="BC455" s="34"/>
    </row>
    <row r="456" spans="4:55" ht="12.9" customHeight="1">
      <c r="D456" s="1685" t="s">
        <v>569</v>
      </c>
      <c r="E456" s="1686"/>
      <c r="F456" s="1686"/>
      <c r="G456" s="1686"/>
      <c r="H456" s="1686"/>
      <c r="I456" s="1686"/>
      <c r="J456" s="1686"/>
      <c r="K456" s="1686"/>
      <c r="L456" s="1686"/>
      <c r="M456" s="1686"/>
      <c r="N456" s="1686"/>
      <c r="O456" s="1686"/>
      <c r="P456" s="1686"/>
      <c r="Q456" s="1686"/>
      <c r="R456" s="1686"/>
      <c r="S456" s="1686"/>
      <c r="T456" s="1686"/>
      <c r="U456" s="1686"/>
      <c r="V456" s="1686"/>
      <c r="W456" s="1686"/>
      <c r="X456" s="1686"/>
      <c r="Y456" s="1686"/>
      <c r="Z456" s="1686"/>
      <c r="AA456" s="1686"/>
      <c r="AB456" s="1686"/>
      <c r="AC456" s="1686"/>
      <c r="AD456" s="1686"/>
      <c r="AE456" s="1686"/>
      <c r="AF456" s="1824"/>
      <c r="AG456" s="1514">
        <v>1313</v>
      </c>
      <c r="AH456" s="1514"/>
      <c r="AI456" s="1514"/>
      <c r="AJ456" s="1514"/>
      <c r="AZ456" s="3"/>
      <c r="BA456" s="3"/>
      <c r="BB456" s="3"/>
      <c r="BC456" s="3"/>
    </row>
    <row r="457" spans="4:55" ht="12.9" customHeight="1">
      <c r="D457" s="1767" t="s">
        <v>1205</v>
      </c>
      <c r="E457" s="1686"/>
      <c r="F457" s="1686"/>
      <c r="G457" s="1686"/>
      <c r="H457" s="1686"/>
      <c r="I457" s="1686"/>
      <c r="J457" s="1686"/>
      <c r="K457" s="1686"/>
      <c r="L457" s="1686"/>
      <c r="M457" s="1686"/>
      <c r="N457" s="1686"/>
      <c r="O457" s="1686"/>
      <c r="P457" s="1686"/>
      <c r="Q457" s="1686"/>
      <c r="R457" s="1686"/>
      <c r="S457" s="1686"/>
      <c r="T457" s="1686"/>
      <c r="U457" s="1686"/>
      <c r="V457" s="1686"/>
      <c r="W457" s="1686"/>
      <c r="X457" s="1686"/>
      <c r="Y457" s="1686"/>
      <c r="Z457" s="1686"/>
      <c r="AA457" s="1686"/>
      <c r="AB457" s="1686"/>
      <c r="AC457" s="1686"/>
      <c r="AD457" s="1686"/>
      <c r="AE457" s="1686"/>
      <c r="AF457" s="1824"/>
      <c r="AG457" s="1514">
        <v>13958</v>
      </c>
      <c r="AH457" s="1514"/>
      <c r="AI457" s="1514"/>
      <c r="AJ457" s="1514"/>
      <c r="AZ457" s="3"/>
      <c r="BA457" s="3"/>
      <c r="BB457" s="3"/>
      <c r="BC457" s="3"/>
    </row>
    <row r="458" spans="4:55" ht="12.9" customHeight="1">
      <c r="D458" s="1767" t="s">
        <v>1038</v>
      </c>
      <c r="E458" s="1686"/>
      <c r="F458" s="1686"/>
      <c r="G458" s="1686"/>
      <c r="H458" s="1686"/>
      <c r="I458" s="1686"/>
      <c r="J458" s="1686"/>
      <c r="K458" s="1686"/>
      <c r="L458" s="1686"/>
      <c r="M458" s="1686"/>
      <c r="N458" s="1686"/>
      <c r="O458" s="1686"/>
      <c r="P458" s="1686"/>
      <c r="Q458" s="1686"/>
      <c r="R458" s="1686"/>
      <c r="S458" s="1686"/>
      <c r="T458" s="1686"/>
      <c r="U458" s="1686"/>
      <c r="V458" s="1686"/>
      <c r="W458" s="1686"/>
      <c r="X458" s="1686"/>
      <c r="Y458" s="1686"/>
      <c r="Z458" s="1686"/>
      <c r="AA458" s="1686"/>
      <c r="AB458" s="1686"/>
      <c r="AC458" s="1686"/>
      <c r="AD458" s="1686"/>
      <c r="AE458" s="1686"/>
      <c r="AF458" s="1824"/>
      <c r="AG458" s="1514">
        <v>3908</v>
      </c>
      <c r="AH458" s="1514"/>
      <c r="AI458" s="1514"/>
      <c r="AJ458" s="1514"/>
      <c r="BB458" s="3"/>
      <c r="BC458" s="3"/>
    </row>
    <row r="459" spans="4:55" ht="12.9" customHeight="1">
      <c r="D459" s="1850" t="s">
        <v>1039</v>
      </c>
      <c r="E459" s="1851"/>
      <c r="F459" s="1851"/>
      <c r="G459" s="1851"/>
      <c r="H459" s="1851"/>
      <c r="I459" s="1851"/>
      <c r="J459" s="1851"/>
      <c r="K459" s="1851"/>
      <c r="L459" s="1851"/>
      <c r="M459" s="1851"/>
      <c r="N459" s="1851"/>
      <c r="O459" s="1851"/>
      <c r="P459" s="1851"/>
      <c r="Q459" s="1851"/>
      <c r="R459" s="1851"/>
      <c r="S459" s="1851"/>
      <c r="T459" s="1851"/>
      <c r="U459" s="1851"/>
      <c r="V459" s="1851"/>
      <c r="W459" s="1851"/>
      <c r="X459" s="1851"/>
      <c r="Y459" s="1851"/>
      <c r="Z459" s="1851"/>
      <c r="AA459" s="1851"/>
      <c r="AB459" s="1851"/>
      <c r="AC459" s="1851"/>
      <c r="AD459" s="1851"/>
      <c r="AE459" s="1851"/>
      <c r="AF459" s="1852"/>
      <c r="AG459" s="1853">
        <f>AG451+AG455+AG457+AG458</f>
        <v>65516</v>
      </c>
      <c r="AH459" s="1853"/>
      <c r="AI459" s="1853"/>
      <c r="AJ459" s="1853"/>
      <c r="AZ459" s="3"/>
      <c r="BA459" s="3"/>
      <c r="BB459" s="3"/>
      <c r="BC459" s="3"/>
    </row>
    <row r="460" spans="4:55" ht="12.9" customHeight="1">
      <c r="D460" s="1825" t="s">
        <v>1206</v>
      </c>
      <c r="E460" s="1825"/>
      <c r="F460" s="1825"/>
      <c r="G460" s="1825"/>
      <c r="H460" s="1825"/>
      <c r="I460" s="1825"/>
      <c r="J460" s="1825"/>
      <c r="K460" s="1825"/>
      <c r="L460" s="1825"/>
      <c r="M460" s="1825"/>
      <c r="N460" s="1825"/>
      <c r="O460" s="1825"/>
      <c r="P460" s="1825"/>
      <c r="Q460" s="1825"/>
      <c r="R460" s="1825"/>
      <c r="S460" s="1825"/>
      <c r="T460" s="1825"/>
      <c r="U460" s="1825"/>
      <c r="V460" s="1825"/>
      <c r="W460" s="1825"/>
      <c r="X460" s="1825"/>
      <c r="Y460" s="1825"/>
      <c r="Z460" s="1825"/>
      <c r="AA460" s="1825"/>
      <c r="AB460" s="1825"/>
      <c r="AC460" s="1825"/>
      <c r="AD460" s="1825"/>
      <c r="AE460" s="1825"/>
      <c r="AF460" s="1825"/>
      <c r="AG460" s="1825"/>
      <c r="AH460" s="1825"/>
      <c r="AI460" s="1825"/>
      <c r="AJ460" s="1825"/>
      <c r="AZ460" s="3"/>
      <c r="BA460" s="3"/>
      <c r="BB460" s="3"/>
      <c r="BC460" s="3"/>
    </row>
    <row r="461" spans="4:55" ht="12.9" customHeight="1">
      <c r="D461" s="1826"/>
      <c r="E461" s="1826"/>
      <c r="F461" s="1826"/>
      <c r="G461" s="1826"/>
      <c r="H461" s="1826"/>
      <c r="I461" s="1826"/>
      <c r="J461" s="1826"/>
      <c r="K461" s="1826"/>
      <c r="L461" s="1826"/>
      <c r="M461" s="1826"/>
      <c r="N461" s="1826"/>
      <c r="O461" s="1826"/>
      <c r="P461" s="1826"/>
      <c r="Q461" s="1826"/>
      <c r="R461" s="1826"/>
      <c r="S461" s="1826"/>
      <c r="T461" s="1826"/>
      <c r="U461" s="1826"/>
      <c r="V461" s="1826"/>
      <c r="W461" s="1826"/>
      <c r="X461" s="1826"/>
      <c r="Y461" s="1826"/>
      <c r="Z461" s="1826"/>
      <c r="AA461" s="1826"/>
      <c r="AB461" s="1826"/>
      <c r="AC461" s="1826"/>
      <c r="AD461" s="1826"/>
      <c r="AE461" s="1826"/>
      <c r="AF461" s="1826"/>
      <c r="AG461" s="1826"/>
      <c r="AH461" s="1826"/>
      <c r="AI461" s="1826"/>
      <c r="AJ461" s="1826"/>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08">
        <f>IF(AG446=0,"",'Sources and Uses Budget'!B105/Application!AG446)</f>
        <v>873749.68253968249</v>
      </c>
      <c r="AD463" s="1808"/>
      <c r="AE463" s="1808"/>
      <c r="AF463" s="1808"/>
      <c r="AG463" s="177"/>
      <c r="AH463" s="177"/>
      <c r="AI463" s="177"/>
      <c r="AJ463" s="183"/>
      <c r="AZ463" s="3"/>
      <c r="BA463" s="3" t="str">
        <f>AG583</f>
        <v>Yes</v>
      </c>
      <c r="BB463" s="3"/>
      <c r="BC463" s="3"/>
    </row>
    <row r="464" spans="4:55" ht="12.9"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08">
        <f>IF(AG446=0,"",'Sources and Uses Budget'!C105/Application!AG446)</f>
        <v>873749.68253968249</v>
      </c>
      <c r="AD464" s="1808"/>
      <c r="AE464" s="1808"/>
      <c r="AF464" s="1808"/>
      <c r="AG464" s="177"/>
      <c r="AH464" s="177"/>
      <c r="AI464" s="177"/>
      <c r="AJ464" s="183"/>
      <c r="AZ464" s="3"/>
      <c r="BA464" s="3"/>
      <c r="BB464" s="3"/>
      <c r="BC464" s="3"/>
    </row>
    <row r="465" spans="1:55" ht="12.9"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08">
        <f>IF(AG446=0,"",('Sources and Uses Budget'!$S$107+'Sources and Uses Budget'!$T$107)/Application!AG446)</f>
        <v>756128.95238095243</v>
      </c>
      <c r="AD465" s="1808"/>
      <c r="AE465" s="1808"/>
      <c r="AF465" s="1808"/>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820" t="s">
        <v>2056</v>
      </c>
      <c r="E473" s="1516"/>
      <c r="F473" s="1516"/>
      <c r="G473" s="1516"/>
      <c r="H473" s="1516"/>
      <c r="I473" s="1516"/>
      <c r="J473" s="1516"/>
      <c r="K473" s="1516"/>
      <c r="L473" s="1516"/>
      <c r="M473" s="1516"/>
      <c r="N473" s="1516"/>
      <c r="O473" s="1516"/>
      <c r="P473" s="1516"/>
      <c r="Q473" s="1516"/>
      <c r="R473" s="1516"/>
      <c r="S473" s="1516"/>
      <c r="T473" s="1516"/>
      <c r="U473" s="1516"/>
      <c r="V473" s="1517"/>
      <c r="W473" s="1525">
        <v>4</v>
      </c>
      <c r="X473" s="1526"/>
      <c r="Y473" s="152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515" t="s">
        <v>693</v>
      </c>
      <c r="E474" s="1516"/>
      <c r="F474" s="1516"/>
      <c r="G474" s="1516"/>
      <c r="H474" s="1516"/>
      <c r="I474" s="1516"/>
      <c r="J474" s="1516"/>
      <c r="K474" s="1516"/>
      <c r="L474" s="1516"/>
      <c r="M474" s="1516"/>
      <c r="N474" s="1516"/>
      <c r="O474" s="1516"/>
      <c r="P474" s="1516"/>
      <c r="Q474" s="1516"/>
      <c r="R474" s="1516"/>
      <c r="S474" s="1516"/>
      <c r="T474" s="1516"/>
      <c r="U474" s="1516"/>
      <c r="V474" s="1517"/>
      <c r="W474" s="1525"/>
      <c r="X474" s="1526"/>
      <c r="Y474" s="152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515" t="s">
        <v>694</v>
      </c>
      <c r="E475" s="1516"/>
      <c r="F475" s="1516"/>
      <c r="G475" s="1516"/>
      <c r="H475" s="1516"/>
      <c r="I475" s="1516"/>
      <c r="J475" s="1516"/>
      <c r="K475" s="1516"/>
      <c r="L475" s="1516"/>
      <c r="M475" s="1516"/>
      <c r="N475" s="1516"/>
      <c r="O475" s="1516"/>
      <c r="P475" s="1516"/>
      <c r="Q475" s="1516"/>
      <c r="R475" s="1516"/>
      <c r="S475" s="1516"/>
      <c r="T475" s="1516"/>
      <c r="U475" s="1516"/>
      <c r="V475" s="1517"/>
      <c r="W475" s="1525"/>
      <c r="X475" s="1526"/>
      <c r="Y475" s="1527"/>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515" t="s">
        <v>695</v>
      </c>
      <c r="E476" s="1516"/>
      <c r="F476" s="1516"/>
      <c r="G476" s="1516"/>
      <c r="H476" s="1516"/>
      <c r="I476" s="1516"/>
      <c r="J476" s="1516"/>
      <c r="K476" s="1516"/>
      <c r="L476" s="1516"/>
      <c r="M476" s="1516"/>
      <c r="N476" s="1516"/>
      <c r="O476" s="1516"/>
      <c r="P476" s="1516"/>
      <c r="Q476" s="1516"/>
      <c r="R476" s="1516"/>
      <c r="S476" s="1516"/>
      <c r="T476" s="1516"/>
      <c r="U476" s="1516"/>
      <c r="V476" s="1517"/>
      <c r="W476" s="1525"/>
      <c r="X476" s="1526"/>
      <c r="Y476" s="1527"/>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515" t="s">
        <v>881</v>
      </c>
      <c r="E477" s="1516"/>
      <c r="F477" s="1516"/>
      <c r="G477" s="1516"/>
      <c r="H477" s="1516"/>
      <c r="I477" s="1516"/>
      <c r="J477" s="1516"/>
      <c r="K477" s="1516"/>
      <c r="L477" s="1516"/>
      <c r="M477" s="1516"/>
      <c r="N477" s="1516"/>
      <c r="O477" s="1516"/>
      <c r="P477" s="1516"/>
      <c r="Q477" s="1516"/>
      <c r="R477" s="1516"/>
      <c r="S477" s="1516"/>
      <c r="T477" s="1516"/>
      <c r="U477" s="1516"/>
      <c r="V477" s="1517"/>
      <c r="W477" s="1525"/>
      <c r="X477" s="1526"/>
      <c r="Y477" s="1527"/>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515" t="s">
        <v>696</v>
      </c>
      <c r="E478" s="1516"/>
      <c r="F478" s="1516"/>
      <c r="G478" s="1516"/>
      <c r="H478" s="1516"/>
      <c r="I478" s="1516"/>
      <c r="J478" s="1516"/>
      <c r="K478" s="1516"/>
      <c r="L478" s="1516"/>
      <c r="M478" s="1516"/>
      <c r="N478" s="1516"/>
      <c r="O478" s="1516"/>
      <c r="P478" s="1516"/>
      <c r="Q478" s="1516"/>
      <c r="R478" s="1516"/>
      <c r="S478" s="1516"/>
      <c r="T478" s="1516"/>
      <c r="U478" s="1516"/>
      <c r="V478" s="1517"/>
      <c r="W478" s="1525"/>
      <c r="X478" s="1526"/>
      <c r="Y478" s="1527"/>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515" t="s">
        <v>1012</v>
      </c>
      <c r="E479" s="1516"/>
      <c r="F479" s="1516"/>
      <c r="G479" s="1516"/>
      <c r="H479" s="1516"/>
      <c r="I479" s="1516"/>
      <c r="J479" s="1516"/>
      <c r="K479" s="1516"/>
      <c r="L479" s="1516"/>
      <c r="M479" s="1516"/>
      <c r="N479" s="1516"/>
      <c r="O479" s="1516"/>
      <c r="P479" s="1516"/>
      <c r="Q479" s="1516"/>
      <c r="R479" s="1516"/>
      <c r="S479" s="1516"/>
      <c r="T479" s="1516"/>
      <c r="U479" s="1516"/>
      <c r="V479" s="1517"/>
      <c r="W479" s="1525"/>
      <c r="X479" s="1526"/>
      <c r="Y479" s="1527"/>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820" t="s">
        <v>2146</v>
      </c>
      <c r="E480" s="1858"/>
      <c r="F480" s="1858"/>
      <c r="G480" s="1858"/>
      <c r="H480" s="1858"/>
      <c r="I480" s="1858"/>
      <c r="J480" s="1858"/>
      <c r="K480" s="1858"/>
      <c r="L480" s="1858"/>
      <c r="M480" s="1858"/>
      <c r="N480" s="1858"/>
      <c r="O480" s="1858"/>
      <c r="P480" s="1858"/>
      <c r="Q480" s="1858"/>
      <c r="R480" s="1858"/>
      <c r="S480" s="1858"/>
      <c r="T480" s="1858"/>
      <c r="U480" s="1858"/>
      <c r="V480" s="1859"/>
      <c r="W480" s="1525"/>
      <c r="X480" s="1526"/>
      <c r="Y480" s="1527"/>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820" t="s">
        <v>1643</v>
      </c>
      <c r="E481" s="1516"/>
      <c r="F481" s="1516"/>
      <c r="G481" s="1516"/>
      <c r="H481" s="1516"/>
      <c r="I481" s="1516"/>
      <c r="J481" s="1516"/>
      <c r="K481" s="1516"/>
      <c r="L481" s="1516"/>
      <c r="M481" s="1516"/>
      <c r="N481" s="1516"/>
      <c r="O481" s="1516"/>
      <c r="P481" s="1516"/>
      <c r="Q481" s="1516"/>
      <c r="R481" s="1516"/>
      <c r="S481" s="1516"/>
      <c r="T481" s="1516"/>
      <c r="U481" s="1516"/>
      <c r="V481" s="1517"/>
      <c r="W481" s="1525">
        <v>10</v>
      </c>
      <c r="X481" s="1526"/>
      <c r="Y481" s="1527"/>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170</v>
      </c>
      <c r="E482" s="244"/>
      <c r="F482" s="245"/>
      <c r="G482" s="1732"/>
      <c r="H482" s="1733"/>
      <c r="I482" s="1733"/>
      <c r="J482" s="1733"/>
      <c r="K482" s="1733"/>
      <c r="L482" s="1733"/>
      <c r="M482" s="1733"/>
      <c r="N482" s="1733"/>
      <c r="O482" s="1733"/>
      <c r="P482" s="1733"/>
      <c r="Q482" s="1733"/>
      <c r="R482" s="1733"/>
      <c r="S482" s="1733"/>
      <c r="T482" s="1733"/>
      <c r="U482" s="1733"/>
      <c r="V482" s="1734"/>
      <c r="W482" s="1525"/>
      <c r="X482" s="1526"/>
      <c r="Y482" s="1527"/>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t="s">
        <v>2765</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t="s">
        <v>2792</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493" t="s">
        <v>810</v>
      </c>
      <c r="B488" s="1493"/>
      <c r="C488" s="1493"/>
      <c r="D488" s="1493"/>
      <c r="E488" s="1493"/>
      <c r="F488" s="1493"/>
      <c r="G488" s="1493"/>
      <c r="H488" s="1493"/>
      <c r="I488" s="1493"/>
      <c r="J488" s="1493"/>
      <c r="K488" s="1493"/>
      <c r="L488" s="1493"/>
      <c r="M488" s="1493"/>
      <c r="N488" s="1493"/>
      <c r="O488" s="1493"/>
      <c r="P488" s="1493"/>
      <c r="Q488" s="1493"/>
      <c r="R488" s="1493"/>
      <c r="S488" s="1493"/>
      <c r="T488" s="1493"/>
      <c r="U488" s="1493"/>
      <c r="V488" s="1493"/>
      <c r="W488" s="1493"/>
      <c r="X488" s="1493"/>
      <c r="Y488" s="1493"/>
      <c r="Z488" s="1493"/>
      <c r="AA488" s="1493"/>
      <c r="AB488" s="1493"/>
      <c r="AC488" s="1493"/>
      <c r="AD488" s="1493"/>
      <c r="AE488" s="1493"/>
      <c r="AF488" s="1493"/>
      <c r="AG488" s="1493"/>
      <c r="AH488" s="1493"/>
      <c r="AI488" s="1493"/>
      <c r="AJ488" s="1493"/>
      <c r="AK488" s="1493"/>
      <c r="AL488" s="1493"/>
      <c r="AM488" s="1493"/>
      <c r="AN488" s="1493"/>
      <c r="AO488" s="1493"/>
      <c r="AP488" s="1493"/>
      <c r="AQ488" s="1493"/>
      <c r="AR488" s="1493"/>
      <c r="AS488" s="1493"/>
      <c r="AT488" s="1493"/>
      <c r="AU488" s="95"/>
      <c r="AV488" s="95"/>
      <c r="AW488" s="95"/>
      <c r="AX488" s="95"/>
      <c r="AY488" s="95"/>
      <c r="AZ488" s="3"/>
      <c r="BB488" s="3"/>
      <c r="BC488" s="3"/>
    </row>
    <row r="489" spans="1:55" ht="12.9" customHeight="1">
      <c r="A489" s="1493"/>
      <c r="B489" s="1493"/>
      <c r="C489" s="1493"/>
      <c r="D489" s="1493"/>
      <c r="E489" s="1493"/>
      <c r="F489" s="1493"/>
      <c r="G489" s="1493"/>
      <c r="H489" s="1493"/>
      <c r="I489" s="1493"/>
      <c r="J489" s="1493"/>
      <c r="K489" s="1493"/>
      <c r="L489" s="1493"/>
      <c r="M489" s="1493"/>
      <c r="N489" s="1493"/>
      <c r="O489" s="1493"/>
      <c r="P489" s="1493"/>
      <c r="Q489" s="1493"/>
      <c r="R489" s="1493"/>
      <c r="S489" s="1493"/>
      <c r="T489" s="1493"/>
      <c r="U489" s="1493"/>
      <c r="V489" s="1493"/>
      <c r="W489" s="1493"/>
      <c r="X489" s="1493"/>
      <c r="Y489" s="1493"/>
      <c r="Z489" s="1493"/>
      <c r="AA489" s="1493"/>
      <c r="AB489" s="1493"/>
      <c r="AC489" s="1493"/>
      <c r="AD489" s="1493"/>
      <c r="AE489" s="1493"/>
      <c r="AF489" s="1493"/>
      <c r="AG489" s="1493"/>
      <c r="AH489" s="1493"/>
      <c r="AI489" s="1493"/>
      <c r="AJ489" s="1493"/>
      <c r="AK489" s="1493"/>
      <c r="AL489" s="1493"/>
      <c r="AM489" s="1493"/>
      <c r="AN489" s="1493"/>
      <c r="AO489" s="1493"/>
      <c r="AP489" s="1493"/>
      <c r="AQ489" s="1493"/>
      <c r="AR489" s="1493"/>
      <c r="AS489" s="1493"/>
      <c r="AT489" s="1493"/>
      <c r="AZ489" s="3"/>
      <c r="BB489" s="3"/>
      <c r="BC489" s="3"/>
    </row>
    <row r="490" spans="1:55" ht="12.9" customHeight="1">
      <c r="AZ490" s="3"/>
      <c r="BB490" s="3"/>
      <c r="BC490" s="3"/>
    </row>
    <row r="491" spans="1:55" ht="12.9" customHeight="1">
      <c r="A491" s="2" t="s">
        <v>319</v>
      </c>
      <c r="C491" s="2" t="s">
        <v>808</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849" t="s">
        <v>393</v>
      </c>
      <c r="R493" s="1771"/>
      <c r="S493" s="1771"/>
      <c r="T493" s="1771"/>
      <c r="U493" s="1771"/>
      <c r="V493" s="1771"/>
      <c r="W493" s="1771"/>
      <c r="X493" s="1771"/>
      <c r="Y493" s="1771"/>
      <c r="Z493" s="1771"/>
      <c r="AA493" s="1771"/>
      <c r="AB493" s="1771"/>
      <c r="AC493" s="1771"/>
      <c r="AD493" s="1771"/>
      <c r="AE493" s="1771"/>
      <c r="AF493" s="1771"/>
      <c r="AG493" s="1771"/>
      <c r="AH493" s="1771"/>
      <c r="AI493" s="1771"/>
      <c r="AJ493" s="1771"/>
      <c r="AK493" s="1772"/>
      <c r="AZ493" s="3"/>
      <c r="BB493" s="3"/>
      <c r="BC493" s="3"/>
    </row>
    <row r="494" spans="1:55" ht="12.9" customHeight="1">
      <c r="B494" s="45" t="s">
        <v>394</v>
      </c>
      <c r="C494" s="5"/>
      <c r="D494" s="5"/>
      <c r="E494" s="5"/>
      <c r="F494" s="5"/>
      <c r="G494" s="5"/>
      <c r="H494" s="5"/>
      <c r="I494" s="5"/>
      <c r="J494" s="5"/>
      <c r="K494" s="5"/>
      <c r="L494" s="5"/>
      <c r="M494" s="5"/>
      <c r="N494" s="5"/>
      <c r="O494" s="5"/>
      <c r="P494" s="5"/>
      <c r="Q494" s="1568" t="s">
        <v>2725</v>
      </c>
      <c r="R494" s="1435"/>
      <c r="S494" s="1435"/>
      <c r="T494" s="1435"/>
      <c r="U494" s="1435"/>
      <c r="V494" s="1435"/>
      <c r="W494" s="1435"/>
      <c r="X494" s="1435"/>
      <c r="Y494" s="1435"/>
      <c r="Z494" s="1435"/>
      <c r="AA494" s="1435"/>
      <c r="AB494" s="1435"/>
      <c r="AC494" s="1435"/>
      <c r="AD494" s="1435"/>
      <c r="AE494" s="1435"/>
      <c r="AF494" s="1435"/>
      <c r="AG494" s="1435"/>
      <c r="AH494" s="1435"/>
      <c r="AI494" s="1435"/>
      <c r="AJ494" s="1435"/>
      <c r="AK494" s="1569"/>
      <c r="AZ494" s="3"/>
      <c r="BB494" s="3"/>
      <c r="BC494" s="3"/>
    </row>
    <row r="495" spans="1:55" ht="12.9" customHeight="1">
      <c r="B495" s="45" t="s">
        <v>395</v>
      </c>
      <c r="C495" s="5"/>
      <c r="D495" s="5"/>
      <c r="E495" s="5"/>
      <c r="F495" s="5"/>
      <c r="G495" s="5"/>
      <c r="H495" s="5"/>
      <c r="I495" s="5"/>
      <c r="J495" s="5"/>
      <c r="K495" s="5"/>
      <c r="L495" s="5"/>
      <c r="M495" s="5"/>
      <c r="N495" s="5"/>
      <c r="O495" s="5"/>
      <c r="P495" s="5"/>
      <c r="Q495" s="1568" t="s">
        <v>2725</v>
      </c>
      <c r="R495" s="1435"/>
      <c r="S495" s="1435"/>
      <c r="T495" s="1435"/>
      <c r="U495" s="1435"/>
      <c r="V495" s="1435"/>
      <c r="W495" s="1435"/>
      <c r="X495" s="1435"/>
      <c r="Y495" s="1435"/>
      <c r="Z495" s="1435"/>
      <c r="AA495" s="1435"/>
      <c r="AB495" s="1435"/>
      <c r="AC495" s="1435"/>
      <c r="AD495" s="1435"/>
      <c r="AE495" s="1435"/>
      <c r="AF495" s="1435"/>
      <c r="AG495" s="1435"/>
      <c r="AH495" s="1435"/>
      <c r="AI495" s="1435"/>
      <c r="AJ495" s="1435"/>
      <c r="AK495" s="1569"/>
      <c r="AZ495" s="3"/>
      <c r="BB495" s="3"/>
      <c r="BC495" s="3"/>
    </row>
    <row r="496" spans="1:55" ht="12.9" customHeight="1">
      <c r="B496" s="45" t="s">
        <v>396</v>
      </c>
      <c r="C496" s="5"/>
      <c r="D496" s="5"/>
      <c r="E496" s="5"/>
      <c r="F496" s="5"/>
      <c r="G496" s="5"/>
      <c r="H496" s="5"/>
      <c r="I496" s="5"/>
      <c r="J496" s="5"/>
      <c r="K496" s="5"/>
      <c r="L496" s="5"/>
      <c r="M496" s="5"/>
      <c r="N496" s="5"/>
      <c r="O496" s="5"/>
      <c r="P496" s="5"/>
      <c r="Q496" s="1568" t="s">
        <v>2726</v>
      </c>
      <c r="R496" s="1435"/>
      <c r="S496" s="1435"/>
      <c r="T496" s="1435"/>
      <c r="U496" s="1435"/>
      <c r="V496" s="1435"/>
      <c r="W496" s="1435"/>
      <c r="X496" s="1435"/>
      <c r="Y496" s="1435"/>
      <c r="Z496" s="1435"/>
      <c r="AA496" s="1435"/>
      <c r="AB496" s="1435"/>
      <c r="AC496" s="1435"/>
      <c r="AD496" s="1435"/>
      <c r="AE496" s="1435"/>
      <c r="AF496" s="1435"/>
      <c r="AG496" s="1435"/>
      <c r="AH496" s="1435"/>
      <c r="AI496" s="1435"/>
      <c r="AJ496" s="1435"/>
      <c r="AK496" s="1569"/>
      <c r="AZ496" s="3"/>
      <c r="BA496" s="3"/>
      <c r="BB496" s="3"/>
      <c r="BC496" s="3"/>
    </row>
    <row r="497" spans="1:66" ht="12.9" customHeight="1">
      <c r="B497" s="1833" t="s">
        <v>397</v>
      </c>
      <c r="C497" s="1834"/>
      <c r="D497" s="1834"/>
      <c r="E497" s="1834"/>
      <c r="F497" s="1834"/>
      <c r="G497" s="1834"/>
      <c r="H497" s="1834"/>
      <c r="I497" s="1834"/>
      <c r="J497" s="1834"/>
      <c r="K497" s="1834"/>
      <c r="L497" s="1834"/>
      <c r="M497" s="1834"/>
      <c r="N497" s="1834"/>
      <c r="O497" s="1834"/>
      <c r="P497" s="1835"/>
      <c r="Q497" s="1839" t="s">
        <v>669</v>
      </c>
      <c r="R497" s="1840"/>
      <c r="S497" s="1735" t="s">
        <v>166</v>
      </c>
      <c r="T497" s="1736"/>
      <c r="U497" s="1736"/>
      <c r="V497" s="1736"/>
      <c r="W497" s="1736"/>
      <c r="X497" s="1736"/>
      <c r="Y497" s="1736"/>
      <c r="Z497" s="1736"/>
      <c r="AA497" s="1736"/>
      <c r="AB497" s="1736"/>
      <c r="AC497" s="1736"/>
      <c r="AD497" s="1736"/>
      <c r="AE497" s="1736"/>
      <c r="AF497" s="1736"/>
      <c r="AG497" s="1736"/>
      <c r="AH497" s="1736"/>
      <c r="AI497" s="1736"/>
      <c r="AJ497" s="1736"/>
      <c r="AK497" s="1737"/>
      <c r="AZ497" s="3"/>
      <c r="BA497" s="3"/>
      <c r="BB497" s="3"/>
      <c r="BC497" s="3"/>
    </row>
    <row r="498" spans="1:66" ht="12.9" customHeight="1">
      <c r="B498" s="1836"/>
      <c r="C498" s="1837"/>
      <c r="D498" s="1837"/>
      <c r="E498" s="1837"/>
      <c r="F498" s="1837"/>
      <c r="G498" s="1837"/>
      <c r="H498" s="1837"/>
      <c r="I498" s="1837"/>
      <c r="J498" s="1837"/>
      <c r="K498" s="1837"/>
      <c r="L498" s="1837"/>
      <c r="M498" s="1837"/>
      <c r="N498" s="1837"/>
      <c r="O498" s="1837"/>
      <c r="P498" s="1838"/>
      <c r="Q498" s="1841"/>
      <c r="R498" s="1842"/>
      <c r="S498" s="1738"/>
      <c r="T498" s="1438"/>
      <c r="U498" s="1438"/>
      <c r="V498" s="1438"/>
      <c r="W498" s="1438"/>
      <c r="X498" s="1438"/>
      <c r="Y498" s="1438"/>
      <c r="Z498" s="1438"/>
      <c r="AA498" s="1438"/>
      <c r="AB498" s="1438"/>
      <c r="AC498" s="1438"/>
      <c r="AD498" s="1438"/>
      <c r="AE498" s="1438"/>
      <c r="AF498" s="1438"/>
      <c r="AG498" s="1438"/>
      <c r="AH498" s="1438"/>
      <c r="AI498" s="1438"/>
      <c r="AJ498" s="1438"/>
      <c r="AK498" s="1739"/>
      <c r="AZ498" s="3"/>
      <c r="BA498" s="3"/>
      <c r="BB498" s="3"/>
      <c r="BC498" s="3"/>
    </row>
    <row r="499" spans="1:66" ht="12.9" customHeight="1">
      <c r="B499" s="891" t="s">
        <v>1660</v>
      </c>
      <c r="C499" s="869"/>
      <c r="D499" s="869"/>
      <c r="E499" s="869"/>
      <c r="F499" s="869"/>
      <c r="G499" s="869"/>
      <c r="H499" s="869"/>
      <c r="I499" s="869"/>
      <c r="J499" s="869"/>
      <c r="K499" s="869"/>
      <c r="L499" s="869"/>
      <c r="M499" s="869"/>
      <c r="N499" s="869"/>
      <c r="O499" s="869"/>
      <c r="P499" s="869"/>
      <c r="Q499" s="1855" t="s">
        <v>669</v>
      </c>
      <c r="R499" s="1856"/>
      <c r="S499" s="1856"/>
      <c r="T499" s="1856"/>
      <c r="U499" s="1856"/>
      <c r="V499" s="1856"/>
      <c r="W499" s="1856"/>
      <c r="X499" s="1856"/>
      <c r="Y499" s="1856"/>
      <c r="Z499" s="1856"/>
      <c r="AA499" s="1856"/>
      <c r="AB499" s="1856"/>
      <c r="AC499" s="1856"/>
      <c r="AD499" s="1856"/>
      <c r="AE499" s="1856"/>
      <c r="AF499" s="1856"/>
      <c r="AG499" s="1856"/>
      <c r="AH499" s="1856"/>
      <c r="AI499" s="1856"/>
      <c r="AJ499" s="1856"/>
      <c r="AK499" s="1857"/>
      <c r="AZ499" s="3"/>
      <c r="BA499" s="3"/>
      <c r="BB499" s="3"/>
      <c r="BC499" s="3"/>
    </row>
    <row r="500" spans="1:66" ht="12.9" customHeight="1">
      <c r="B500" s="45" t="s">
        <v>398</v>
      </c>
      <c r="C500" s="5"/>
      <c r="D500" s="5"/>
      <c r="E500" s="5"/>
      <c r="F500" s="5"/>
      <c r="G500" s="5"/>
      <c r="H500" s="5"/>
      <c r="I500" s="5"/>
      <c r="J500" s="5"/>
      <c r="K500" s="5"/>
      <c r="L500" s="5"/>
      <c r="M500" s="5"/>
      <c r="N500" s="5"/>
      <c r="O500" s="5"/>
      <c r="P500" s="5"/>
      <c r="Q500" s="1568" t="s">
        <v>2727</v>
      </c>
      <c r="R500" s="1435"/>
      <c r="S500" s="1435"/>
      <c r="T500" s="1435"/>
      <c r="U500" s="1435"/>
      <c r="V500" s="1435"/>
      <c r="W500" s="1435"/>
      <c r="X500" s="1435"/>
      <c r="Y500" s="1435"/>
      <c r="Z500" s="1435"/>
      <c r="AA500" s="1435"/>
      <c r="AB500" s="1435"/>
      <c r="AC500" s="1435"/>
      <c r="AD500" s="1435"/>
      <c r="AE500" s="1435"/>
      <c r="AF500" s="1435"/>
      <c r="AG500" s="1435"/>
      <c r="AH500" s="1435"/>
      <c r="AI500" s="1435"/>
      <c r="AJ500" s="1435"/>
      <c r="AK500" s="1569"/>
      <c r="AZ500" s="3"/>
      <c r="BA500" s="3"/>
      <c r="BB500" s="3"/>
      <c r="BC500" s="3"/>
    </row>
    <row r="501" spans="1:66" ht="12.9" customHeight="1">
      <c r="B501" s="45" t="s">
        <v>399</v>
      </c>
      <c r="C501" s="5"/>
      <c r="D501" s="5"/>
      <c r="E501" s="5"/>
      <c r="F501" s="5"/>
      <c r="G501" s="5"/>
      <c r="H501" s="5"/>
      <c r="I501" s="5"/>
      <c r="J501" s="5"/>
      <c r="K501" s="5"/>
      <c r="L501" s="5"/>
      <c r="M501" s="5"/>
      <c r="N501" s="5"/>
      <c r="O501" s="5"/>
      <c r="P501" s="5"/>
      <c r="Q501" s="1568" t="s">
        <v>2763</v>
      </c>
      <c r="R501" s="1435"/>
      <c r="S501" s="1435"/>
      <c r="T501" s="1435"/>
      <c r="U501" s="1435"/>
      <c r="V501" s="1435"/>
      <c r="W501" s="1435"/>
      <c r="X501" s="1435"/>
      <c r="Y501" s="1435"/>
      <c r="Z501" s="1435"/>
      <c r="AA501" s="1435"/>
      <c r="AB501" s="1435"/>
      <c r="AC501" s="1435"/>
      <c r="AD501" s="1435"/>
      <c r="AE501" s="1435"/>
      <c r="AF501" s="1435"/>
      <c r="AG501" s="1435"/>
      <c r="AH501" s="1435"/>
      <c r="AI501" s="1435"/>
      <c r="AJ501" s="1435"/>
      <c r="AK501" s="1569"/>
      <c r="AZ501" s="3"/>
      <c r="BA501" s="3"/>
      <c r="BB501" s="3"/>
      <c r="BC501" s="3"/>
    </row>
    <row r="502" spans="1:66" ht="12.9" customHeight="1">
      <c r="B502" s="121" t="s">
        <v>1657</v>
      </c>
      <c r="C502" s="5"/>
      <c r="D502" s="5"/>
      <c r="E502" s="5"/>
      <c r="F502" s="5"/>
      <c r="G502" s="5"/>
      <c r="H502" s="5"/>
      <c r="I502" s="5"/>
      <c r="J502" s="5"/>
      <c r="K502" s="5"/>
      <c r="L502" s="5"/>
      <c r="M502" s="5"/>
      <c r="N502" s="5"/>
      <c r="O502" s="5"/>
      <c r="P502" s="5"/>
      <c r="Q502" s="1568" t="s">
        <v>2764</v>
      </c>
      <c r="R502" s="1435"/>
      <c r="S502" s="1435"/>
      <c r="T502" s="1435"/>
      <c r="U502" s="1435"/>
      <c r="V502" s="1435"/>
      <c r="W502" s="1435"/>
      <c r="X502" s="1435"/>
      <c r="Y502" s="1435"/>
      <c r="Z502" s="1435"/>
      <c r="AA502" s="1435"/>
      <c r="AB502" s="1435"/>
      <c r="AC502" s="1435"/>
      <c r="AD502" s="1435"/>
      <c r="AE502" s="1435"/>
      <c r="AF502" s="1435"/>
      <c r="AG502" s="1435"/>
      <c r="AH502" s="1435"/>
      <c r="AI502" s="1435"/>
      <c r="AJ502" s="1435"/>
      <c r="AK502" s="1569"/>
      <c r="AZ502" s="3"/>
      <c r="BA502" s="3"/>
      <c r="BB502" s="3"/>
      <c r="BC502" s="3"/>
    </row>
    <row r="503" spans="1:66" ht="12.9" customHeight="1">
      <c r="B503" s="121" t="s">
        <v>1658</v>
      </c>
      <c r="C503" s="5"/>
      <c r="D503" s="5"/>
      <c r="E503" s="5"/>
      <c r="F503" s="5"/>
      <c r="G503" s="5"/>
      <c r="H503" s="5"/>
      <c r="I503" s="5"/>
      <c r="J503" s="5"/>
      <c r="K503" s="5"/>
      <c r="L503" s="5"/>
      <c r="M503" s="1480">
        <v>8</v>
      </c>
      <c r="N503" s="1481"/>
      <c r="O503" s="1481"/>
      <c r="P503" s="1482"/>
      <c r="Q503" s="121" t="s">
        <v>1659</v>
      </c>
      <c r="R503" s="5"/>
      <c r="S503" s="5"/>
      <c r="T503" s="5"/>
      <c r="U503" s="5"/>
      <c r="V503" s="5"/>
      <c r="W503" s="5"/>
      <c r="X503" s="5"/>
      <c r="Y503" s="5"/>
      <c r="Z503" s="5"/>
      <c r="AA503" s="5"/>
      <c r="AB503" s="5"/>
      <c r="AC503" s="5"/>
      <c r="AD503" s="5"/>
      <c r="AE503" s="5"/>
      <c r="AF503" s="5"/>
      <c r="AG503" s="5"/>
      <c r="AH503" s="1480">
        <v>0</v>
      </c>
      <c r="AI503" s="1481"/>
      <c r="AJ503" s="1481"/>
      <c r="AK503" s="1482"/>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49" t="s">
        <v>401</v>
      </c>
      <c r="AD507" s="1771"/>
      <c r="AE507" s="1771"/>
      <c r="AF507" s="1771"/>
      <c r="AG507" s="1771"/>
      <c r="AH507" s="1771"/>
      <c r="AI507" s="1771"/>
      <c r="AJ507" s="1771"/>
      <c r="AK507" s="1772"/>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49" t="s">
        <v>402</v>
      </c>
      <c r="AD508" s="1771"/>
      <c r="AE508" s="1771"/>
      <c r="AF508" s="1771"/>
      <c r="AG508" s="50" t="s">
        <v>403</v>
      </c>
      <c r="AH508" s="1771" t="s">
        <v>404</v>
      </c>
      <c r="AI508" s="1771"/>
      <c r="AJ508" s="1771"/>
      <c r="AK508" s="1772"/>
      <c r="AZ508" s="3"/>
      <c r="BA508" s="3"/>
      <c r="BB508" s="3"/>
      <c r="BC508" s="3"/>
      <c r="BD508" s="3"/>
      <c r="BE508" s="3"/>
      <c r="BF508" s="3"/>
      <c r="BG508" s="3"/>
      <c r="BH508" s="3"/>
      <c r="BI508" s="3"/>
      <c r="BJ508" s="3"/>
      <c r="BK508" s="3"/>
      <c r="BL508" s="3"/>
      <c r="BM508" s="3"/>
      <c r="BN508" s="3"/>
    </row>
    <row r="509" spans="1:66" ht="12.9" customHeight="1">
      <c r="B509" s="1518" t="s">
        <v>405</v>
      </c>
      <c r="C509" s="1499"/>
      <c r="D509" s="1499"/>
      <c r="E509" s="1499"/>
      <c r="F509" s="1499"/>
      <c r="G509" s="1499"/>
      <c r="H509" s="1500"/>
      <c r="I509" s="42" t="s">
        <v>406</v>
      </c>
      <c r="J509" s="42"/>
      <c r="K509" s="42"/>
      <c r="L509" s="42"/>
      <c r="M509" s="42"/>
      <c r="N509" s="42"/>
      <c r="O509" s="42"/>
      <c r="P509" s="42"/>
      <c r="Q509" s="42"/>
      <c r="R509" s="42"/>
      <c r="S509" s="42"/>
      <c r="T509" s="42"/>
      <c r="U509" s="42"/>
      <c r="V509" s="42"/>
      <c r="W509" s="42"/>
      <c r="AC509" s="1469">
        <v>1</v>
      </c>
      <c r="AD509" s="1470"/>
      <c r="AE509" s="1470"/>
      <c r="AF509" s="1470"/>
      <c r="AG509" s="13" t="s">
        <v>403</v>
      </c>
      <c r="AH509" s="1378">
        <v>2025</v>
      </c>
      <c r="AI509" s="1378"/>
      <c r="AJ509" s="1378"/>
      <c r="AK509" s="1379"/>
      <c r="AZ509" s="3"/>
      <c r="BA509" s="3"/>
      <c r="BB509" s="3"/>
      <c r="BC509" s="3"/>
      <c r="BD509" s="3"/>
      <c r="BE509" s="3"/>
      <c r="BF509" s="3"/>
      <c r="BG509" s="3"/>
      <c r="BH509" s="3"/>
      <c r="BI509" s="3"/>
      <c r="BJ509" s="3"/>
      <c r="BK509" s="3"/>
      <c r="BL509" s="3"/>
      <c r="BM509" s="3"/>
      <c r="BN509" s="3"/>
    </row>
    <row r="510" spans="1:66" ht="12.9" customHeight="1">
      <c r="B510" s="1519"/>
      <c r="C510" s="1501"/>
      <c r="D510" s="1501"/>
      <c r="E510" s="1501"/>
      <c r="F510" s="1501"/>
      <c r="G510" s="1501"/>
      <c r="H510" s="1502"/>
      <c r="I510" s="48" t="s">
        <v>407</v>
      </c>
      <c r="J510" s="48"/>
      <c r="K510" s="48"/>
      <c r="L510" s="48"/>
      <c r="M510" s="48"/>
      <c r="N510" s="48"/>
      <c r="O510" s="48"/>
      <c r="P510" s="48"/>
      <c r="Q510" s="48"/>
      <c r="R510" s="48"/>
      <c r="S510" s="48"/>
      <c r="T510" s="48"/>
      <c r="U510" s="48"/>
      <c r="V510" s="48"/>
      <c r="W510" s="48"/>
      <c r="X510" s="48"/>
      <c r="Y510" s="48"/>
      <c r="Z510" s="48"/>
      <c r="AA510" s="48"/>
      <c r="AB510" s="48"/>
      <c r="AC510" s="1469">
        <v>2</v>
      </c>
      <c r="AD510" s="1470"/>
      <c r="AE510" s="1470"/>
      <c r="AF510" s="1470"/>
      <c r="AG510" s="38" t="s">
        <v>403</v>
      </c>
      <c r="AH510" s="1378">
        <v>2025</v>
      </c>
      <c r="AI510" s="1378"/>
      <c r="AJ510" s="1378"/>
      <c r="AK510" s="1379"/>
      <c r="AZ510" s="3"/>
      <c r="BA510" s="3"/>
      <c r="BB510" s="3"/>
      <c r="BC510" s="3"/>
      <c r="BD510" s="3"/>
      <c r="BE510" s="3"/>
      <c r="BF510" s="3"/>
      <c r="BG510" s="3"/>
      <c r="BH510" s="3"/>
      <c r="BI510" s="3"/>
      <c r="BJ510" s="3"/>
      <c r="BK510" s="3"/>
      <c r="BL510" s="3"/>
      <c r="BM510" s="3"/>
      <c r="BN510" s="3"/>
    </row>
    <row r="511" spans="1:66" ht="12.9" customHeight="1">
      <c r="B511" s="1518" t="s">
        <v>408</v>
      </c>
      <c r="C511" s="1499"/>
      <c r="D511" s="1499"/>
      <c r="E511" s="1499"/>
      <c r="F511" s="1499"/>
      <c r="G511" s="1499"/>
      <c r="H511" s="1500"/>
      <c r="I511" s="42" t="s">
        <v>409</v>
      </c>
      <c r="J511" s="42"/>
      <c r="K511" s="42"/>
      <c r="L511" s="42"/>
      <c r="M511" s="42"/>
      <c r="N511" s="42"/>
      <c r="O511" s="42"/>
      <c r="P511" s="42"/>
      <c r="Q511" s="42"/>
      <c r="R511" s="42"/>
      <c r="S511" s="42"/>
      <c r="T511" s="42"/>
      <c r="U511" s="42"/>
      <c r="V511" s="42"/>
      <c r="W511" s="42"/>
      <c r="AC511" s="1469" t="s">
        <v>591</v>
      </c>
      <c r="AD511" s="1470"/>
      <c r="AE511" s="1470"/>
      <c r="AF511" s="1470"/>
      <c r="AG511" s="13" t="s">
        <v>403</v>
      </c>
      <c r="AH511" s="1378"/>
      <c r="AI511" s="1378"/>
      <c r="AJ511" s="1378"/>
      <c r="AK511" s="1379"/>
      <c r="AZ511" s="3"/>
      <c r="BA511" s="3"/>
      <c r="BB511" s="3"/>
      <c r="BC511" s="3"/>
      <c r="BD511" s="3"/>
      <c r="BE511" s="3"/>
      <c r="BF511" s="3"/>
      <c r="BG511" s="3"/>
      <c r="BH511" s="3"/>
      <c r="BI511" s="3"/>
      <c r="BJ511" s="3"/>
      <c r="BK511" s="3"/>
      <c r="BL511" s="3"/>
      <c r="BM511" s="3"/>
      <c r="BN511" s="3"/>
    </row>
    <row r="512" spans="1:66" ht="12.9" customHeight="1">
      <c r="B512" s="1519"/>
      <c r="C512" s="1501"/>
      <c r="D512" s="1501"/>
      <c r="E512" s="1501"/>
      <c r="F512" s="1501"/>
      <c r="G512" s="1501"/>
      <c r="H512" s="1502"/>
      <c r="I512" t="s">
        <v>410</v>
      </c>
      <c r="AC512" s="1469" t="s">
        <v>591</v>
      </c>
      <c r="AD512" s="1470"/>
      <c r="AE512" s="1470"/>
      <c r="AF512" s="1470"/>
      <c r="AG512" s="13" t="s">
        <v>403</v>
      </c>
      <c r="AH512" s="1378"/>
      <c r="AI512" s="1378"/>
      <c r="AJ512" s="1378"/>
      <c r="AK512" s="1379"/>
      <c r="AZ512" s="3"/>
      <c r="BA512" s="3"/>
      <c r="BB512" s="3"/>
      <c r="BC512" s="3"/>
      <c r="BD512" s="3"/>
      <c r="BE512" s="3"/>
      <c r="BF512" s="3"/>
      <c r="BG512" s="3"/>
      <c r="BH512" s="3"/>
      <c r="BI512" s="3"/>
      <c r="BJ512" s="3"/>
      <c r="BK512" s="3"/>
      <c r="BL512" s="3"/>
      <c r="BM512" s="3"/>
      <c r="BN512" s="3"/>
    </row>
    <row r="513" spans="2:66" ht="12.9" customHeight="1">
      <c r="B513" s="1519"/>
      <c r="C513" s="1501"/>
      <c r="D513" s="1501"/>
      <c r="E513" s="1501"/>
      <c r="F513" s="1501"/>
      <c r="G513" s="1501"/>
      <c r="H513" s="1502"/>
      <c r="I513" t="s">
        <v>411</v>
      </c>
      <c r="AC513" s="1469">
        <v>1</v>
      </c>
      <c r="AD513" s="1470"/>
      <c r="AE513" s="1470"/>
      <c r="AF513" s="1470"/>
      <c r="AG513" s="13" t="s">
        <v>403</v>
      </c>
      <c r="AH513" s="1378">
        <v>2025</v>
      </c>
      <c r="AI513" s="1378"/>
      <c r="AJ513" s="1378"/>
      <c r="AK513" s="1379"/>
      <c r="AZ513" s="3"/>
      <c r="BA513" s="3"/>
      <c r="BB513" s="3"/>
      <c r="BC513" s="3"/>
      <c r="BD513" s="3"/>
      <c r="BE513" s="3"/>
      <c r="BF513" s="3"/>
      <c r="BG513" s="3"/>
      <c r="BH513" s="3"/>
      <c r="BI513" s="3"/>
      <c r="BJ513" s="3"/>
      <c r="BK513" s="3"/>
      <c r="BL513" s="3"/>
      <c r="BM513" s="3"/>
      <c r="BN513" s="3"/>
    </row>
    <row r="514" spans="2:66" ht="12.9" customHeight="1">
      <c r="B514" s="1519"/>
      <c r="C514" s="1501"/>
      <c r="D514" s="1501"/>
      <c r="E514" s="1501"/>
      <c r="F514" s="1501"/>
      <c r="G514" s="1501"/>
      <c r="H514" s="1502"/>
      <c r="I514" t="s">
        <v>412</v>
      </c>
      <c r="AC514" s="1469" t="s">
        <v>591</v>
      </c>
      <c r="AD514" s="1470"/>
      <c r="AE514" s="1470"/>
      <c r="AF514" s="1470"/>
      <c r="AG514" s="13" t="s">
        <v>403</v>
      </c>
      <c r="AH514" s="1378"/>
      <c r="AI514" s="1378"/>
      <c r="AJ514" s="1378"/>
      <c r="AK514" s="1379"/>
      <c r="AZ514" s="3"/>
      <c r="BA514" s="3"/>
      <c r="BB514" s="3"/>
      <c r="BC514" s="3"/>
      <c r="BD514" s="3"/>
      <c r="BE514" s="3"/>
      <c r="BF514" s="3"/>
      <c r="BG514" s="3"/>
      <c r="BH514" s="3"/>
      <c r="BI514" s="3"/>
      <c r="BJ514" s="3"/>
      <c r="BK514" s="3"/>
      <c r="BL514" s="3"/>
      <c r="BM514" s="3"/>
      <c r="BN514" s="3"/>
    </row>
    <row r="515" spans="2:66" ht="12.9" customHeight="1">
      <c r="B515" s="1519"/>
      <c r="C515" s="1501"/>
      <c r="D515" s="1501"/>
      <c r="E515" s="1501"/>
      <c r="F515" s="1501"/>
      <c r="G515" s="1501"/>
      <c r="H515" s="1502"/>
      <c r="I515" s="3" t="s">
        <v>413</v>
      </c>
      <c r="AC515" s="1365">
        <v>10</v>
      </c>
      <c r="AD515" s="1366"/>
      <c r="AE515" s="1366"/>
      <c r="AF515" s="1366"/>
      <c r="AG515" s="13" t="s">
        <v>403</v>
      </c>
      <c r="AH515" s="1378">
        <v>2026</v>
      </c>
      <c r="AI515" s="1378"/>
      <c r="AJ515" s="1378"/>
      <c r="AK515" s="1379"/>
      <c r="AZ515" s="3"/>
      <c r="BA515" s="3"/>
      <c r="BB515" s="3"/>
      <c r="BC515" s="3"/>
      <c r="BD515" s="3"/>
      <c r="BE515" s="3"/>
      <c r="BF515" s="3"/>
      <c r="BG515" s="3"/>
      <c r="BH515" s="3"/>
      <c r="BI515" s="3"/>
      <c r="BJ515" s="3"/>
      <c r="BK515" s="3"/>
      <c r="BL515" s="3"/>
      <c r="BM515" s="3"/>
      <c r="BN515" s="3"/>
    </row>
    <row r="516" spans="2:66" ht="12.9" customHeight="1">
      <c r="B516" s="1519"/>
      <c r="C516" s="1501"/>
      <c r="D516" s="1501"/>
      <c r="E516" s="1501"/>
      <c r="F516" s="1501"/>
      <c r="G516" s="1501"/>
      <c r="H516" s="1502"/>
      <c r="I516" s="892" t="s">
        <v>170</v>
      </c>
      <c r="J516" s="48"/>
      <c r="K516" s="48"/>
      <c r="L516" s="1764" t="s">
        <v>334</v>
      </c>
      <c r="M516" s="1765"/>
      <c r="N516" s="1765"/>
      <c r="O516" s="1765"/>
      <c r="P516" s="1765"/>
      <c r="Q516" s="1765"/>
      <c r="R516" s="1765"/>
      <c r="S516" s="1765"/>
      <c r="T516" s="1765"/>
      <c r="U516" s="1765"/>
      <c r="V516" s="1765"/>
      <c r="W516" s="1765"/>
      <c r="X516" s="1765"/>
      <c r="Y516" s="1765"/>
      <c r="Z516" s="1765"/>
      <c r="AA516" s="1765"/>
      <c r="AB516" s="1843"/>
      <c r="AC516" s="1469" t="s">
        <v>591</v>
      </c>
      <c r="AD516" s="1470"/>
      <c r="AE516" s="1470"/>
      <c r="AF516" s="1470"/>
      <c r="AG516" s="38" t="s">
        <v>403</v>
      </c>
      <c r="AH516" s="1378"/>
      <c r="AI516" s="1378"/>
      <c r="AJ516" s="1378"/>
      <c r="AK516" s="1379"/>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1664</v>
      </c>
      <c r="AC517" s="1818" t="s">
        <v>1184</v>
      </c>
      <c r="AD517" s="1818"/>
      <c r="AE517" s="1818"/>
      <c r="AF517" s="1818"/>
      <c r="AG517" s="13"/>
      <c r="AH517" s="1343"/>
      <c r="AI517" s="1343"/>
      <c r="AJ517" s="1343"/>
      <c r="AK517" s="1770"/>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1661</v>
      </c>
      <c r="AC518" s="1365"/>
      <c r="AD518" s="1366"/>
      <c r="AE518" s="1366"/>
      <c r="AF518" s="1367"/>
      <c r="AG518" s="13"/>
      <c r="AH518" s="1343"/>
      <c r="AI518" s="1343"/>
      <c r="AJ518" s="1343"/>
      <c r="AK518" s="1770"/>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0"/>
      <c r="AD520" s="1831"/>
      <c r="AE520" s="1831"/>
      <c r="AF520" s="1832"/>
      <c r="AG520" s="38"/>
      <c r="AH520" s="1762"/>
      <c r="AI520" s="1762"/>
      <c r="AJ520" s="1762"/>
      <c r="AK520" s="1763"/>
      <c r="AZ520" s="3"/>
      <c r="BA520" s="3"/>
      <c r="BB520" s="3"/>
      <c r="BC520" s="3"/>
      <c r="BD520" s="3"/>
      <c r="BE520" s="3"/>
      <c r="BF520" s="3"/>
      <c r="BG520" s="3"/>
      <c r="BH520" s="3"/>
      <c r="BI520" s="3"/>
      <c r="BJ520" s="3"/>
      <c r="BK520" s="3"/>
      <c r="BL520" s="3"/>
      <c r="BM520" s="3"/>
      <c r="BN520" s="3" t="s">
        <v>1184</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42" t="s">
        <v>402</v>
      </c>
      <c r="AD521" s="1543"/>
      <c r="AE521" s="1543"/>
      <c r="AF521" s="1543"/>
      <c r="AG521" s="38" t="s">
        <v>403</v>
      </c>
      <c r="AH521" s="1543" t="s">
        <v>404</v>
      </c>
      <c r="AI521" s="1543"/>
      <c r="AJ521" s="1543"/>
      <c r="AK521" s="1846"/>
      <c r="AZ521" s="3"/>
      <c r="BA521" s="3"/>
      <c r="BB521" s="3"/>
      <c r="BC521" s="3"/>
      <c r="BD521" s="3"/>
      <c r="BE521" s="3"/>
      <c r="BF521" s="3"/>
      <c r="BG521" s="3"/>
      <c r="BH521" s="3"/>
      <c r="BI521" s="3"/>
      <c r="BJ521" s="3"/>
      <c r="BK521" s="3"/>
      <c r="BL521" s="3"/>
      <c r="BM521" s="3"/>
      <c r="BN521" s="3" t="s">
        <v>2061</v>
      </c>
    </row>
    <row r="522" spans="2:66" ht="12.9" customHeight="1">
      <c r="B522" s="1518" t="s">
        <v>414</v>
      </c>
      <c r="C522" s="1499"/>
      <c r="D522" s="1499"/>
      <c r="E522" s="1499"/>
      <c r="F522" s="1499"/>
      <c r="G522" s="1499"/>
      <c r="H522" s="1500"/>
      <c r="I522" s="42" t="s">
        <v>415</v>
      </c>
      <c r="J522" s="42"/>
      <c r="K522" s="42"/>
      <c r="L522" s="42"/>
      <c r="M522" s="42"/>
      <c r="N522" s="42"/>
      <c r="O522" s="42"/>
      <c r="P522" s="42"/>
      <c r="Q522" s="42"/>
      <c r="R522" s="42"/>
      <c r="S522" s="42"/>
      <c r="T522" s="42"/>
      <c r="U522" s="42"/>
      <c r="V522" s="42"/>
      <c r="W522" s="42"/>
      <c r="AC522" s="1469">
        <v>2</v>
      </c>
      <c r="AD522" s="1470"/>
      <c r="AE522" s="1470"/>
      <c r="AF522" s="1470"/>
      <c r="AG522" s="13" t="s">
        <v>403</v>
      </c>
      <c r="AH522" s="1378">
        <v>2026</v>
      </c>
      <c r="AI522" s="1378"/>
      <c r="AJ522" s="1378"/>
      <c r="AK522" s="1379"/>
      <c r="AZ522" s="3"/>
      <c r="BA522" s="3"/>
      <c r="BB522" s="3"/>
      <c r="BC522" s="3"/>
      <c r="BD522" s="3"/>
      <c r="BE522" s="3"/>
      <c r="BF522" s="3"/>
      <c r="BG522" s="3"/>
      <c r="BH522" s="3"/>
      <c r="BI522" s="3"/>
      <c r="BJ522" s="3"/>
      <c r="BK522" s="3"/>
      <c r="BL522" s="3"/>
      <c r="BM522" s="3"/>
      <c r="BN522" s="3" t="s">
        <v>2062</v>
      </c>
    </row>
    <row r="523" spans="2:66" ht="12.9" customHeight="1">
      <c r="B523" s="1519"/>
      <c r="C523" s="1501"/>
      <c r="D523" s="1501"/>
      <c r="E523" s="1501"/>
      <c r="F523" s="1501"/>
      <c r="G523" s="1501"/>
      <c r="H523" s="1502"/>
      <c r="I523" t="s">
        <v>416</v>
      </c>
      <c r="AC523" s="1469">
        <v>2</v>
      </c>
      <c r="AD523" s="1470"/>
      <c r="AE523" s="1470"/>
      <c r="AF523" s="1470"/>
      <c r="AG523" s="13" t="s">
        <v>403</v>
      </c>
      <c r="AH523" s="1378">
        <v>2026</v>
      </c>
      <c r="AI523" s="1378"/>
      <c r="AJ523" s="1378"/>
      <c r="AK523" s="1379"/>
      <c r="AZ523" s="3"/>
      <c r="BA523" s="3"/>
      <c r="BB523" s="3"/>
      <c r="BC523" s="3"/>
      <c r="BD523" s="3"/>
      <c r="BE523" s="3"/>
      <c r="BF523" s="3"/>
      <c r="BG523" s="3"/>
      <c r="BH523" s="3"/>
      <c r="BI523" s="3"/>
      <c r="BJ523" s="3"/>
      <c r="BK523" s="3"/>
      <c r="BL523" s="3"/>
      <c r="BM523" s="3"/>
      <c r="BN523" s="3" t="s">
        <v>2063</v>
      </c>
    </row>
    <row r="524" spans="2:66" ht="12.9" customHeight="1">
      <c r="B524" s="1519"/>
      <c r="C524" s="1501"/>
      <c r="D524" s="1501"/>
      <c r="E524" s="1501"/>
      <c r="F524" s="1501"/>
      <c r="G524" s="1501"/>
      <c r="H524" s="1502"/>
      <c r="I524" s="48" t="s">
        <v>417</v>
      </c>
      <c r="J524" s="48"/>
      <c r="K524" s="48"/>
      <c r="L524" s="48"/>
      <c r="M524" s="48"/>
      <c r="N524" s="48"/>
      <c r="O524" s="48"/>
      <c r="P524" s="48"/>
      <c r="Q524" s="48"/>
      <c r="R524" s="48"/>
      <c r="S524" s="48"/>
      <c r="T524" s="48"/>
      <c r="U524" s="48"/>
      <c r="V524" s="48"/>
      <c r="W524" s="48"/>
      <c r="X524" s="48"/>
      <c r="Y524" s="48"/>
      <c r="Z524" s="48"/>
      <c r="AA524" s="48"/>
      <c r="AB524" s="48"/>
      <c r="AC524" s="1469">
        <v>11</v>
      </c>
      <c r="AD524" s="1470"/>
      <c r="AE524" s="1470"/>
      <c r="AF524" s="1470"/>
      <c r="AG524" s="38" t="s">
        <v>403</v>
      </c>
      <c r="AH524" s="1378">
        <v>2026</v>
      </c>
      <c r="AI524" s="1378"/>
      <c r="AJ524" s="1378"/>
      <c r="AK524" s="1379"/>
      <c r="AZ524" s="3"/>
      <c r="BA524" s="3"/>
      <c r="BB524" s="3"/>
      <c r="BC524" s="3"/>
      <c r="BD524" s="3"/>
      <c r="BE524" s="3"/>
      <c r="BF524" s="3"/>
      <c r="BG524" s="3"/>
      <c r="BH524" s="3"/>
      <c r="BI524" s="3"/>
      <c r="BJ524" s="3"/>
      <c r="BK524" s="3"/>
      <c r="BL524" s="3"/>
      <c r="BM524" s="3"/>
      <c r="BN524" s="3" t="s">
        <v>2064</v>
      </c>
    </row>
    <row r="525" spans="2:66" ht="12.9" customHeight="1">
      <c r="B525" s="1518" t="s">
        <v>418</v>
      </c>
      <c r="C525" s="1499"/>
      <c r="D525" s="1499"/>
      <c r="E525" s="1499"/>
      <c r="F525" s="1499"/>
      <c r="G525" s="1499"/>
      <c r="H525" s="1500"/>
      <c r="I525" s="42" t="s">
        <v>415</v>
      </c>
      <c r="J525" s="42"/>
      <c r="K525" s="42"/>
      <c r="L525" s="42"/>
      <c r="M525" s="42"/>
      <c r="N525" s="42"/>
      <c r="O525" s="42"/>
      <c r="P525" s="42"/>
      <c r="Q525" s="42"/>
      <c r="R525" s="42"/>
      <c r="S525" s="42"/>
      <c r="T525" s="42"/>
      <c r="U525" s="42"/>
      <c r="V525" s="42"/>
      <c r="W525" s="42"/>
      <c r="X525" s="42"/>
      <c r="Y525" s="42"/>
      <c r="Z525" s="42"/>
      <c r="AA525" s="42"/>
      <c r="AB525" s="42"/>
      <c r="AC525" s="1365">
        <v>2</v>
      </c>
      <c r="AD525" s="1366"/>
      <c r="AE525" s="1366"/>
      <c r="AF525" s="1366"/>
      <c r="AG525" s="129" t="s">
        <v>403</v>
      </c>
      <c r="AH525" s="1378">
        <v>2026</v>
      </c>
      <c r="AI525" s="1378"/>
      <c r="AJ525" s="1378"/>
      <c r="AK525" s="1379"/>
      <c r="AZ525" s="3"/>
      <c r="BB525" s="3"/>
      <c r="BC525" s="3"/>
      <c r="BD525" s="3"/>
      <c r="BE525" s="3"/>
      <c r="BF525" s="3"/>
      <c r="BG525" s="3"/>
      <c r="BH525" s="3"/>
      <c r="BI525" s="3"/>
      <c r="BJ525" s="3"/>
      <c r="BK525" s="3"/>
      <c r="BL525" s="3"/>
      <c r="BM525" s="3"/>
      <c r="BN525" s="3" t="s">
        <v>2065</v>
      </c>
    </row>
    <row r="526" spans="2:66" ht="12.9" customHeight="1">
      <c r="B526" s="1519"/>
      <c r="C526" s="1501"/>
      <c r="D526" s="1501"/>
      <c r="E526" s="1501"/>
      <c r="F526" s="1501"/>
      <c r="G526" s="1501"/>
      <c r="H526" s="1502"/>
      <c r="I526" t="s">
        <v>416</v>
      </c>
      <c r="AC526" s="1469">
        <v>2</v>
      </c>
      <c r="AD526" s="1470"/>
      <c r="AE526" s="1470"/>
      <c r="AF526" s="1470"/>
      <c r="AG526" s="13" t="s">
        <v>403</v>
      </c>
      <c r="AH526" s="1378">
        <v>2026</v>
      </c>
      <c r="AI526" s="1378"/>
      <c r="AJ526" s="1378"/>
      <c r="AK526" s="1379"/>
      <c r="BB526" s="3"/>
      <c r="BC526" s="3"/>
      <c r="BD526" s="3"/>
      <c r="BE526" s="3"/>
      <c r="BF526" s="3"/>
      <c r="BG526" s="3"/>
      <c r="BH526" s="3"/>
      <c r="BI526" s="3"/>
      <c r="BJ526" s="3"/>
      <c r="BK526" s="3"/>
      <c r="BL526" s="3"/>
      <c r="BM526" s="3"/>
      <c r="BN526" s="3" t="s">
        <v>2066</v>
      </c>
    </row>
    <row r="527" spans="2:66" ht="12.9" customHeight="1">
      <c r="B527" s="1520"/>
      <c r="C527" s="1503"/>
      <c r="D527" s="1503"/>
      <c r="E527" s="1503"/>
      <c r="F527" s="1503"/>
      <c r="G527" s="1503"/>
      <c r="H527" s="1504"/>
      <c r="I527" s="48" t="s">
        <v>417</v>
      </c>
      <c r="J527" s="48"/>
      <c r="K527" s="48"/>
      <c r="L527" s="48"/>
      <c r="M527" s="48"/>
      <c r="N527" s="48"/>
      <c r="O527" s="48"/>
      <c r="P527" s="48"/>
      <c r="Q527" s="48"/>
      <c r="R527" s="48"/>
      <c r="S527" s="48"/>
      <c r="T527" s="48"/>
      <c r="U527" s="48"/>
      <c r="V527" s="48"/>
      <c r="W527" s="48"/>
      <c r="X527" s="48"/>
      <c r="Y527" s="48"/>
      <c r="Z527" s="48"/>
      <c r="AA527" s="48"/>
      <c r="AB527" s="48"/>
      <c r="AC527" s="1469">
        <v>5</v>
      </c>
      <c r="AD527" s="1470"/>
      <c r="AE527" s="1470"/>
      <c r="AF527" s="1470"/>
      <c r="AG527" s="38" t="s">
        <v>403</v>
      </c>
      <c r="AH527" s="1378">
        <v>2029</v>
      </c>
      <c r="AI527" s="1378"/>
      <c r="AJ527" s="1378"/>
      <c r="AK527" s="1379"/>
      <c r="BB527" s="3"/>
      <c r="BC527" s="3"/>
      <c r="BD527" s="3"/>
      <c r="BE527" s="3"/>
      <c r="BF527" s="3"/>
      <c r="BG527" s="3"/>
      <c r="BH527" s="3"/>
      <c r="BI527" s="3"/>
      <c r="BJ527" s="3"/>
      <c r="BK527" s="3"/>
      <c r="BL527" s="3"/>
      <c r="BM527" s="3"/>
      <c r="BN527" s="3" t="s">
        <v>2067</v>
      </c>
    </row>
    <row r="528" spans="2:66" ht="12.9" customHeight="1">
      <c r="B528" s="1518" t="s">
        <v>419</v>
      </c>
      <c r="C528" s="1499"/>
      <c r="D528" s="1499"/>
      <c r="E528" s="1499"/>
      <c r="F528" s="1499"/>
      <c r="G528" s="1499"/>
      <c r="H528" s="1500"/>
      <c r="I528" s="41" t="s">
        <v>420</v>
      </c>
      <c r="J528" s="42"/>
      <c r="K528" s="42"/>
      <c r="L528" s="42"/>
      <c r="M528" s="42"/>
      <c r="N528" s="42"/>
      <c r="O528" s="1764" t="s">
        <v>2734</v>
      </c>
      <c r="P528" s="1765"/>
      <c r="Q528" s="1765"/>
      <c r="R528" s="1765"/>
      <c r="S528" s="1765"/>
      <c r="T528" s="1765"/>
      <c r="U528" s="1765"/>
      <c r="V528" s="1765"/>
      <c r="W528" s="1765"/>
      <c r="X528" s="1765"/>
      <c r="Y528" s="1765"/>
      <c r="Z528" s="1765"/>
      <c r="AA528" s="1765"/>
      <c r="AB528" s="58"/>
      <c r="AC528" s="1365" t="s">
        <v>591</v>
      </c>
      <c r="AD528" s="1366"/>
      <c r="AE528" s="1366"/>
      <c r="AF528" s="1366"/>
      <c r="AG528" s="129" t="s">
        <v>403</v>
      </c>
      <c r="AH528" s="1378"/>
      <c r="AI528" s="1378"/>
      <c r="AJ528" s="1378"/>
      <c r="AK528" s="1379"/>
      <c r="AZ528" s="3"/>
      <c r="BB528" s="3"/>
      <c r="BC528" s="3"/>
      <c r="BD528" s="3"/>
      <c r="BE528" s="3"/>
      <c r="BF528" s="3"/>
      <c r="BG528" s="3"/>
      <c r="BH528" s="3"/>
      <c r="BI528" s="3"/>
      <c r="BJ528" s="3"/>
      <c r="BK528" s="3"/>
      <c r="BL528" s="3"/>
      <c r="BM528" s="3"/>
      <c r="BN528" s="3" t="s">
        <v>2068</v>
      </c>
    </row>
    <row r="529" spans="2:66" ht="12.9" customHeight="1">
      <c r="B529" s="1519"/>
      <c r="C529" s="1501"/>
      <c r="D529" s="1501"/>
      <c r="E529" s="1501"/>
      <c r="F529" s="1501"/>
      <c r="G529" s="1501"/>
      <c r="H529" s="1502"/>
      <c r="I529" s="114" t="s">
        <v>421</v>
      </c>
      <c r="AB529" s="65"/>
      <c r="AC529" s="1469">
        <v>7</v>
      </c>
      <c r="AD529" s="1470"/>
      <c r="AE529" s="1470"/>
      <c r="AF529" s="1470"/>
      <c r="AG529" s="13" t="s">
        <v>403</v>
      </c>
      <c r="AH529" s="1378">
        <v>2025</v>
      </c>
      <c r="AI529" s="1378"/>
      <c r="AJ529" s="1378"/>
      <c r="AK529" s="1379"/>
      <c r="AZ529" s="3"/>
      <c r="BB529" s="3"/>
      <c r="BC529" s="3"/>
      <c r="BD529" s="3"/>
      <c r="BE529" s="3"/>
      <c r="BF529" s="3"/>
      <c r="BG529" s="3"/>
      <c r="BH529" s="3"/>
      <c r="BI529" s="3"/>
      <c r="BJ529" s="3"/>
      <c r="BK529" s="3"/>
      <c r="BL529" s="3"/>
      <c r="BM529" s="3"/>
      <c r="BN529" s="3" t="s">
        <v>2069</v>
      </c>
    </row>
    <row r="530" spans="2:66" ht="12.9" customHeight="1">
      <c r="B530" s="1519"/>
      <c r="C530" s="1501"/>
      <c r="D530" s="1501"/>
      <c r="E530" s="1501"/>
      <c r="F530" s="1501"/>
      <c r="G530" s="1501"/>
      <c r="H530" s="1502"/>
      <c r="I530" s="47" t="s">
        <v>422</v>
      </c>
      <c r="J530" s="48"/>
      <c r="K530" s="48"/>
      <c r="L530" s="48"/>
      <c r="M530" s="48"/>
      <c r="N530" s="48"/>
      <c r="O530" s="48"/>
      <c r="P530" s="48"/>
      <c r="Q530" s="48"/>
      <c r="R530" s="48"/>
      <c r="S530" s="48"/>
      <c r="T530" s="48"/>
      <c r="U530" s="48"/>
      <c r="V530" s="48"/>
      <c r="W530" s="48"/>
      <c r="X530" s="48"/>
      <c r="Y530" s="48"/>
      <c r="Z530" s="48"/>
      <c r="AA530" s="48"/>
      <c r="AB530" s="49"/>
      <c r="AC530" s="1469">
        <v>9</v>
      </c>
      <c r="AD530" s="1470"/>
      <c r="AE530" s="1470"/>
      <c r="AF530" s="1470"/>
      <c r="AG530" s="38" t="s">
        <v>403</v>
      </c>
      <c r="AH530" s="1378">
        <v>2025</v>
      </c>
      <c r="AI530" s="1378"/>
      <c r="AJ530" s="1378"/>
      <c r="AK530" s="1379"/>
      <c r="AZ530" s="3"/>
      <c r="BA530" s="3"/>
      <c r="BB530" s="3"/>
      <c r="BC530" s="3"/>
      <c r="BD530" s="3"/>
      <c r="BE530" s="3"/>
      <c r="BF530" s="3"/>
      <c r="BG530" s="3"/>
      <c r="BH530" s="3"/>
      <c r="BI530" s="3"/>
      <c r="BJ530" s="3"/>
      <c r="BK530" s="3"/>
      <c r="BL530" s="3"/>
      <c r="BM530" s="3"/>
      <c r="BN530" s="3" t="s">
        <v>2070</v>
      </c>
    </row>
    <row r="531" spans="2:66" ht="12.9" customHeight="1">
      <c r="B531" s="1519"/>
      <c r="C531" s="1501"/>
      <c r="D531" s="1501"/>
      <c r="E531" s="1501"/>
      <c r="F531" s="1501"/>
      <c r="G531" s="1501"/>
      <c r="H531" s="1502"/>
      <c r="I531" s="42" t="s">
        <v>423</v>
      </c>
      <c r="J531" s="42"/>
      <c r="K531" s="42"/>
      <c r="L531" s="42"/>
      <c r="M531" s="42"/>
      <c r="N531" s="42"/>
      <c r="O531" s="1764" t="s">
        <v>334</v>
      </c>
      <c r="P531" s="1765"/>
      <c r="Q531" s="1765"/>
      <c r="R531" s="1765"/>
      <c r="S531" s="1765"/>
      <c r="T531" s="1765"/>
      <c r="U531" s="1765"/>
      <c r="V531" s="1765"/>
      <c r="W531" s="1765"/>
      <c r="X531" s="1765"/>
      <c r="Y531" s="1765"/>
      <c r="Z531" s="1765"/>
      <c r="AA531" s="1765"/>
      <c r="AC531" s="1469" t="s">
        <v>591</v>
      </c>
      <c r="AD531" s="1470"/>
      <c r="AE531" s="1470"/>
      <c r="AF531" s="1470"/>
      <c r="AG531" s="13" t="s">
        <v>403</v>
      </c>
      <c r="AH531" s="1378"/>
      <c r="AI531" s="1378"/>
      <c r="AJ531" s="1378"/>
      <c r="AK531" s="1379"/>
      <c r="AZ531" s="3"/>
      <c r="BA531" s="3"/>
      <c r="BB531" s="3"/>
      <c r="BC531" s="3"/>
      <c r="BD531" s="3"/>
      <c r="BE531" s="3"/>
      <c r="BF531" s="3"/>
      <c r="BG531" s="3"/>
      <c r="BH531" s="3"/>
      <c r="BI531" s="3"/>
      <c r="BJ531" s="3"/>
      <c r="BK531" s="3"/>
      <c r="BL531" s="3"/>
      <c r="BM531" s="3"/>
      <c r="BN531" s="3" t="s">
        <v>2071</v>
      </c>
    </row>
    <row r="532" spans="2:66" ht="12.9" customHeight="1">
      <c r="B532" s="1519"/>
      <c r="C532" s="1501"/>
      <c r="D532" s="1501"/>
      <c r="E532" s="1501"/>
      <c r="F532" s="1501"/>
      <c r="G532" s="1501"/>
      <c r="H532" s="1502"/>
      <c r="I532" t="s">
        <v>421</v>
      </c>
      <c r="AC532" s="1469" t="s">
        <v>591</v>
      </c>
      <c r="AD532" s="1470"/>
      <c r="AE532" s="1470"/>
      <c r="AF532" s="1470"/>
      <c r="AG532" s="13" t="s">
        <v>403</v>
      </c>
      <c r="AH532" s="1378"/>
      <c r="AI532" s="1378"/>
      <c r="AJ532" s="1378"/>
      <c r="AK532" s="1379"/>
      <c r="AZ532" s="3"/>
      <c r="BA532" s="3"/>
      <c r="BB532" s="3"/>
      <c r="BC532" s="3"/>
      <c r="BD532" s="3"/>
      <c r="BE532" s="3"/>
      <c r="BF532" s="3"/>
      <c r="BG532" s="3"/>
      <c r="BH532" s="3"/>
      <c r="BI532" s="3"/>
      <c r="BJ532" s="3"/>
      <c r="BK532" s="3"/>
      <c r="BL532" s="3"/>
      <c r="BM532" s="3"/>
      <c r="BN532" s="3" t="s">
        <v>2072</v>
      </c>
    </row>
    <row r="533" spans="2:66" ht="12.9" customHeight="1">
      <c r="B533" s="1519"/>
      <c r="C533" s="1501"/>
      <c r="D533" s="1501"/>
      <c r="E533" s="1501"/>
      <c r="F533" s="1501"/>
      <c r="G533" s="1501"/>
      <c r="H533" s="1502"/>
      <c r="I533" s="48" t="s">
        <v>422</v>
      </c>
      <c r="J533" s="48"/>
      <c r="K533" s="48"/>
      <c r="L533" s="48"/>
      <c r="M533" s="48"/>
      <c r="N533" s="48"/>
      <c r="O533" s="48"/>
      <c r="P533" s="48"/>
      <c r="Q533" s="48"/>
      <c r="R533" s="48"/>
      <c r="S533" s="48"/>
      <c r="T533" s="48"/>
      <c r="U533" s="48"/>
      <c r="V533" s="48"/>
      <c r="W533" s="48"/>
      <c r="X533" s="48"/>
      <c r="Y533" s="48"/>
      <c r="Z533" s="48"/>
      <c r="AA533" s="48"/>
      <c r="AB533" s="48"/>
      <c r="AC533" s="1469" t="s">
        <v>591</v>
      </c>
      <c r="AD533" s="1470"/>
      <c r="AE533" s="1470"/>
      <c r="AF533" s="1470"/>
      <c r="AG533" s="38" t="s">
        <v>403</v>
      </c>
      <c r="AH533" s="1378"/>
      <c r="AI533" s="1378"/>
      <c r="AJ533" s="1378"/>
      <c r="AK533" s="1379"/>
      <c r="AZ533" s="3"/>
      <c r="BA533" s="3"/>
      <c r="BB533" s="3"/>
      <c r="BC533" s="3"/>
      <c r="BD533" s="3"/>
      <c r="BE533" s="3"/>
      <c r="BF533" s="3"/>
      <c r="BG533" s="3"/>
      <c r="BH533" s="3"/>
      <c r="BI533" s="3"/>
      <c r="BJ533" s="3"/>
      <c r="BK533" s="3"/>
      <c r="BL533" s="3"/>
      <c r="BM533" s="3"/>
      <c r="BN533" s="3" t="s">
        <v>2073</v>
      </c>
    </row>
    <row r="534" spans="2:66" ht="12.9" customHeight="1">
      <c r="B534" s="1519"/>
      <c r="C534" s="1501"/>
      <c r="D534" s="1501"/>
      <c r="E534" s="1501"/>
      <c r="F534" s="1501"/>
      <c r="G534" s="1501"/>
      <c r="H534" s="1502"/>
      <c r="I534" s="42" t="s">
        <v>423</v>
      </c>
      <c r="J534" s="42"/>
      <c r="K534" s="42"/>
      <c r="L534" s="42"/>
      <c r="M534" s="42"/>
      <c r="N534" s="42"/>
      <c r="O534" s="1764" t="s">
        <v>334</v>
      </c>
      <c r="P534" s="1765"/>
      <c r="Q534" s="1765"/>
      <c r="R534" s="1765"/>
      <c r="S534" s="1765"/>
      <c r="T534" s="1765"/>
      <c r="U534" s="1765"/>
      <c r="V534" s="1765"/>
      <c r="W534" s="1765"/>
      <c r="X534" s="1765"/>
      <c r="Y534" s="1765"/>
      <c r="Z534" s="1765"/>
      <c r="AA534" s="1765"/>
      <c r="AC534" s="1469" t="s">
        <v>591</v>
      </c>
      <c r="AD534" s="1470"/>
      <c r="AE534" s="1470"/>
      <c r="AF534" s="1470"/>
      <c r="AG534" s="13" t="s">
        <v>403</v>
      </c>
      <c r="AH534" s="1378"/>
      <c r="AI534" s="1378"/>
      <c r="AJ534" s="1378"/>
      <c r="AK534" s="1379"/>
      <c r="AZ534" s="3"/>
      <c r="BA534" s="3"/>
      <c r="BB534" s="3"/>
      <c r="BC534" s="3"/>
      <c r="BD534" s="3"/>
      <c r="BE534" s="3"/>
      <c r="BF534" s="3"/>
      <c r="BG534" s="3"/>
      <c r="BH534" s="3"/>
      <c r="BI534" s="3"/>
      <c r="BJ534" s="3"/>
      <c r="BK534" s="3"/>
      <c r="BL534" s="3"/>
      <c r="BM534" s="3"/>
      <c r="BN534" s="3" t="s">
        <v>2074</v>
      </c>
    </row>
    <row r="535" spans="2:66" ht="12.9" customHeight="1">
      <c r="B535" s="1519"/>
      <c r="C535" s="1501"/>
      <c r="D535" s="1501"/>
      <c r="E535" s="1501"/>
      <c r="F535" s="1501"/>
      <c r="G535" s="1501"/>
      <c r="H535" s="1502"/>
      <c r="I535" t="s">
        <v>421</v>
      </c>
      <c r="AC535" s="1469" t="s">
        <v>591</v>
      </c>
      <c r="AD535" s="1470"/>
      <c r="AE535" s="1470"/>
      <c r="AF535" s="1470"/>
      <c r="AG535" s="13" t="s">
        <v>403</v>
      </c>
      <c r="AH535" s="1378"/>
      <c r="AI535" s="1378"/>
      <c r="AJ535" s="1378"/>
      <c r="AK535" s="1379"/>
      <c r="AZ535" s="3"/>
      <c r="BA535" s="3"/>
      <c r="BB535" s="3"/>
      <c r="BC535" s="3"/>
      <c r="BD535" s="3"/>
      <c r="BE535" s="3"/>
      <c r="BF535" s="3"/>
      <c r="BG535" s="3"/>
      <c r="BH535" s="3"/>
      <c r="BI535" s="3"/>
      <c r="BJ535" s="3"/>
      <c r="BK535" s="3"/>
      <c r="BL535" s="3"/>
      <c r="BM535" s="3"/>
      <c r="BN535" s="3" t="s">
        <v>2075</v>
      </c>
    </row>
    <row r="536" spans="2:66" ht="12.9" customHeight="1">
      <c r="B536" s="1519"/>
      <c r="C536" s="1501"/>
      <c r="D536" s="1501"/>
      <c r="E536" s="1501"/>
      <c r="F536" s="1501"/>
      <c r="G536" s="1501"/>
      <c r="H536" s="1502"/>
      <c r="I536" s="48" t="s">
        <v>422</v>
      </c>
      <c r="J536" s="48"/>
      <c r="K536" s="48"/>
      <c r="L536" s="48"/>
      <c r="M536" s="48"/>
      <c r="N536" s="48"/>
      <c r="O536" s="48"/>
      <c r="P536" s="48"/>
      <c r="Q536" s="48"/>
      <c r="R536" s="48"/>
      <c r="S536" s="48"/>
      <c r="T536" s="48"/>
      <c r="U536" s="48"/>
      <c r="V536" s="48"/>
      <c r="W536" s="48"/>
      <c r="X536" s="48"/>
      <c r="Y536" s="48"/>
      <c r="Z536" s="48"/>
      <c r="AA536" s="48"/>
      <c r="AB536" s="48"/>
      <c r="AC536" s="1469" t="s">
        <v>591</v>
      </c>
      <c r="AD536" s="1470"/>
      <c r="AE536" s="1470"/>
      <c r="AF536" s="1470"/>
      <c r="AG536" s="38" t="s">
        <v>403</v>
      </c>
      <c r="AH536" s="1378"/>
      <c r="AI536" s="1378"/>
      <c r="AJ536" s="1378"/>
      <c r="AK536" s="1379"/>
      <c r="AZ536" s="3"/>
      <c r="BA536" s="3"/>
      <c r="BB536" s="3"/>
      <c r="BC536" s="3"/>
      <c r="BD536" s="3"/>
      <c r="BE536" s="3"/>
      <c r="BF536" s="3"/>
      <c r="BG536" s="3"/>
      <c r="BH536" s="3"/>
      <c r="BI536" s="3"/>
      <c r="BJ536" s="3"/>
      <c r="BK536" s="3"/>
      <c r="BL536" s="3"/>
      <c r="BM536" s="3"/>
      <c r="BN536" s="3" t="s">
        <v>2076</v>
      </c>
    </row>
    <row r="537" spans="2:66" ht="12.9" customHeight="1">
      <c r="B537" s="1519"/>
      <c r="C537" s="1501"/>
      <c r="D537" s="1501"/>
      <c r="E537" s="1501"/>
      <c r="F537" s="1501"/>
      <c r="G537" s="1501"/>
      <c r="H537" s="1502"/>
      <c r="I537" s="42" t="s">
        <v>423</v>
      </c>
      <c r="J537" s="42"/>
      <c r="K537" s="42"/>
      <c r="L537" s="42"/>
      <c r="M537" s="42"/>
      <c r="N537" s="42"/>
      <c r="O537" s="1764" t="s">
        <v>334</v>
      </c>
      <c r="P537" s="1765"/>
      <c r="Q537" s="1765"/>
      <c r="R537" s="1765"/>
      <c r="S537" s="1765"/>
      <c r="T537" s="1765"/>
      <c r="U537" s="1765"/>
      <c r="V537" s="1765"/>
      <c r="W537" s="1765"/>
      <c r="X537" s="1765"/>
      <c r="Y537" s="1765"/>
      <c r="Z537" s="1765"/>
      <c r="AA537" s="1765"/>
      <c r="AC537" s="1469" t="s">
        <v>591</v>
      </c>
      <c r="AD537" s="1470"/>
      <c r="AE537" s="1470"/>
      <c r="AF537" s="1470"/>
      <c r="AG537" s="13" t="s">
        <v>403</v>
      </c>
      <c r="AH537" s="1378"/>
      <c r="AI537" s="1378"/>
      <c r="AJ537" s="1378"/>
      <c r="AK537" s="1379"/>
      <c r="AZ537" s="3"/>
      <c r="BA537" s="3"/>
      <c r="BB537" s="3"/>
      <c r="BC537" s="3"/>
      <c r="BD537" s="3"/>
      <c r="BE537" s="3"/>
      <c r="BF537" s="3"/>
      <c r="BG537" s="3"/>
      <c r="BH537" s="3"/>
      <c r="BI537" s="3"/>
      <c r="BJ537" s="3"/>
      <c r="BK537" s="3"/>
      <c r="BL537" s="3"/>
      <c r="BM537" s="3"/>
      <c r="BN537" s="3" t="s">
        <v>2077</v>
      </c>
    </row>
    <row r="538" spans="2:66" ht="12.9" customHeight="1">
      <c r="B538" s="1519"/>
      <c r="C538" s="1501"/>
      <c r="D538" s="1501"/>
      <c r="E538" s="1501"/>
      <c r="F538" s="1501"/>
      <c r="G538" s="1501"/>
      <c r="H538" s="1502"/>
      <c r="I538" t="s">
        <v>421</v>
      </c>
      <c r="AC538" s="1469" t="s">
        <v>591</v>
      </c>
      <c r="AD538" s="1470"/>
      <c r="AE538" s="1470"/>
      <c r="AF538" s="1470"/>
      <c r="AG538" s="13" t="s">
        <v>403</v>
      </c>
      <c r="AH538" s="1378"/>
      <c r="AI538" s="1378"/>
      <c r="AJ538" s="1378"/>
      <c r="AK538" s="1379"/>
      <c r="AZ538" s="3"/>
      <c r="BA538" s="3"/>
      <c r="BB538" s="3"/>
      <c r="BC538" s="3"/>
      <c r="BD538" s="3"/>
      <c r="BE538" s="3"/>
      <c r="BF538" s="3"/>
      <c r="BG538" s="3"/>
      <c r="BH538" s="3"/>
      <c r="BI538" s="3"/>
      <c r="BJ538" s="3"/>
      <c r="BK538" s="3"/>
      <c r="BL538" s="3"/>
      <c r="BM538" s="3"/>
      <c r="BN538" s="3" t="s">
        <v>2078</v>
      </c>
    </row>
    <row r="539" spans="2:66" ht="12.9" customHeight="1">
      <c r="B539" s="1519"/>
      <c r="C539" s="1501"/>
      <c r="D539" s="1501"/>
      <c r="E539" s="1501"/>
      <c r="F539" s="1501"/>
      <c r="G539" s="1501"/>
      <c r="H539" s="1502"/>
      <c r="I539" s="48" t="s">
        <v>422</v>
      </c>
      <c r="J539" s="48"/>
      <c r="K539" s="48"/>
      <c r="L539" s="48"/>
      <c r="M539" s="48"/>
      <c r="N539" s="48"/>
      <c r="O539" s="48"/>
      <c r="P539" s="48"/>
      <c r="Q539" s="48"/>
      <c r="R539" s="48"/>
      <c r="S539" s="48"/>
      <c r="T539" s="48"/>
      <c r="U539" s="48"/>
      <c r="V539" s="48"/>
      <c r="W539" s="48"/>
      <c r="X539" s="48"/>
      <c r="Y539" s="48"/>
      <c r="Z539" s="48"/>
      <c r="AA539" s="48"/>
      <c r="AB539" s="48"/>
      <c r="AC539" s="1469" t="s">
        <v>591</v>
      </c>
      <c r="AD539" s="1470"/>
      <c r="AE539" s="1470"/>
      <c r="AF539" s="1470"/>
      <c r="AG539" s="38" t="s">
        <v>403</v>
      </c>
      <c r="AH539" s="1378"/>
      <c r="AI539" s="1378"/>
      <c r="AJ539" s="1378"/>
      <c r="AK539" s="1379"/>
      <c r="AZ539" s="3"/>
      <c r="BA539" s="3"/>
      <c r="BB539" s="3"/>
      <c r="BC539" s="3"/>
      <c r="BD539" s="3"/>
      <c r="BE539" s="3"/>
      <c r="BF539" s="3"/>
      <c r="BG539" s="3"/>
      <c r="BH539" s="3"/>
      <c r="BI539" s="3"/>
      <c r="BJ539" s="3"/>
      <c r="BK539" s="3"/>
      <c r="BL539" s="3"/>
      <c r="BM539" s="3"/>
      <c r="BN539" s="3" t="s">
        <v>2079</v>
      </c>
    </row>
    <row r="540" spans="2:66" ht="12.9" customHeight="1">
      <c r="B540" s="1519"/>
      <c r="C540" s="1501"/>
      <c r="D540" s="1501"/>
      <c r="E540" s="1501"/>
      <c r="F540" s="1501"/>
      <c r="G540" s="1501"/>
      <c r="H540" s="1502"/>
      <c r="I540" s="42" t="s">
        <v>423</v>
      </c>
      <c r="J540" s="42"/>
      <c r="K540" s="42"/>
      <c r="L540" s="42"/>
      <c r="M540" s="42"/>
      <c r="N540" s="42"/>
      <c r="O540" s="1764" t="s">
        <v>334</v>
      </c>
      <c r="P540" s="1765"/>
      <c r="Q540" s="1765"/>
      <c r="R540" s="1765"/>
      <c r="S540" s="1765"/>
      <c r="T540" s="1765"/>
      <c r="U540" s="1765"/>
      <c r="V540" s="1765"/>
      <c r="W540" s="1765"/>
      <c r="X540" s="1765"/>
      <c r="Y540" s="1765"/>
      <c r="Z540" s="1765"/>
      <c r="AA540" s="1765"/>
      <c r="AC540" s="1469" t="s">
        <v>591</v>
      </c>
      <c r="AD540" s="1470"/>
      <c r="AE540" s="1470"/>
      <c r="AF540" s="1470"/>
      <c r="AG540" s="13" t="s">
        <v>403</v>
      </c>
      <c r="AH540" s="1378"/>
      <c r="AI540" s="1378"/>
      <c r="AJ540" s="1378"/>
      <c r="AK540" s="1379"/>
      <c r="AZ540" s="3"/>
      <c r="BA540" s="3"/>
      <c r="BB540" s="3"/>
      <c r="BC540" s="3"/>
      <c r="BD540" s="3"/>
      <c r="BE540" s="3"/>
      <c r="BF540" s="3"/>
      <c r="BG540" s="3"/>
      <c r="BH540" s="3"/>
      <c r="BI540" s="3"/>
      <c r="BJ540" s="3"/>
      <c r="BK540" s="3"/>
      <c r="BL540" s="3"/>
      <c r="BM540" s="3"/>
      <c r="BN540" s="3" t="s">
        <v>2080</v>
      </c>
    </row>
    <row r="541" spans="2:66" ht="12.9" customHeight="1">
      <c r="B541" s="1519"/>
      <c r="C541" s="1501"/>
      <c r="D541" s="1501"/>
      <c r="E541" s="1501"/>
      <c r="F541" s="1501"/>
      <c r="G541" s="1501"/>
      <c r="H541" s="1502"/>
      <c r="I541" t="s">
        <v>421</v>
      </c>
      <c r="AC541" s="1469" t="s">
        <v>591</v>
      </c>
      <c r="AD541" s="1470"/>
      <c r="AE541" s="1470"/>
      <c r="AF541" s="1470"/>
      <c r="AG541" s="38" t="s">
        <v>403</v>
      </c>
      <c r="AH541" s="1378"/>
      <c r="AI541" s="1378"/>
      <c r="AJ541" s="1378"/>
      <c r="AK541" s="1379"/>
      <c r="AZ541" s="3"/>
      <c r="BA541" s="3"/>
      <c r="BB541" s="3"/>
      <c r="BC541" s="3"/>
      <c r="BD541" s="3"/>
      <c r="BE541" s="3"/>
      <c r="BF541" s="3"/>
      <c r="BG541" s="3"/>
      <c r="BH541" s="3"/>
      <c r="BI541" s="3"/>
      <c r="BJ541" s="3"/>
      <c r="BK541" s="3"/>
      <c r="BL541" s="3"/>
      <c r="BM541" s="3"/>
      <c r="BN541" s="3" t="s">
        <v>2081</v>
      </c>
    </row>
    <row r="542" spans="2:66" ht="12.9" customHeight="1">
      <c r="B542" s="1519"/>
      <c r="C542" s="1501"/>
      <c r="D542" s="1501"/>
      <c r="E542" s="1501"/>
      <c r="F542" s="1501"/>
      <c r="G542" s="1501"/>
      <c r="H542" s="1502"/>
      <c r="I542" s="48" t="s">
        <v>422</v>
      </c>
      <c r="J542" s="48"/>
      <c r="K542" s="48"/>
      <c r="L542" s="48"/>
      <c r="M542" s="48"/>
      <c r="N542" s="48"/>
      <c r="O542" s="48"/>
      <c r="P542" s="48"/>
      <c r="Q542" s="48"/>
      <c r="R542" s="48"/>
      <c r="S542" s="48"/>
      <c r="T542" s="48"/>
      <c r="U542" s="48"/>
      <c r="V542" s="48"/>
      <c r="W542" s="48"/>
      <c r="X542" s="48"/>
      <c r="Y542" s="48"/>
      <c r="Z542" s="48"/>
      <c r="AA542" s="48"/>
      <c r="AB542" s="48"/>
      <c r="AC542" s="1469" t="s">
        <v>591</v>
      </c>
      <c r="AD542" s="1470"/>
      <c r="AE542" s="1470"/>
      <c r="AF542" s="1470"/>
      <c r="AG542" s="13" t="s">
        <v>403</v>
      </c>
      <c r="AH542" s="1378"/>
      <c r="AI542" s="1378"/>
      <c r="AJ542" s="1378"/>
      <c r="AK542" s="1379"/>
      <c r="AZ542" s="3"/>
      <c r="BA542" s="3"/>
      <c r="BB542" s="3"/>
      <c r="BC542" s="3"/>
      <c r="BD542" s="3"/>
      <c r="BE542" s="3"/>
      <c r="BF542" s="3"/>
      <c r="BG542" s="3"/>
      <c r="BH542" s="3"/>
      <c r="BI542" s="3"/>
      <c r="BJ542" s="3"/>
      <c r="BK542" s="3"/>
      <c r="BL542" s="3"/>
      <c r="BM542" s="3"/>
      <c r="BN542" s="3" t="s">
        <v>2082</v>
      </c>
    </row>
    <row r="543" spans="2:66" ht="12.9" customHeight="1">
      <c r="B543" s="1519"/>
      <c r="C543" s="1501"/>
      <c r="D543" s="1501"/>
      <c r="E543" s="1501"/>
      <c r="F543" s="1501"/>
      <c r="G543" s="1501"/>
      <c r="H543" s="1502"/>
      <c r="I543" s="42" t="s">
        <v>423</v>
      </c>
      <c r="J543" s="42"/>
      <c r="K543" s="42"/>
      <c r="L543" s="42"/>
      <c r="M543" s="42"/>
      <c r="N543" s="42"/>
      <c r="O543" s="1764" t="s">
        <v>334</v>
      </c>
      <c r="P543" s="1765"/>
      <c r="Q543" s="1765"/>
      <c r="R543" s="1765"/>
      <c r="S543" s="1765"/>
      <c r="T543" s="1765"/>
      <c r="U543" s="1765"/>
      <c r="V543" s="1765"/>
      <c r="W543" s="1765"/>
      <c r="X543" s="1765"/>
      <c r="Y543" s="1765"/>
      <c r="Z543" s="1765"/>
      <c r="AA543" s="1765"/>
      <c r="AC543" s="1469" t="s">
        <v>591</v>
      </c>
      <c r="AD543" s="1470"/>
      <c r="AE543" s="1470"/>
      <c r="AF543" s="1470"/>
      <c r="AG543" s="38" t="s">
        <v>403</v>
      </c>
      <c r="AH543" s="1378"/>
      <c r="AI543" s="1378"/>
      <c r="AJ543" s="1378"/>
      <c r="AK543" s="1379"/>
      <c r="AZ543" s="3"/>
      <c r="BA543" s="3"/>
      <c r="BB543" s="3"/>
      <c r="BC543" s="3"/>
      <c r="BD543" s="3"/>
      <c r="BE543" s="3"/>
      <c r="BF543" s="3"/>
      <c r="BG543" s="3"/>
      <c r="BH543" s="3"/>
      <c r="BI543" s="3"/>
      <c r="BJ543" s="3"/>
      <c r="BK543" s="3"/>
      <c r="BL543" s="3"/>
      <c r="BM543" s="3"/>
      <c r="BN543" s="3" t="s">
        <v>2083</v>
      </c>
    </row>
    <row r="544" spans="2:66" ht="12.9" customHeight="1">
      <c r="B544" s="1519"/>
      <c r="C544" s="1501"/>
      <c r="D544" s="1501"/>
      <c r="E544" s="1501"/>
      <c r="F544" s="1501"/>
      <c r="G544" s="1501"/>
      <c r="H544" s="1502"/>
      <c r="I544" t="s">
        <v>421</v>
      </c>
      <c r="AC544" s="1469" t="s">
        <v>591</v>
      </c>
      <c r="AD544" s="1470"/>
      <c r="AE544" s="1470"/>
      <c r="AF544" s="1470"/>
      <c r="AG544" s="13" t="s">
        <v>403</v>
      </c>
      <c r="AH544" s="1378"/>
      <c r="AI544" s="1378"/>
      <c r="AJ544" s="1378"/>
      <c r="AK544" s="1379"/>
      <c r="AZ544" s="3"/>
      <c r="BA544" s="3"/>
      <c r="BB544" s="3"/>
      <c r="BC544" s="3"/>
      <c r="BD544" s="3"/>
      <c r="BE544" s="3"/>
      <c r="BF544" s="3"/>
      <c r="BG544" s="3"/>
      <c r="BH544" s="3"/>
      <c r="BI544" s="3"/>
      <c r="BJ544" s="3"/>
      <c r="BK544" s="3"/>
      <c r="BL544" s="3"/>
      <c r="BM544" s="3"/>
      <c r="BN544" s="3" t="s">
        <v>2084</v>
      </c>
    </row>
    <row r="545" spans="1:66" ht="12.9" customHeight="1">
      <c r="B545" s="1519"/>
      <c r="C545" s="1501"/>
      <c r="D545" s="1501"/>
      <c r="E545" s="1501"/>
      <c r="F545" s="1501"/>
      <c r="G545" s="1501"/>
      <c r="H545" s="1502"/>
      <c r="I545" s="48" t="s">
        <v>422</v>
      </c>
      <c r="J545" s="48"/>
      <c r="K545" s="48"/>
      <c r="L545" s="48"/>
      <c r="M545" s="48"/>
      <c r="N545" s="48"/>
      <c r="O545" s="48"/>
      <c r="P545" s="48"/>
      <c r="Q545" s="48"/>
      <c r="R545" s="48"/>
      <c r="S545" s="48"/>
      <c r="T545" s="48"/>
      <c r="U545" s="48"/>
      <c r="V545" s="48"/>
      <c r="W545" s="48"/>
      <c r="X545" s="48"/>
      <c r="Y545" s="48"/>
      <c r="Z545" s="48"/>
      <c r="AA545" s="48"/>
      <c r="AB545" s="48"/>
      <c r="AC545" s="1469" t="s">
        <v>591</v>
      </c>
      <c r="AD545" s="1470"/>
      <c r="AE545" s="1470"/>
      <c r="AF545" s="1470"/>
      <c r="AG545" s="38" t="s">
        <v>403</v>
      </c>
      <c r="AH545" s="1378"/>
      <c r="AI545" s="1378"/>
      <c r="AJ545" s="1378"/>
      <c r="AK545" s="1379"/>
      <c r="AZ545" s="3"/>
      <c r="BA545" s="3"/>
      <c r="BB545" s="3"/>
      <c r="BC545" s="3"/>
      <c r="BD545" s="3"/>
      <c r="BE545" s="3"/>
      <c r="BF545" s="3"/>
      <c r="BG545" s="3"/>
      <c r="BH545" s="3"/>
      <c r="BI545" s="3"/>
      <c r="BJ545" s="3"/>
      <c r="BK545" s="3"/>
      <c r="BL545" s="3"/>
      <c r="BM545" s="3"/>
      <c r="BN545" s="3" t="s">
        <v>2085</v>
      </c>
    </row>
    <row r="546" spans="1:66" ht="12.9" customHeight="1">
      <c r="B546" s="1519"/>
      <c r="C546" s="1501"/>
      <c r="D546" s="1501"/>
      <c r="E546" s="1501"/>
      <c r="F546" s="1501"/>
      <c r="G546" s="1501"/>
      <c r="H546" s="1502"/>
      <c r="I546" s="42" t="s">
        <v>562</v>
      </c>
      <c r="J546" s="42"/>
      <c r="K546" s="42"/>
      <c r="L546" s="42"/>
      <c r="M546" s="42"/>
      <c r="N546" s="42"/>
      <c r="O546" s="42"/>
      <c r="P546" s="42"/>
      <c r="Q546" s="42"/>
      <c r="R546" s="42"/>
      <c r="S546" s="42"/>
      <c r="T546" s="42"/>
      <c r="U546" s="42"/>
      <c r="V546" s="42"/>
      <c r="W546" s="42"/>
      <c r="AC546" s="1469" t="s">
        <v>591</v>
      </c>
      <c r="AD546" s="1470"/>
      <c r="AE546" s="1470"/>
      <c r="AF546" s="1470"/>
      <c r="AG546" s="38" t="s">
        <v>403</v>
      </c>
      <c r="AH546" s="1378"/>
      <c r="AI546" s="1378"/>
      <c r="AJ546" s="1378"/>
      <c r="AK546" s="1379"/>
      <c r="AZ546" s="3"/>
      <c r="BA546" s="3"/>
      <c r="BB546" s="3"/>
      <c r="BC546" s="3"/>
      <c r="BD546" s="3"/>
      <c r="BE546" s="3"/>
      <c r="BF546" s="3"/>
      <c r="BG546" s="3"/>
      <c r="BH546" s="3"/>
      <c r="BI546" s="3"/>
      <c r="BJ546" s="3"/>
      <c r="BK546" s="3"/>
      <c r="BL546" s="3"/>
      <c r="BM546" s="3"/>
      <c r="BN546" s="3"/>
    </row>
    <row r="547" spans="1:66" ht="12.9" customHeight="1">
      <c r="B547" s="1519"/>
      <c r="C547" s="1501"/>
      <c r="D547" s="1501"/>
      <c r="E547" s="1501"/>
      <c r="F547" s="1501"/>
      <c r="G547" s="1501"/>
      <c r="H547" s="1502"/>
      <c r="I547" t="s">
        <v>563</v>
      </c>
      <c r="AC547" s="1469">
        <v>11</v>
      </c>
      <c r="AD547" s="1470"/>
      <c r="AE547" s="1470"/>
      <c r="AF547" s="1470"/>
      <c r="AG547" s="13" t="s">
        <v>403</v>
      </c>
      <c r="AH547" s="1378">
        <v>2026</v>
      </c>
      <c r="AI547" s="1378"/>
      <c r="AJ547" s="1378"/>
      <c r="AK547" s="1379"/>
      <c r="AZ547" s="3"/>
      <c r="BA547" s="3"/>
      <c r="BB547" s="3"/>
      <c r="BC547" s="3"/>
      <c r="BD547" s="3"/>
      <c r="BE547" s="3"/>
      <c r="BF547" s="3"/>
      <c r="BG547" s="3"/>
      <c r="BH547" s="3"/>
      <c r="BI547" s="3"/>
      <c r="BJ547" s="3"/>
      <c r="BK547" s="3"/>
      <c r="BL547" s="3"/>
      <c r="BM547" s="3"/>
      <c r="BN547" s="3"/>
    </row>
    <row r="548" spans="1:66" ht="12.9" customHeight="1">
      <c r="B548" s="1519"/>
      <c r="C548" s="1501"/>
      <c r="D548" s="1501"/>
      <c r="E548" s="1501"/>
      <c r="F548" s="1501"/>
      <c r="G548" s="1501"/>
      <c r="H548" s="1502"/>
      <c r="I548" t="s">
        <v>564</v>
      </c>
      <c r="AC548" s="1469">
        <v>11</v>
      </c>
      <c r="AD548" s="1470"/>
      <c r="AE548" s="1470"/>
      <c r="AF548" s="1470"/>
      <c r="AG548" s="38" t="s">
        <v>403</v>
      </c>
      <c r="AH548" s="1378">
        <v>2028</v>
      </c>
      <c r="AI548" s="1378"/>
      <c r="AJ548" s="1378"/>
      <c r="AK548" s="1379"/>
      <c r="AZ548" s="3"/>
      <c r="BA548" s="3"/>
      <c r="BB548" s="3"/>
      <c r="BC548" s="3"/>
      <c r="BD548" s="3"/>
      <c r="BE548" s="3"/>
      <c r="BF548" s="3"/>
      <c r="BG548" s="3"/>
      <c r="BH548" s="3"/>
      <c r="BI548" s="3"/>
      <c r="BJ548" s="3"/>
      <c r="BK548" s="3"/>
      <c r="BL548" s="3"/>
      <c r="BM548" s="3"/>
      <c r="BN548" s="3"/>
    </row>
    <row r="549" spans="1:66" ht="12.9" customHeight="1">
      <c r="B549" s="1519"/>
      <c r="C549" s="1501"/>
      <c r="D549" s="1501"/>
      <c r="E549" s="1501"/>
      <c r="F549" s="1501"/>
      <c r="G549" s="1501"/>
      <c r="H549" s="1502"/>
      <c r="I549" t="s">
        <v>565</v>
      </c>
      <c r="AC549" s="1469">
        <v>11</v>
      </c>
      <c r="AD549" s="1470"/>
      <c r="AE549" s="1470"/>
      <c r="AF549" s="1470"/>
      <c r="AG549" s="38" t="s">
        <v>403</v>
      </c>
      <c r="AH549" s="1378">
        <v>2028</v>
      </c>
      <c r="AI549" s="1378"/>
      <c r="AJ549" s="1378"/>
      <c r="AK549" s="1379"/>
      <c r="AZ549" s="3"/>
      <c r="BA549" s="3"/>
      <c r="BB549" s="3"/>
      <c r="BC549" s="3"/>
      <c r="BD549" s="3"/>
      <c r="BE549" s="3"/>
      <c r="BF549" s="3"/>
      <c r="BG549" s="3"/>
      <c r="BH549" s="3"/>
      <c r="BI549" s="3"/>
      <c r="BJ549" s="3"/>
      <c r="BK549" s="3"/>
      <c r="BL549" s="3"/>
      <c r="BM549" s="3"/>
      <c r="BN549" s="3"/>
    </row>
    <row r="550" spans="1:66" ht="12.9" customHeight="1">
      <c r="B550" s="1520"/>
      <c r="C550" s="1503"/>
      <c r="D550" s="1503"/>
      <c r="E550" s="1503"/>
      <c r="F550" s="1503"/>
      <c r="G550" s="1503"/>
      <c r="H550" s="1504"/>
      <c r="I550" s="48" t="s">
        <v>451</v>
      </c>
      <c r="J550" s="48"/>
      <c r="K550" s="48"/>
      <c r="L550" s="48"/>
      <c r="M550" s="48"/>
      <c r="N550" s="48"/>
      <c r="O550" s="48"/>
      <c r="P550" s="48"/>
      <c r="Q550" s="48"/>
      <c r="R550" s="48"/>
      <c r="S550" s="48"/>
      <c r="T550" s="48"/>
      <c r="U550" s="48"/>
      <c r="V550" s="48"/>
      <c r="W550" s="48"/>
      <c r="X550" s="48"/>
      <c r="Y550" s="48"/>
      <c r="Z550" s="48"/>
      <c r="AA550" s="48"/>
      <c r="AB550" s="48"/>
      <c r="AC550" s="1469">
        <v>2</v>
      </c>
      <c r="AD550" s="1470"/>
      <c r="AE550" s="1470"/>
      <c r="AF550" s="1470"/>
      <c r="AG550" s="38" t="s">
        <v>403</v>
      </c>
      <c r="AH550" s="1378">
        <v>2029</v>
      </c>
      <c r="AI550" s="1378"/>
      <c r="AJ550" s="1378"/>
      <c r="AK550" s="1379"/>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68" t="s">
        <v>543</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319</v>
      </c>
      <c r="B555" s="2"/>
      <c r="C555" s="2" t="s">
        <v>452</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2057</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518" t="s">
        <v>2059</v>
      </c>
      <c r="C559" s="1499"/>
      <c r="D559" s="1499"/>
      <c r="E559" s="1499"/>
      <c r="F559" s="1499"/>
      <c r="G559" s="1499"/>
      <c r="H559" s="1499"/>
      <c r="I559" s="1499"/>
      <c r="J559" s="1499"/>
      <c r="K559" s="1499"/>
      <c r="L559" s="1500"/>
      <c r="M559" s="1518" t="s">
        <v>2060</v>
      </c>
      <c r="N559" s="1499"/>
      <c r="O559" s="1499"/>
      <c r="P559" s="1500"/>
      <c r="Q559" s="1518" t="s">
        <v>2086</v>
      </c>
      <c r="R559" s="1499"/>
      <c r="S559" s="1500"/>
      <c r="T559" s="1518" t="s">
        <v>2087</v>
      </c>
      <c r="U559" s="1499"/>
      <c r="V559" s="1500"/>
      <c r="W559" s="1518" t="s">
        <v>453</v>
      </c>
      <c r="X559" s="1499"/>
      <c r="Y559" s="1500"/>
      <c r="Z559" s="1518" t="s">
        <v>1828</v>
      </c>
      <c r="AA559" s="1499"/>
      <c r="AB559" s="1499"/>
      <c r="AC559" s="1499"/>
      <c r="AD559" s="1500"/>
      <c r="AE559" s="1518" t="s">
        <v>1665</v>
      </c>
      <c r="AF559" s="1499"/>
      <c r="AG559" s="1499"/>
      <c r="AH559" s="1500"/>
      <c r="AI559" s="1518" t="s">
        <v>1666</v>
      </c>
      <c r="AJ559" s="1499"/>
      <c r="AK559" s="1499"/>
      <c r="AL559" s="1500"/>
      <c r="AM559" s="1518" t="s">
        <v>454</v>
      </c>
      <c r="AN559" s="1499"/>
      <c r="AO559" s="1499"/>
      <c r="AP559" s="1499"/>
      <c r="AQ559" s="1499"/>
      <c r="AR559" s="1499"/>
      <c r="AS559" s="1500"/>
      <c r="BB559" s="3"/>
      <c r="BC559" s="3"/>
      <c r="BD559" s="3"/>
      <c r="BE559" s="3"/>
      <c r="BF559" s="3"/>
      <c r="BG559" s="3"/>
      <c r="BH559" s="3" t="s">
        <v>581</v>
      </c>
      <c r="BI559" s="3" t="str">
        <f>AG665</f>
        <v>Yes</v>
      </c>
    </row>
    <row r="560" spans="1:66" ht="12.9" customHeight="1">
      <c r="B560" s="1519"/>
      <c r="C560" s="1501"/>
      <c r="D560" s="1501"/>
      <c r="E560" s="1501"/>
      <c r="F560" s="1501"/>
      <c r="G560" s="1501"/>
      <c r="H560" s="1501"/>
      <c r="I560" s="1501"/>
      <c r="J560" s="1501"/>
      <c r="K560" s="1501"/>
      <c r="L560" s="1502"/>
      <c r="M560" s="1519"/>
      <c r="N560" s="1501"/>
      <c r="O560" s="1501"/>
      <c r="P560" s="1502"/>
      <c r="Q560" s="1519"/>
      <c r="R560" s="1501"/>
      <c r="S560" s="1502"/>
      <c r="T560" s="1519"/>
      <c r="U560" s="1501"/>
      <c r="V560" s="1502"/>
      <c r="W560" s="1519"/>
      <c r="X560" s="1501"/>
      <c r="Y560" s="1502"/>
      <c r="Z560" s="1519"/>
      <c r="AA560" s="1501"/>
      <c r="AB560" s="1501"/>
      <c r="AC560" s="1501"/>
      <c r="AD560" s="1502"/>
      <c r="AE560" s="1519"/>
      <c r="AF560" s="1501"/>
      <c r="AG560" s="1501"/>
      <c r="AH560" s="1502"/>
      <c r="AI560" s="1519"/>
      <c r="AJ560" s="1501"/>
      <c r="AK560" s="1501"/>
      <c r="AL560" s="1502"/>
      <c r="AM560" s="1519"/>
      <c r="AN560" s="1501"/>
      <c r="AO560" s="1501"/>
      <c r="AP560" s="1501"/>
      <c r="AQ560" s="1501"/>
      <c r="AR560" s="1501"/>
      <c r="AS560" s="1502"/>
      <c r="AU560" s="1141"/>
      <c r="BB560" s="3"/>
      <c r="BC560" s="3"/>
      <c r="BD560" s="3"/>
      <c r="BE560" s="3"/>
      <c r="BF560" s="3"/>
      <c r="BG560" s="3"/>
      <c r="BH560" s="3"/>
      <c r="BI560" s="3"/>
    </row>
    <row r="561" spans="1:61" ht="12.9" customHeight="1">
      <c r="B561" s="1520"/>
      <c r="C561" s="1503"/>
      <c r="D561" s="1503"/>
      <c r="E561" s="1503"/>
      <c r="F561" s="1503"/>
      <c r="G561" s="1503"/>
      <c r="H561" s="1503"/>
      <c r="I561" s="1503"/>
      <c r="J561" s="1503"/>
      <c r="K561" s="1503"/>
      <c r="L561" s="1504"/>
      <c r="M561" s="1520"/>
      <c r="N561" s="1503"/>
      <c r="O561" s="1503"/>
      <c r="P561" s="1504"/>
      <c r="Q561" s="1520"/>
      <c r="R561" s="1503"/>
      <c r="S561" s="1504"/>
      <c r="T561" s="1520"/>
      <c r="U561" s="1503"/>
      <c r="V561" s="1504"/>
      <c r="W561" s="1520"/>
      <c r="X561" s="1503"/>
      <c r="Y561" s="1504"/>
      <c r="Z561" s="1520"/>
      <c r="AA561" s="1503"/>
      <c r="AB561" s="1503"/>
      <c r="AC561" s="1503"/>
      <c r="AD561" s="1504"/>
      <c r="AE561" s="1520"/>
      <c r="AF561" s="1503"/>
      <c r="AG561" s="1503"/>
      <c r="AH561" s="1504"/>
      <c r="AI561" s="1520"/>
      <c r="AJ561" s="1503"/>
      <c r="AK561" s="1503"/>
      <c r="AL561" s="1504"/>
      <c r="AM561" s="1520"/>
      <c r="AN561" s="1503"/>
      <c r="AO561" s="1503"/>
      <c r="AP561" s="1503"/>
      <c r="AQ561" s="1503"/>
      <c r="AR561" s="1503"/>
      <c r="AS561" s="1504"/>
      <c r="AU561" s="1141"/>
      <c r="BB561" s="3"/>
      <c r="BC561" s="3"/>
      <c r="BD561" s="3"/>
      <c r="BE561" s="3"/>
      <c r="BF561" s="3"/>
      <c r="BG561" s="3"/>
      <c r="BH561" s="3"/>
      <c r="BI561" s="3"/>
    </row>
    <row r="562" spans="1:61" ht="12.9" customHeight="1">
      <c r="B562" s="51" t="s">
        <v>112</v>
      </c>
      <c r="C562" s="1465" t="s">
        <v>2728</v>
      </c>
      <c r="D562" s="1465"/>
      <c r="E562" s="1465"/>
      <c r="F562" s="1465"/>
      <c r="G562" s="1465"/>
      <c r="H562" s="1465"/>
      <c r="I562" s="1465"/>
      <c r="J562" s="1465"/>
      <c r="K562" s="1465"/>
      <c r="L562" s="1465"/>
      <c r="M562" s="1465" t="s">
        <v>2076</v>
      </c>
      <c r="N562" s="1465"/>
      <c r="O562" s="1465"/>
      <c r="P562" s="1465"/>
      <c r="Q562" s="1522">
        <v>30</v>
      </c>
      <c r="R562" s="1522"/>
      <c r="S562" s="1523"/>
      <c r="T562" s="1521"/>
      <c r="U562" s="1522"/>
      <c r="V562" s="1523"/>
      <c r="W562" s="1533">
        <v>5.7500000000000002E-2</v>
      </c>
      <c r="X562" s="1534"/>
      <c r="Y562" s="1535"/>
      <c r="Z562" s="1524" t="s">
        <v>2793</v>
      </c>
      <c r="AA562" s="1524"/>
      <c r="AB562" s="1524"/>
      <c r="AC562" s="1524"/>
      <c r="AD562" s="1524"/>
      <c r="AE562" s="1462">
        <v>1</v>
      </c>
      <c r="AF562" s="1463"/>
      <c r="AG562" s="1463"/>
      <c r="AH562" s="1464"/>
      <c r="AI562" s="1511"/>
      <c r="AJ562" s="1512"/>
      <c r="AK562" s="1512"/>
      <c r="AL562" s="1513"/>
      <c r="AM562" s="1466">
        <v>15800000</v>
      </c>
      <c r="AN562" s="1467"/>
      <c r="AO562" s="1467"/>
      <c r="AP562" s="1467"/>
      <c r="AQ562" s="1467"/>
      <c r="AR562" s="1467"/>
      <c r="AS562" s="1468"/>
      <c r="AT562" s="1142"/>
      <c r="AU562" s="1141"/>
      <c r="BB562" s="3"/>
      <c r="BC562" s="3"/>
      <c r="BD562" s="3"/>
      <c r="BE562" s="3"/>
      <c r="BF562" s="3"/>
      <c r="BG562" s="3"/>
      <c r="BH562" s="3"/>
      <c r="BI562" s="3"/>
    </row>
    <row r="563" spans="1:61" ht="12.9" customHeight="1">
      <c r="B563" s="52" t="s">
        <v>113</v>
      </c>
      <c r="C563" s="1740" t="s">
        <v>2729</v>
      </c>
      <c r="D563" s="1740"/>
      <c r="E563" s="1740"/>
      <c r="F563" s="1740"/>
      <c r="G563" s="1740"/>
      <c r="H563" s="1740"/>
      <c r="I563" s="1740"/>
      <c r="J563" s="1740"/>
      <c r="K563" s="1740"/>
      <c r="L563" s="1740"/>
      <c r="M563" s="1465" t="s">
        <v>2070</v>
      </c>
      <c r="N563" s="1465"/>
      <c r="O563" s="1465"/>
      <c r="P563" s="1465"/>
      <c r="Q563" s="1521">
        <v>30</v>
      </c>
      <c r="R563" s="1522"/>
      <c r="S563" s="1523"/>
      <c r="T563" s="1521"/>
      <c r="U563" s="1522"/>
      <c r="V563" s="1523"/>
      <c r="W563" s="1533">
        <v>6.5000000000000002E-2</v>
      </c>
      <c r="X563" s="1534"/>
      <c r="Y563" s="1535"/>
      <c r="Z563" s="1524" t="s">
        <v>2793</v>
      </c>
      <c r="AA563" s="1524"/>
      <c r="AB563" s="1524"/>
      <c r="AC563" s="1524"/>
      <c r="AD563" s="1524"/>
      <c r="AE563" s="1462">
        <v>1</v>
      </c>
      <c r="AF563" s="1463"/>
      <c r="AG563" s="1463"/>
      <c r="AH563" s="1464"/>
      <c r="AI563" s="1511"/>
      <c r="AJ563" s="1512"/>
      <c r="AK563" s="1512"/>
      <c r="AL563" s="1513"/>
      <c r="AM563" s="1466">
        <v>25630241</v>
      </c>
      <c r="AN563" s="1467"/>
      <c r="AO563" s="1467"/>
      <c r="AP563" s="1467"/>
      <c r="AQ563" s="1467"/>
      <c r="AR563" s="1467"/>
      <c r="AS563" s="1468"/>
      <c r="AT563" s="1142" t="str">
        <f>IF(AND(NOT(C562=""),C563="",NOT(C564="")),"!","")</f>
        <v/>
      </c>
      <c r="AU563" s="1141"/>
      <c r="BB563" s="3"/>
      <c r="BC563" s="3"/>
      <c r="BD563" s="3"/>
      <c r="BE563" s="3"/>
      <c r="BF563" s="3"/>
      <c r="BG563" s="3"/>
      <c r="BH563" s="3"/>
      <c r="BI563" s="3"/>
    </row>
    <row r="564" spans="1:61" ht="12.9" customHeight="1">
      <c r="B564" s="52" t="s">
        <v>119</v>
      </c>
      <c r="C564" s="1740" t="s">
        <v>2730</v>
      </c>
      <c r="D564" s="1740"/>
      <c r="E564" s="1740"/>
      <c r="F564" s="1740"/>
      <c r="G564" s="1740"/>
      <c r="H564" s="1740"/>
      <c r="I564" s="1740"/>
      <c r="J564" s="1740"/>
      <c r="K564" s="1740"/>
      <c r="L564" s="1740"/>
      <c r="M564" s="1465" t="s">
        <v>2067</v>
      </c>
      <c r="N564" s="1465"/>
      <c r="O564" s="1465"/>
      <c r="P564" s="1465"/>
      <c r="Q564" s="1521"/>
      <c r="R564" s="1522"/>
      <c r="S564" s="1523"/>
      <c r="T564" s="1521"/>
      <c r="U564" s="1522"/>
      <c r="V564" s="1523"/>
      <c r="W564" s="1533"/>
      <c r="X564" s="1534"/>
      <c r="Y564" s="1535"/>
      <c r="Z564" s="1524" t="s">
        <v>1184</v>
      </c>
      <c r="AA564" s="1524"/>
      <c r="AB564" s="1524"/>
      <c r="AC564" s="1524"/>
      <c r="AD564" s="1524"/>
      <c r="AE564" s="1462"/>
      <c r="AF564" s="1463"/>
      <c r="AG564" s="1463"/>
      <c r="AH564" s="1464"/>
      <c r="AI564" s="1511"/>
      <c r="AJ564" s="1512"/>
      <c r="AK564" s="1512"/>
      <c r="AL564" s="1513"/>
      <c r="AM564" s="1466">
        <v>4210612</v>
      </c>
      <c r="AN564" s="1467"/>
      <c r="AO564" s="1467"/>
      <c r="AP564" s="1467"/>
      <c r="AQ564" s="1467"/>
      <c r="AR564" s="1467"/>
      <c r="AS564" s="1468"/>
      <c r="AT564" s="1142" t="str">
        <f>IF(AND(NOT(C563=""),C564="",NOT(C565="")),"!","")</f>
        <v/>
      </c>
      <c r="AU564" s="1141"/>
      <c r="BB564" s="3"/>
      <c r="BC564" s="3"/>
      <c r="BD564" s="3"/>
      <c r="BE564" s="3"/>
      <c r="BF564" s="3"/>
      <c r="BG564" s="3"/>
      <c r="BH564" s="3"/>
      <c r="BI564" s="3"/>
    </row>
    <row r="565" spans="1:61" ht="12.9" customHeight="1">
      <c r="B565" s="52" t="s">
        <v>581</v>
      </c>
      <c r="C565" s="1740" t="s">
        <v>2731</v>
      </c>
      <c r="D565" s="1740"/>
      <c r="E565" s="1740"/>
      <c r="F565" s="1740"/>
      <c r="G565" s="1740"/>
      <c r="H565" s="1740"/>
      <c r="I565" s="1740"/>
      <c r="J565" s="1740"/>
      <c r="K565" s="1740"/>
      <c r="L565" s="1740"/>
      <c r="M565" s="1465" t="s">
        <v>2067</v>
      </c>
      <c r="N565" s="1465"/>
      <c r="O565" s="1465"/>
      <c r="P565" s="1465"/>
      <c r="Q565" s="1521"/>
      <c r="R565" s="1522"/>
      <c r="S565" s="1523"/>
      <c r="T565" s="1521"/>
      <c r="U565" s="1522"/>
      <c r="V565" s="1523"/>
      <c r="W565" s="1533"/>
      <c r="X565" s="1534"/>
      <c r="Y565" s="1535"/>
      <c r="Z565" s="1524" t="s">
        <v>1184</v>
      </c>
      <c r="AA565" s="1524"/>
      <c r="AB565" s="1524"/>
      <c r="AC565" s="1524"/>
      <c r="AD565" s="1524"/>
      <c r="AE565" s="1462"/>
      <c r="AF565" s="1463"/>
      <c r="AG565" s="1463"/>
      <c r="AH565" s="1464"/>
      <c r="AI565" s="1511"/>
      <c r="AJ565" s="1512"/>
      <c r="AK565" s="1512"/>
      <c r="AL565" s="1513"/>
      <c r="AM565" s="1466">
        <v>2268000</v>
      </c>
      <c r="AN565" s="1467"/>
      <c r="AO565" s="1467"/>
      <c r="AP565" s="1467"/>
      <c r="AQ565" s="1467"/>
      <c r="AR565" s="1467"/>
      <c r="AS565" s="1468"/>
      <c r="AT565" s="1142" t="str">
        <f>IF(AND(NOT(C564=""),C565="",NOT(C566="")),"!","")</f>
        <v/>
      </c>
      <c r="AU565" s="1141"/>
      <c r="BB565" s="3"/>
      <c r="BC565" s="3"/>
      <c r="BD565" s="3"/>
      <c r="BE565" s="3"/>
      <c r="BF565" s="3"/>
      <c r="BG565" s="3"/>
      <c r="BH565" s="3"/>
      <c r="BI565" s="3"/>
    </row>
    <row r="566" spans="1:61" ht="12.9" customHeight="1">
      <c r="B566" s="52" t="s">
        <v>763</v>
      </c>
      <c r="C566" s="1740" t="s">
        <v>2732</v>
      </c>
      <c r="D566" s="1740"/>
      <c r="E566" s="1740"/>
      <c r="F566" s="1740"/>
      <c r="G566" s="1740"/>
      <c r="H566" s="1740"/>
      <c r="I566" s="1740"/>
      <c r="J566" s="1740"/>
      <c r="K566" s="1740"/>
      <c r="L566" s="1740"/>
      <c r="M566" s="1465" t="s">
        <v>2072</v>
      </c>
      <c r="N566" s="1465"/>
      <c r="O566" s="1465"/>
      <c r="P566" s="1465"/>
      <c r="Q566" s="1521"/>
      <c r="R566" s="1522"/>
      <c r="S566" s="1523"/>
      <c r="T566" s="1521"/>
      <c r="U566" s="1522"/>
      <c r="V566" s="1523"/>
      <c r="W566" s="1533"/>
      <c r="X566" s="1534"/>
      <c r="Y566" s="1535"/>
      <c r="Z566" s="1524" t="s">
        <v>1184</v>
      </c>
      <c r="AA566" s="1524"/>
      <c r="AB566" s="1524"/>
      <c r="AC566" s="1524"/>
      <c r="AD566" s="1524"/>
      <c r="AE566" s="1462"/>
      <c r="AF566" s="1463"/>
      <c r="AG566" s="1463"/>
      <c r="AH566" s="1464"/>
      <c r="AI566" s="1511"/>
      <c r="AJ566" s="1512"/>
      <c r="AK566" s="1512"/>
      <c r="AL566" s="1513"/>
      <c r="AM566" s="1466">
        <v>1000000</v>
      </c>
      <c r="AN566" s="1467"/>
      <c r="AO566" s="1467"/>
      <c r="AP566" s="1467"/>
      <c r="AQ566" s="1467"/>
      <c r="AR566" s="1467"/>
      <c r="AS566" s="1468"/>
      <c r="AT566" s="1142" t="str">
        <f t="shared" ref="AT566:AT573" si="2">IF(AND(NOT(C565=""),C566="",NOT(C567="")),"!","")</f>
        <v/>
      </c>
      <c r="AU566" s="1141"/>
      <c r="BB566" s="3"/>
      <c r="BC566" s="3"/>
      <c r="BD566" s="3"/>
      <c r="BE566" s="3"/>
      <c r="BF566" s="3"/>
      <c r="BG566" s="3"/>
      <c r="BH566" s="3" t="s">
        <v>763</v>
      </c>
      <c r="BI566" s="3" t="str">
        <f>N673</f>
        <v>No</v>
      </c>
    </row>
    <row r="567" spans="1:61" ht="12.9" customHeight="1">
      <c r="B567" s="52" t="s">
        <v>584</v>
      </c>
      <c r="C567" s="1740" t="s">
        <v>2733</v>
      </c>
      <c r="D567" s="1740"/>
      <c r="E567" s="1740"/>
      <c r="F567" s="1740"/>
      <c r="G567" s="1740"/>
      <c r="H567" s="1740"/>
      <c r="I567" s="1740"/>
      <c r="J567" s="1740"/>
      <c r="K567" s="1740"/>
      <c r="L567" s="1740"/>
      <c r="M567" s="1465" t="s">
        <v>2062</v>
      </c>
      <c r="N567" s="1465"/>
      <c r="O567" s="1465"/>
      <c r="P567" s="1465"/>
      <c r="Q567" s="1521"/>
      <c r="R567" s="1522"/>
      <c r="S567" s="1523"/>
      <c r="T567" s="1521"/>
      <c r="U567" s="1522"/>
      <c r="V567" s="1523"/>
      <c r="W567" s="1533"/>
      <c r="X567" s="1534"/>
      <c r="Y567" s="1535"/>
      <c r="Z567" s="1524" t="s">
        <v>1184</v>
      </c>
      <c r="AA567" s="1524"/>
      <c r="AB567" s="1524"/>
      <c r="AC567" s="1524"/>
      <c r="AD567" s="1524"/>
      <c r="AE567" s="1462"/>
      <c r="AF567" s="1463"/>
      <c r="AG567" s="1463"/>
      <c r="AH567" s="1464"/>
      <c r="AI567" s="1511"/>
      <c r="AJ567" s="1512"/>
      <c r="AK567" s="1512"/>
      <c r="AL567" s="1513"/>
      <c r="AM567" s="1466">
        <v>6137377</v>
      </c>
      <c r="AN567" s="1467"/>
      <c r="AO567" s="1467"/>
      <c r="AP567" s="1467"/>
      <c r="AQ567" s="1467"/>
      <c r="AR567" s="1467"/>
      <c r="AS567" s="1468"/>
      <c r="AT567" s="1142" t="str">
        <f t="shared" si="2"/>
        <v/>
      </c>
      <c r="AU567" s="1141"/>
      <c r="BB567" s="3"/>
      <c r="BC567" s="3"/>
      <c r="BD567" s="3"/>
      <c r="BE567" s="3"/>
      <c r="BF567" s="3"/>
      <c r="BG567" s="3"/>
      <c r="BH567" s="3" t="s">
        <v>584</v>
      </c>
      <c r="BI567" s="3" t="str">
        <f>AG673</f>
        <v>No</v>
      </c>
    </row>
    <row r="568" spans="1:61" ht="12.9" customHeight="1">
      <c r="B568" s="52" t="s">
        <v>455</v>
      </c>
      <c r="C568" s="1740"/>
      <c r="D568" s="1740"/>
      <c r="E568" s="1740"/>
      <c r="F568" s="1740"/>
      <c r="G568" s="1740"/>
      <c r="H568" s="1740"/>
      <c r="I568" s="1740"/>
      <c r="J568" s="1740"/>
      <c r="K568" s="1740"/>
      <c r="L568" s="1740"/>
      <c r="M568" s="1465" t="s">
        <v>1184</v>
      </c>
      <c r="N568" s="1465"/>
      <c r="O568" s="1465"/>
      <c r="P568" s="1465"/>
      <c r="Q568" s="1521"/>
      <c r="R568" s="1522"/>
      <c r="S568" s="1523"/>
      <c r="T568" s="1521"/>
      <c r="U568" s="1522"/>
      <c r="V568" s="1523"/>
      <c r="W568" s="1533"/>
      <c r="X568" s="1534"/>
      <c r="Y568" s="1535"/>
      <c r="Z568" s="1524" t="s">
        <v>1184</v>
      </c>
      <c r="AA568" s="1524"/>
      <c r="AB568" s="1524"/>
      <c r="AC568" s="1524"/>
      <c r="AD568" s="1524"/>
      <c r="AE568" s="1462"/>
      <c r="AF568" s="1463"/>
      <c r="AG568" s="1463"/>
      <c r="AH568" s="1464"/>
      <c r="AI568" s="1511"/>
      <c r="AJ568" s="1512"/>
      <c r="AK568" s="1512"/>
      <c r="AL568" s="1513"/>
      <c r="AM568" s="1466"/>
      <c r="AN568" s="1467"/>
      <c r="AO568" s="1467"/>
      <c r="AP568" s="1467"/>
      <c r="AQ568" s="1467"/>
      <c r="AR568" s="1467"/>
      <c r="AS568" s="1468"/>
      <c r="AT568" s="1142" t="str">
        <f t="shared" si="2"/>
        <v/>
      </c>
      <c r="AU568" s="1141"/>
      <c r="BB568" s="3"/>
      <c r="BC568" s="3"/>
      <c r="BD568" s="3"/>
      <c r="BE568" s="3"/>
      <c r="BF568" s="3"/>
      <c r="BG568" s="3"/>
      <c r="BH568" s="3"/>
      <c r="BI568" s="3"/>
    </row>
    <row r="569" spans="1:61" ht="12.9" customHeight="1">
      <c r="B569" s="52" t="s">
        <v>456</v>
      </c>
      <c r="C569" s="1740"/>
      <c r="D569" s="1740"/>
      <c r="E569" s="1740"/>
      <c r="F569" s="1740"/>
      <c r="G569" s="1740"/>
      <c r="H569" s="1740"/>
      <c r="I569" s="1740"/>
      <c r="J569" s="1740"/>
      <c r="K569" s="1740"/>
      <c r="L569" s="1740"/>
      <c r="M569" s="1465" t="s">
        <v>1184</v>
      </c>
      <c r="N569" s="1465"/>
      <c r="O569" s="1465"/>
      <c r="P569" s="1465"/>
      <c r="Q569" s="1521"/>
      <c r="R569" s="1522"/>
      <c r="S569" s="1523"/>
      <c r="T569" s="1521"/>
      <c r="U569" s="1522"/>
      <c r="V569" s="1523"/>
      <c r="W569" s="1533"/>
      <c r="X569" s="1534"/>
      <c r="Y569" s="1535"/>
      <c r="Z569" s="1524" t="s">
        <v>1184</v>
      </c>
      <c r="AA569" s="1524"/>
      <c r="AB569" s="1524"/>
      <c r="AC569" s="1524"/>
      <c r="AD569" s="1524"/>
      <c r="AE569" s="1462"/>
      <c r="AF569" s="1463"/>
      <c r="AG569" s="1463"/>
      <c r="AH569" s="1464"/>
      <c r="AI569" s="1511"/>
      <c r="AJ569" s="1512"/>
      <c r="AK569" s="1512"/>
      <c r="AL569" s="1513"/>
      <c r="AM569" s="1466"/>
      <c r="AN569" s="1467"/>
      <c r="AO569" s="1467"/>
      <c r="AP569" s="1467"/>
      <c r="AQ569" s="1467"/>
      <c r="AR569" s="1467"/>
      <c r="AS569" s="1468"/>
      <c r="AT569" s="1142" t="str">
        <f t="shared" si="2"/>
        <v/>
      </c>
      <c r="AU569" s="1141"/>
      <c r="BB569" s="3"/>
      <c r="BC569" s="3"/>
      <c r="BD569" s="3"/>
      <c r="BE569" s="3"/>
      <c r="BF569" s="3"/>
      <c r="BG569" s="3"/>
      <c r="BH569" s="3"/>
      <c r="BI569" s="3"/>
    </row>
    <row r="570" spans="1:61" ht="12.9" customHeight="1">
      <c r="B570" s="52" t="s">
        <v>461</v>
      </c>
      <c r="C570" s="1740"/>
      <c r="D570" s="1740"/>
      <c r="E570" s="1740"/>
      <c r="F570" s="1740"/>
      <c r="G570" s="1740"/>
      <c r="H570" s="1740"/>
      <c r="I570" s="1740"/>
      <c r="J570" s="1740"/>
      <c r="K570" s="1740"/>
      <c r="L570" s="1740"/>
      <c r="M570" s="1465" t="s">
        <v>1184</v>
      </c>
      <c r="N570" s="1465"/>
      <c r="O570" s="1465"/>
      <c r="P570" s="1465"/>
      <c r="Q570" s="1521"/>
      <c r="R570" s="1522"/>
      <c r="S570" s="1523"/>
      <c r="T570" s="1521"/>
      <c r="U570" s="1522"/>
      <c r="V570" s="1523"/>
      <c r="W570" s="1533"/>
      <c r="X570" s="1534"/>
      <c r="Y570" s="1535"/>
      <c r="Z570" s="1524" t="s">
        <v>1184</v>
      </c>
      <c r="AA570" s="1524"/>
      <c r="AB570" s="1524"/>
      <c r="AC570" s="1524"/>
      <c r="AD570" s="1524"/>
      <c r="AE570" s="1462"/>
      <c r="AF570" s="1463"/>
      <c r="AG570" s="1463"/>
      <c r="AH570" s="1464"/>
      <c r="AI570" s="1511"/>
      <c r="AJ570" s="1512"/>
      <c r="AK570" s="1512"/>
      <c r="AL570" s="1513"/>
      <c r="AM570" s="1466"/>
      <c r="AN570" s="1467"/>
      <c r="AO570" s="1467"/>
      <c r="AP570" s="1467"/>
      <c r="AQ570" s="1467"/>
      <c r="AR570" s="1467"/>
      <c r="AS570" s="1468"/>
      <c r="AT570" s="1142" t="str">
        <f t="shared" si="2"/>
        <v/>
      </c>
      <c r="AU570" s="1141"/>
      <c r="BB570" s="3"/>
      <c r="BC570" s="3"/>
      <c r="BD570" s="3"/>
      <c r="BE570" s="3"/>
      <c r="BF570" s="3"/>
      <c r="BG570" s="3"/>
      <c r="BH570" s="3"/>
      <c r="BI570" s="3"/>
    </row>
    <row r="571" spans="1:61" ht="12.9" customHeight="1">
      <c r="B571" s="52" t="s">
        <v>646</v>
      </c>
      <c r="C571" s="1740"/>
      <c r="D571" s="1740"/>
      <c r="E571" s="1740"/>
      <c r="F571" s="1740"/>
      <c r="G571" s="1740"/>
      <c r="H571" s="1740"/>
      <c r="I571" s="1740"/>
      <c r="J571" s="1740"/>
      <c r="K571" s="1740"/>
      <c r="L571" s="1740"/>
      <c r="M571" s="1465" t="s">
        <v>1184</v>
      </c>
      <c r="N571" s="1465"/>
      <c r="O571" s="1465"/>
      <c r="P571" s="1465"/>
      <c r="Q571" s="1521"/>
      <c r="R571" s="1522"/>
      <c r="S571" s="1523"/>
      <c r="T571" s="1521"/>
      <c r="U571" s="1522"/>
      <c r="V571" s="1523"/>
      <c r="W571" s="1533"/>
      <c r="X571" s="1534"/>
      <c r="Y571" s="1535"/>
      <c r="Z571" s="1524" t="s">
        <v>1184</v>
      </c>
      <c r="AA571" s="1524"/>
      <c r="AB571" s="1524"/>
      <c r="AC571" s="1524"/>
      <c r="AD571" s="1524"/>
      <c r="AE571" s="1462"/>
      <c r="AF571" s="1463"/>
      <c r="AG571" s="1463"/>
      <c r="AH571" s="1464"/>
      <c r="AI571" s="1511"/>
      <c r="AJ571" s="1512"/>
      <c r="AK571" s="1512"/>
      <c r="AL571" s="1513"/>
      <c r="AM571" s="1466"/>
      <c r="AN571" s="1467"/>
      <c r="AO571" s="1467"/>
      <c r="AP571" s="1467"/>
      <c r="AQ571" s="1467"/>
      <c r="AR571" s="1467"/>
      <c r="AS571" s="1468"/>
      <c r="AT571" s="1142" t="str">
        <f t="shared" si="2"/>
        <v/>
      </c>
      <c r="BB571" s="3"/>
      <c r="BC571" s="3"/>
      <c r="BD571" s="3"/>
      <c r="BE571" s="3"/>
      <c r="BF571" s="3"/>
      <c r="BG571" s="3"/>
      <c r="BH571" s="3"/>
      <c r="BI571" s="3"/>
    </row>
    <row r="572" spans="1:61" ht="12.9" customHeight="1">
      <c r="B572" s="52" t="s">
        <v>362</v>
      </c>
      <c r="C572" s="1740"/>
      <c r="D572" s="1740"/>
      <c r="E572" s="1740"/>
      <c r="F572" s="1740"/>
      <c r="G572" s="1740"/>
      <c r="H572" s="1740"/>
      <c r="I572" s="1740"/>
      <c r="J572" s="1740"/>
      <c r="K572" s="1740"/>
      <c r="L572" s="1740"/>
      <c r="M572" s="1465" t="s">
        <v>1184</v>
      </c>
      <c r="N572" s="1465"/>
      <c r="O572" s="1465"/>
      <c r="P572" s="1465"/>
      <c r="Q572" s="1521"/>
      <c r="R572" s="1522"/>
      <c r="S572" s="1523"/>
      <c r="T572" s="1521"/>
      <c r="U572" s="1522"/>
      <c r="V572" s="1523"/>
      <c r="W572" s="1533"/>
      <c r="X572" s="1534"/>
      <c r="Y572" s="1535"/>
      <c r="Z572" s="1524" t="s">
        <v>1184</v>
      </c>
      <c r="AA572" s="1524"/>
      <c r="AB572" s="1524"/>
      <c r="AC572" s="1524"/>
      <c r="AD572" s="1524"/>
      <c r="AE572" s="1462"/>
      <c r="AF572" s="1463"/>
      <c r="AG572" s="1463"/>
      <c r="AH572" s="1464"/>
      <c r="AI572" s="1511"/>
      <c r="AJ572" s="1512"/>
      <c r="AK572" s="1512"/>
      <c r="AL572" s="1513"/>
      <c r="AM572" s="1466"/>
      <c r="AN572" s="1467"/>
      <c r="AO572" s="1467"/>
      <c r="AP572" s="1467"/>
      <c r="AQ572" s="1467"/>
      <c r="AR572" s="1467"/>
      <c r="AS572" s="1468"/>
      <c r="AT572" s="1142" t="str">
        <f t="shared" si="2"/>
        <v/>
      </c>
      <c r="BB572" s="3"/>
      <c r="BC572" s="3"/>
      <c r="BD572" s="3"/>
      <c r="BE572" s="3"/>
      <c r="BF572" s="3"/>
      <c r="BG572" s="3"/>
      <c r="BH572" s="3"/>
      <c r="BI572" s="3"/>
    </row>
    <row r="573" spans="1:61" ht="12.9" customHeight="1">
      <c r="B573" s="52" t="s">
        <v>363</v>
      </c>
      <c r="C573" s="1740"/>
      <c r="D573" s="1740"/>
      <c r="E573" s="1740"/>
      <c r="F573" s="1740"/>
      <c r="G573" s="1740"/>
      <c r="H573" s="1740"/>
      <c r="I573" s="1740"/>
      <c r="J573" s="1740"/>
      <c r="K573" s="1740"/>
      <c r="L573" s="1740"/>
      <c r="M573" s="1465" t="s">
        <v>1184</v>
      </c>
      <c r="N573" s="1465"/>
      <c r="O573" s="1465"/>
      <c r="P573" s="1465"/>
      <c r="Q573" s="1521"/>
      <c r="R573" s="1522"/>
      <c r="S573" s="1523"/>
      <c r="T573" s="1521"/>
      <c r="U573" s="1522"/>
      <c r="V573" s="1523"/>
      <c r="W573" s="1533"/>
      <c r="X573" s="1534"/>
      <c r="Y573" s="1535"/>
      <c r="Z573" s="1524" t="s">
        <v>1184</v>
      </c>
      <c r="AA573" s="1524"/>
      <c r="AB573" s="1524"/>
      <c r="AC573" s="1524"/>
      <c r="AD573" s="1524"/>
      <c r="AE573" s="1462"/>
      <c r="AF573" s="1463"/>
      <c r="AG573" s="1463"/>
      <c r="AH573" s="1464"/>
      <c r="AI573" s="1511"/>
      <c r="AJ573" s="1512"/>
      <c r="AK573" s="1512"/>
      <c r="AL573" s="1513"/>
      <c r="AM573" s="1466"/>
      <c r="AN573" s="1467"/>
      <c r="AO573" s="1467"/>
      <c r="AP573" s="1467"/>
      <c r="AQ573" s="1467"/>
      <c r="AR573" s="1467"/>
      <c r="AS573" s="1468"/>
      <c r="AT573" s="1142" t="str">
        <f t="shared" si="2"/>
        <v/>
      </c>
      <c r="BB573" s="3"/>
      <c r="BC573" s="3"/>
      <c r="BD573" s="3"/>
      <c r="BE573" s="3"/>
      <c r="BF573" s="3"/>
      <c r="BG573" s="3"/>
      <c r="BH573" s="3"/>
      <c r="BI573" s="3"/>
    </row>
    <row r="574" spans="1:61" ht="12.9" customHeight="1">
      <c r="B574" s="1682" t="s">
        <v>127</v>
      </c>
      <c r="C574" s="1683"/>
      <c r="D574" s="1683"/>
      <c r="E574" s="1683"/>
      <c r="F574" s="1683"/>
      <c r="G574" s="1683"/>
      <c r="H574" s="1683"/>
      <c r="I574" s="1683"/>
      <c r="J574" s="1683"/>
      <c r="K574" s="1683"/>
      <c r="L574" s="1683"/>
      <c r="M574" s="1683"/>
      <c r="N574" s="1683"/>
      <c r="O574" s="1683"/>
      <c r="P574" s="1683"/>
      <c r="Q574" s="1683"/>
      <c r="R574" s="1683"/>
      <c r="S574" s="1683"/>
      <c r="T574" s="1683"/>
      <c r="U574" s="1477"/>
      <c r="V574" s="1683"/>
      <c r="W574" s="1683"/>
      <c r="X574" s="1683"/>
      <c r="Y574" s="1683"/>
      <c r="Z574" s="1683"/>
      <c r="AA574" s="1683"/>
      <c r="AB574" s="1683"/>
      <c r="AC574" s="1683"/>
      <c r="AD574" s="1683"/>
      <c r="AE574" s="1683"/>
      <c r="AF574" s="1683"/>
      <c r="AG574" s="1683"/>
      <c r="AH574" s="1683"/>
      <c r="AI574" s="1683"/>
      <c r="AJ574" s="1683"/>
      <c r="AK574" s="1683"/>
      <c r="AL574" s="1684"/>
      <c r="AM574" s="1450">
        <f>SUM(AM562:AS573)</f>
        <v>55046230</v>
      </c>
      <c r="AN574" s="1451"/>
      <c r="AO574" s="1451"/>
      <c r="AP574" s="1451"/>
      <c r="AQ574" s="1451"/>
      <c r="AR574" s="1451"/>
      <c r="AS574" s="1452"/>
      <c r="BB574" s="3"/>
      <c r="BC574" s="3"/>
      <c r="BD574" s="3"/>
      <c r="BE574" s="3"/>
      <c r="BF574" s="3"/>
      <c r="BG574" s="3"/>
      <c r="BH574" s="3" t="s">
        <v>455</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 customHeight="1">
      <c r="A576" s="55" t="s">
        <v>112</v>
      </c>
      <c r="B576" t="s">
        <v>463</v>
      </c>
      <c r="G576" s="1471" t="str">
        <f>C562</f>
        <v>Citi Tax-exempt Construction Loa</v>
      </c>
      <c r="H576" s="1471"/>
      <c r="I576" s="1471"/>
      <c r="J576" s="1471"/>
      <c r="K576" s="1471"/>
      <c r="L576" s="1471"/>
      <c r="M576" s="1471"/>
      <c r="N576" s="1471"/>
      <c r="O576" s="1471"/>
      <c r="P576" s="1471"/>
      <c r="Q576" s="1471"/>
      <c r="R576" s="1471"/>
      <c r="S576" s="8"/>
      <c r="T576" s="55" t="s">
        <v>113</v>
      </c>
      <c r="U576" t="s">
        <v>463</v>
      </c>
      <c r="Z576" s="1471" t="str">
        <f>C563</f>
        <v>Citi Taxable Construction Loan</v>
      </c>
      <c r="AA576" s="1471"/>
      <c r="AB576" s="1471"/>
      <c r="AC576" s="1471"/>
      <c r="AD576" s="1471"/>
      <c r="AE576" s="1471"/>
      <c r="AF576" s="1471"/>
      <c r="AG576" s="1471"/>
      <c r="AH576" s="1471"/>
      <c r="AI576" s="1471"/>
      <c r="AJ576" s="1471"/>
      <c r="AK576" s="1471"/>
      <c r="BB576" s="3"/>
      <c r="BC576" s="3"/>
      <c r="BD576" s="3"/>
      <c r="BE576" s="3"/>
      <c r="BF576" s="3"/>
      <c r="BG576" s="3"/>
      <c r="BH576" s="3"/>
      <c r="BI576" s="3"/>
    </row>
    <row r="577" spans="1:61" ht="12.9" customHeight="1">
      <c r="A577" s="22"/>
      <c r="B577" t="s">
        <v>85</v>
      </c>
      <c r="G577" s="1457" t="s">
        <v>2735</v>
      </c>
      <c r="H577" s="1457"/>
      <c r="I577" s="1457"/>
      <c r="J577" s="1457"/>
      <c r="K577" s="1457"/>
      <c r="L577" s="1457"/>
      <c r="M577" s="1457"/>
      <c r="N577" s="1457"/>
      <c r="O577" s="1457"/>
      <c r="P577" s="1457"/>
      <c r="Q577" s="1457"/>
      <c r="R577" s="1457"/>
      <c r="S577" s="8"/>
      <c r="T577" s="22"/>
      <c r="U577" t="s">
        <v>85</v>
      </c>
      <c r="Z577" s="1457" t="s">
        <v>2735</v>
      </c>
      <c r="AA577" s="1457"/>
      <c r="AB577" s="1457"/>
      <c r="AC577" s="1457"/>
      <c r="AD577" s="1457"/>
      <c r="AE577" s="1457"/>
      <c r="AF577" s="1457"/>
      <c r="AG577" s="1457"/>
      <c r="AH577" s="1457"/>
      <c r="AI577" s="1457"/>
      <c r="AJ577" s="1457"/>
      <c r="AK577" s="1457"/>
      <c r="BB577" s="3"/>
      <c r="BC577" s="3"/>
      <c r="BD577" s="3"/>
      <c r="BE577" s="3"/>
      <c r="BF577" s="3"/>
      <c r="BG577" s="3"/>
      <c r="BH577" s="3"/>
      <c r="BI577" s="3"/>
    </row>
    <row r="578" spans="1:61" ht="12.9" customHeight="1">
      <c r="A578" s="22"/>
      <c r="B578" t="s">
        <v>580</v>
      </c>
      <c r="G578" s="1457" t="s">
        <v>2736</v>
      </c>
      <c r="H578" s="1457"/>
      <c r="I578" s="1457"/>
      <c r="J578" s="1457"/>
      <c r="K578" s="1457"/>
      <c r="L578" s="1457"/>
      <c r="M578" s="1457"/>
      <c r="N578" s="1457"/>
      <c r="O578" s="1457"/>
      <c r="P578" s="1457"/>
      <c r="Q578" s="1457"/>
      <c r="R578" s="1457"/>
      <c r="T578" s="22"/>
      <c r="U578" t="s">
        <v>580</v>
      </c>
      <c r="Z578" s="1435" t="s">
        <v>2736</v>
      </c>
      <c r="AA578" s="1435"/>
      <c r="AB578" s="1435"/>
      <c r="AC578" s="1435"/>
      <c r="AD578" s="1435"/>
      <c r="AE578" s="1435"/>
      <c r="AF578" s="1435"/>
      <c r="AG578" s="1435"/>
      <c r="AH578" s="1435"/>
      <c r="AI578" s="1435"/>
      <c r="AJ578" s="1435"/>
      <c r="AK578" s="1435"/>
      <c r="BB578" s="3"/>
      <c r="BC578" s="3"/>
      <c r="BD578" s="3"/>
      <c r="BE578" s="3"/>
      <c r="BF578" s="3"/>
      <c r="BG578" s="3"/>
      <c r="BH578" s="3"/>
      <c r="BI578" s="3"/>
    </row>
    <row r="579" spans="1:61" ht="12.9" customHeight="1">
      <c r="A579" s="22"/>
      <c r="B579" t="s">
        <v>17</v>
      </c>
      <c r="G579" s="1457" t="s">
        <v>2737</v>
      </c>
      <c r="H579" s="1457"/>
      <c r="I579" s="1457"/>
      <c r="J579" s="1457"/>
      <c r="K579" s="1457"/>
      <c r="L579" s="1457"/>
      <c r="M579" s="1457"/>
      <c r="N579" s="1457"/>
      <c r="O579" s="1457"/>
      <c r="P579" s="1457"/>
      <c r="Q579" s="1457"/>
      <c r="R579" s="1457"/>
      <c r="S579" s="8"/>
      <c r="T579" s="22"/>
      <c r="U579" t="s">
        <v>17</v>
      </c>
      <c r="Z579" s="1435" t="s">
        <v>2737</v>
      </c>
      <c r="AA579" s="1435"/>
      <c r="AB579" s="1435"/>
      <c r="AC579" s="1435"/>
      <c r="AD579" s="1435"/>
      <c r="AE579" s="1435"/>
      <c r="AF579" s="1435"/>
      <c r="AG579" s="1435"/>
      <c r="AH579" s="1435"/>
      <c r="AI579" s="1435"/>
      <c r="AJ579" s="1435"/>
      <c r="AK579" s="1435"/>
      <c r="BB579" s="3"/>
      <c r="BC579" s="3"/>
      <c r="BD579" s="3"/>
      <c r="BE579" s="3"/>
      <c r="BF579" s="3"/>
      <c r="BG579" s="3"/>
      <c r="BH579" s="3"/>
      <c r="BI579" s="3"/>
    </row>
    <row r="580" spans="1:61" ht="12.9" customHeight="1">
      <c r="A580" s="22"/>
      <c r="B580" t="s">
        <v>316</v>
      </c>
      <c r="G580" s="1707" t="s">
        <v>2738</v>
      </c>
      <c r="H580" s="1707"/>
      <c r="I580" s="1707"/>
      <c r="J580" s="1707"/>
      <c r="K580" s="1707"/>
      <c r="L580" s="1707"/>
      <c r="O580" s="33" t="s">
        <v>206</v>
      </c>
      <c r="P580" s="1472"/>
      <c r="Q580" s="1472"/>
      <c r="R580" s="1472"/>
      <c r="S580" s="10"/>
      <c r="T580" s="22"/>
      <c r="U580" t="s">
        <v>316</v>
      </c>
      <c r="Z580" s="1707" t="s">
        <v>2738</v>
      </c>
      <c r="AA580" s="1707"/>
      <c r="AB580" s="1707"/>
      <c r="AC580" s="1707"/>
      <c r="AD580" s="1707"/>
      <c r="AE580" s="1707"/>
      <c r="AH580" s="33" t="s">
        <v>206</v>
      </c>
      <c r="AI580" s="1472"/>
      <c r="AJ580" s="1472"/>
      <c r="AK580" s="1472"/>
      <c r="BB580" s="3"/>
      <c r="BC580" s="3"/>
      <c r="BD580" s="3"/>
      <c r="BE580" s="3"/>
      <c r="BF580" s="3"/>
      <c r="BG580" s="3"/>
      <c r="BH580" s="3"/>
      <c r="BI580" s="3"/>
    </row>
    <row r="581" spans="1:61" ht="12.9" customHeight="1">
      <c r="A581" s="22"/>
      <c r="B581" t="s">
        <v>18</v>
      </c>
      <c r="H581" s="1457" t="s">
        <v>2739</v>
      </c>
      <c r="I581" s="1457"/>
      <c r="J581" s="1457"/>
      <c r="K581" s="1457"/>
      <c r="L581" s="1457"/>
      <c r="M581" s="1457"/>
      <c r="N581" s="1457"/>
      <c r="O581" s="1457"/>
      <c r="P581" s="1457"/>
      <c r="Q581" s="1457"/>
      <c r="R581" s="1457"/>
      <c r="S581" s="8"/>
      <c r="T581" s="22"/>
      <c r="U581" t="s">
        <v>18</v>
      </c>
      <c r="AA581" s="1457" t="s">
        <v>2739</v>
      </c>
      <c r="AB581" s="1457"/>
      <c r="AC581" s="1457"/>
      <c r="AD581" s="1457"/>
      <c r="AE581" s="1457"/>
      <c r="AF581" s="1457"/>
      <c r="AG581" s="1457"/>
      <c r="AH581" s="1457"/>
      <c r="AI581" s="1457"/>
      <c r="AJ581" s="1457"/>
      <c r="AK581" s="1457"/>
      <c r="BB581" s="3"/>
      <c r="BC581" s="3"/>
      <c r="BD581" s="3"/>
      <c r="BE581" s="3"/>
      <c r="BF581" s="3"/>
      <c r="BG581" s="3"/>
      <c r="BH581" s="3"/>
      <c r="BI581" s="3"/>
    </row>
    <row r="582" spans="1:61" ht="12.9" customHeight="1">
      <c r="A582" s="22"/>
      <c r="B582" s="320" t="s">
        <v>1185</v>
      </c>
      <c r="H582" s="8"/>
      <c r="I582" s="8"/>
      <c r="J582" s="8"/>
      <c r="K582" s="8"/>
      <c r="L582" s="8"/>
      <c r="M582" s="1710"/>
      <c r="N582" s="1710"/>
      <c r="O582" s="1710"/>
      <c r="P582" s="1710"/>
      <c r="Q582" s="1710"/>
      <c r="R582" s="1710"/>
      <c r="S582" s="8"/>
      <c r="T582" s="22"/>
      <c r="U582" s="320" t="s">
        <v>1185</v>
      </c>
      <c r="AA582" s="8"/>
      <c r="AB582" s="8"/>
      <c r="AC582" s="8"/>
      <c r="AD582" s="8"/>
      <c r="AE582" s="8"/>
      <c r="AF582" s="1710"/>
      <c r="AG582" s="1710"/>
      <c r="AH582" s="1710"/>
      <c r="AI582" s="1710"/>
      <c r="AJ582" s="1710"/>
      <c r="AK582" s="1710"/>
      <c r="BB582" s="3"/>
      <c r="BC582" s="3"/>
      <c r="BD582" s="3"/>
      <c r="BE582" s="3"/>
      <c r="BF582" s="3"/>
      <c r="BG582" s="3"/>
      <c r="BH582" s="3"/>
      <c r="BI582" s="3"/>
    </row>
    <row r="583" spans="1:61" ht="12.9" customHeight="1">
      <c r="A583" s="22"/>
      <c r="B583" t="s">
        <v>20</v>
      </c>
      <c r="N583" s="1341" t="s">
        <v>545</v>
      </c>
      <c r="O583" s="1341"/>
      <c r="T583" s="22"/>
      <c r="U583" t="s">
        <v>20</v>
      </c>
      <c r="AG583" s="1341" t="s">
        <v>545</v>
      </c>
      <c r="AH583" s="1341"/>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463</v>
      </c>
      <c r="G585" s="1471" t="str">
        <f>C564</f>
        <v>Federal LIHTC Equity</v>
      </c>
      <c r="H585" s="1471"/>
      <c r="I585" s="1471"/>
      <c r="J585" s="1471"/>
      <c r="K585" s="1471"/>
      <c r="L585" s="1471"/>
      <c r="M585" s="1471"/>
      <c r="N585" s="1471"/>
      <c r="O585" s="1471"/>
      <c r="P585" s="1471"/>
      <c r="Q585" s="1471"/>
      <c r="R585" s="1471"/>
      <c r="T585" s="55" t="s">
        <v>581</v>
      </c>
      <c r="U585" t="s">
        <v>463</v>
      </c>
      <c r="Z585" s="1471" t="str">
        <f>C565</f>
        <v>State LIHTC Equity</v>
      </c>
      <c r="AA585" s="1471"/>
      <c r="AB585" s="1471"/>
      <c r="AC585" s="1471"/>
      <c r="AD585" s="1471"/>
      <c r="AE585" s="1471"/>
      <c r="AF585" s="1471"/>
      <c r="AG585" s="1471"/>
      <c r="AH585" s="1471"/>
      <c r="AI585" s="1471"/>
      <c r="AJ585" s="1471"/>
      <c r="AK585" s="1471"/>
      <c r="BB585" s="3"/>
      <c r="BC585" s="3"/>
    </row>
    <row r="586" spans="1:61" ht="12.9" customHeight="1">
      <c r="A586" s="22"/>
      <c r="B586" t="s">
        <v>85</v>
      </c>
      <c r="G586" s="1457" t="str">
        <f>AA321</f>
        <v>70 Corporate Center, 11000 Broken Land Parkway, Suite 70</v>
      </c>
      <c r="H586" s="1457"/>
      <c r="I586" s="1457"/>
      <c r="J586" s="1457"/>
      <c r="K586" s="1457"/>
      <c r="L586" s="1457"/>
      <c r="M586" s="1457"/>
      <c r="N586" s="1457"/>
      <c r="O586" s="1457"/>
      <c r="P586" s="1457"/>
      <c r="Q586" s="1457"/>
      <c r="R586" s="1457"/>
      <c r="T586" s="22"/>
      <c r="U586" t="s">
        <v>85</v>
      </c>
      <c r="Z586" s="1457" t="str">
        <f>G586</f>
        <v>70 Corporate Center, 11000 Broken Land Parkway, Suite 70</v>
      </c>
      <c r="AA586" s="1457"/>
      <c r="AB586" s="1457"/>
      <c r="AC586" s="1457"/>
      <c r="AD586" s="1457"/>
      <c r="AE586" s="1457"/>
      <c r="AF586" s="1457"/>
      <c r="AG586" s="1457"/>
      <c r="AH586" s="1457"/>
      <c r="AI586" s="1457"/>
      <c r="AJ586" s="1457"/>
      <c r="AK586" s="1457"/>
      <c r="BB586" s="3"/>
      <c r="BC586" s="3"/>
    </row>
    <row r="587" spans="1:61" ht="12.9" customHeight="1">
      <c r="A587" s="22"/>
      <c r="B587" t="s">
        <v>580</v>
      </c>
      <c r="G587" s="1435" t="s">
        <v>2705</v>
      </c>
      <c r="H587" s="1435"/>
      <c r="I587" s="1435"/>
      <c r="J587" s="1435"/>
      <c r="K587" s="1435"/>
      <c r="L587" s="1435"/>
      <c r="M587" s="1435"/>
      <c r="N587" s="1435"/>
      <c r="O587" s="1435"/>
      <c r="P587" s="1435"/>
      <c r="Q587" s="1435"/>
      <c r="R587" s="1435"/>
      <c r="T587" s="22"/>
      <c r="U587" t="s">
        <v>580</v>
      </c>
      <c r="Z587" s="1435" t="str">
        <f>G587</f>
        <v>Columbia, MD 21044</v>
      </c>
      <c r="AA587" s="1435"/>
      <c r="AB587" s="1435"/>
      <c r="AC587" s="1435"/>
      <c r="AD587" s="1435"/>
      <c r="AE587" s="1435"/>
      <c r="AF587" s="1435"/>
      <c r="AG587" s="1435"/>
      <c r="AH587" s="1435"/>
      <c r="AI587" s="1435"/>
      <c r="AJ587" s="1435"/>
      <c r="AK587" s="1435"/>
      <c r="BB587" s="3"/>
      <c r="BC587" s="3"/>
    </row>
    <row r="588" spans="1:61" ht="12.9" customHeight="1">
      <c r="A588" s="22"/>
      <c r="B588" t="s">
        <v>17</v>
      </c>
      <c r="G588" s="1435" t="s">
        <v>2706</v>
      </c>
      <c r="H588" s="1435"/>
      <c r="I588" s="1435"/>
      <c r="J588" s="1435"/>
      <c r="K588" s="1435"/>
      <c r="L588" s="1435"/>
      <c r="M588" s="1435"/>
      <c r="N588" s="1435"/>
      <c r="O588" s="1435"/>
      <c r="P588" s="1435"/>
      <c r="Q588" s="1435"/>
      <c r="R588" s="1435"/>
      <c r="T588" s="22"/>
      <c r="U588" t="s">
        <v>17</v>
      </c>
      <c r="Z588" s="1435" t="str">
        <f>G588</f>
        <v>Philip Porter</v>
      </c>
      <c r="AA588" s="1435"/>
      <c r="AB588" s="1435"/>
      <c r="AC588" s="1435"/>
      <c r="AD588" s="1435"/>
      <c r="AE588" s="1435"/>
      <c r="AF588" s="1435"/>
      <c r="AG588" s="1435"/>
      <c r="AH588" s="1435"/>
      <c r="AI588" s="1435"/>
      <c r="AJ588" s="1435"/>
      <c r="AK588" s="1435"/>
      <c r="BB588" s="3"/>
      <c r="BC588" s="3"/>
    </row>
    <row r="589" spans="1:61" ht="12.9" customHeight="1">
      <c r="A589" s="22"/>
      <c r="B589" t="s">
        <v>316</v>
      </c>
      <c r="G589" s="1707" t="s">
        <v>2740</v>
      </c>
      <c r="H589" s="1707"/>
      <c r="I589" s="1707"/>
      <c r="J589" s="1707"/>
      <c r="K589" s="1707"/>
      <c r="L589" s="1707"/>
      <c r="O589" s="33" t="s">
        <v>206</v>
      </c>
      <c r="P589" s="1472"/>
      <c r="Q589" s="1472"/>
      <c r="R589" s="1472"/>
      <c r="T589" s="22"/>
      <c r="U589" t="s">
        <v>316</v>
      </c>
      <c r="Z589" s="1707" t="str">
        <f>G589</f>
        <v>410-964-0552</v>
      </c>
      <c r="AA589" s="1707"/>
      <c r="AB589" s="1707"/>
      <c r="AC589" s="1707"/>
      <c r="AD589" s="1707"/>
      <c r="AE589" s="1707"/>
      <c r="AH589" s="33" t="s">
        <v>206</v>
      </c>
      <c r="AI589" s="1472"/>
      <c r="AJ589" s="1472"/>
      <c r="AK589" s="1472"/>
      <c r="BB589" s="3"/>
      <c r="BC589" s="3"/>
    </row>
    <row r="590" spans="1:61" ht="12.9" customHeight="1">
      <c r="A590" s="22"/>
      <c r="B590" t="s">
        <v>18</v>
      </c>
      <c r="H590" s="1457" t="s">
        <v>2741</v>
      </c>
      <c r="I590" s="1457"/>
      <c r="J590" s="1457"/>
      <c r="K590" s="1457"/>
      <c r="L590" s="1457"/>
      <c r="M590" s="1457"/>
      <c r="N590" s="1457"/>
      <c r="O590" s="1457"/>
      <c r="P590" s="1457"/>
      <c r="Q590" s="1457"/>
      <c r="R590" s="1457"/>
      <c r="T590" s="22"/>
      <c r="U590" t="s">
        <v>18</v>
      </c>
      <c r="AA590" s="1457" t="s">
        <v>2741</v>
      </c>
      <c r="AB590" s="1457"/>
      <c r="AC590" s="1457"/>
      <c r="AD590" s="1457"/>
      <c r="AE590" s="1457"/>
      <c r="AF590" s="1457"/>
      <c r="AG590" s="1457"/>
      <c r="AH590" s="1457"/>
      <c r="AI590" s="1457"/>
      <c r="AJ590" s="1457"/>
      <c r="AK590" s="1457"/>
      <c r="BB590" s="3"/>
      <c r="BC590" s="3"/>
    </row>
    <row r="591" spans="1:61" ht="12.9" customHeight="1">
      <c r="A591" s="22"/>
      <c r="B591" t="s">
        <v>20</v>
      </c>
      <c r="N591" s="1341" t="s">
        <v>545</v>
      </c>
      <c r="O591" s="1341"/>
      <c r="T591" s="22"/>
      <c r="U591" t="s">
        <v>20</v>
      </c>
      <c r="AG591" s="1341" t="s">
        <v>545</v>
      </c>
      <c r="AH591" s="1341"/>
      <c r="BB591" s="3"/>
      <c r="BC591" s="3"/>
    </row>
    <row r="592" spans="1:61" ht="12.9" customHeight="1">
      <c r="A592" s="22"/>
      <c r="T592" s="22"/>
      <c r="BB592" s="3"/>
      <c r="BC592" s="3"/>
    </row>
    <row r="593" spans="1:55" ht="12.9" customHeight="1">
      <c r="A593" s="55" t="s">
        <v>763</v>
      </c>
      <c r="B593" t="s">
        <v>463</v>
      </c>
      <c r="G593" s="1471" t="str">
        <f>C566</f>
        <v>SMC AHF 13.0</v>
      </c>
      <c r="H593" s="1471"/>
      <c r="I593" s="1471"/>
      <c r="J593" s="1471"/>
      <c r="K593" s="1471"/>
      <c r="L593" s="1471"/>
      <c r="M593" s="1471"/>
      <c r="N593" s="1471"/>
      <c r="O593" s="1471"/>
      <c r="P593" s="1471"/>
      <c r="Q593" s="1471"/>
      <c r="R593" s="1471"/>
      <c r="T593" s="55" t="s">
        <v>584</v>
      </c>
      <c r="U593" t="s">
        <v>463</v>
      </c>
      <c r="Z593" s="1471" t="str">
        <f>C567</f>
        <v>Deferred Costs</v>
      </c>
      <c r="AA593" s="1471"/>
      <c r="AB593" s="1471"/>
      <c r="AC593" s="1471"/>
      <c r="AD593" s="1471"/>
      <c r="AE593" s="1471"/>
      <c r="AF593" s="1471"/>
      <c r="AG593" s="1471"/>
      <c r="AH593" s="1471"/>
      <c r="AI593" s="1471"/>
      <c r="AJ593" s="1471"/>
      <c r="AK593" s="1471"/>
      <c r="BB593" s="3"/>
      <c r="BC593" s="3"/>
    </row>
    <row r="594" spans="1:55" ht="12.9" customHeight="1">
      <c r="A594" s="22"/>
      <c r="B594" t="s">
        <v>85</v>
      </c>
      <c r="G594" s="1457" t="s">
        <v>2742</v>
      </c>
      <c r="H594" s="1457"/>
      <c r="I594" s="1457"/>
      <c r="J594" s="1457"/>
      <c r="K594" s="1457"/>
      <c r="L594" s="1457"/>
      <c r="M594" s="1457"/>
      <c r="N594" s="1457"/>
      <c r="O594" s="1457"/>
      <c r="P594" s="1457"/>
      <c r="Q594" s="1457"/>
      <c r="R594" s="1457"/>
      <c r="T594" s="22"/>
      <c r="U594" t="s">
        <v>85</v>
      </c>
      <c r="Z594" s="1457" t="s">
        <v>2746</v>
      </c>
      <c r="AA594" s="1457"/>
      <c r="AB594" s="1457"/>
      <c r="AC594" s="1457"/>
      <c r="AD594" s="1457"/>
      <c r="AE594" s="1457"/>
      <c r="AF594" s="1457"/>
      <c r="AG594" s="1457"/>
      <c r="AH594" s="1457"/>
      <c r="AI594" s="1457"/>
      <c r="AJ594" s="1457"/>
      <c r="AK594" s="1457"/>
      <c r="BB594" s="3"/>
      <c r="BC594" s="3"/>
    </row>
    <row r="595" spans="1:55" ht="12.9" customHeight="1">
      <c r="A595" s="22"/>
      <c r="B595" t="s">
        <v>580</v>
      </c>
      <c r="G595" s="1457" t="s">
        <v>2743</v>
      </c>
      <c r="H595" s="1457"/>
      <c r="I595" s="1457"/>
      <c r="J595" s="1457"/>
      <c r="K595" s="1457"/>
      <c r="L595" s="1457"/>
      <c r="M595" s="1457"/>
      <c r="N595" s="1457"/>
      <c r="O595" s="1457"/>
      <c r="P595" s="1457"/>
      <c r="Q595" s="1457"/>
      <c r="R595" s="1457"/>
      <c r="T595" s="22"/>
      <c r="U595" t="s">
        <v>580</v>
      </c>
      <c r="Z595" s="1435" t="s">
        <v>729</v>
      </c>
      <c r="AA595" s="1435"/>
      <c r="AB595" s="1435"/>
      <c r="AC595" s="1435"/>
      <c r="AD595" s="1435"/>
      <c r="AE595" s="1435"/>
      <c r="AF595" s="1435"/>
      <c r="AG595" s="1435"/>
      <c r="AH595" s="1435"/>
      <c r="AI595" s="1435"/>
      <c r="AJ595" s="1435"/>
      <c r="AK595" s="1435"/>
      <c r="BB595" s="3"/>
      <c r="BC595" s="3"/>
    </row>
    <row r="596" spans="1:55" ht="12.9" customHeight="1">
      <c r="A596" s="22"/>
      <c r="B596" t="s">
        <v>17</v>
      </c>
      <c r="G596" s="1457" t="s">
        <v>2744</v>
      </c>
      <c r="H596" s="1457"/>
      <c r="I596" s="1457"/>
      <c r="J596" s="1457"/>
      <c r="K596" s="1457"/>
      <c r="L596" s="1457"/>
      <c r="M596" s="1457"/>
      <c r="N596" s="1457"/>
      <c r="O596" s="1457"/>
      <c r="P596" s="1457"/>
      <c r="Q596" s="1457"/>
      <c r="R596" s="1457"/>
      <c r="T596" s="22"/>
      <c r="U596" t="s">
        <v>17</v>
      </c>
      <c r="Z596" s="1435" t="s">
        <v>2660</v>
      </c>
      <c r="AA596" s="1435"/>
      <c r="AB596" s="1435"/>
      <c r="AC596" s="1435"/>
      <c r="AD596" s="1435"/>
      <c r="AE596" s="1435"/>
      <c r="AF596" s="1435"/>
      <c r="AG596" s="1435"/>
      <c r="AH596" s="1435"/>
      <c r="AI596" s="1435"/>
      <c r="AJ596" s="1435"/>
      <c r="AK596" s="1435"/>
    </row>
    <row r="597" spans="1:55" ht="12.9" customHeight="1">
      <c r="A597" s="22"/>
      <c r="B597" t="s">
        <v>316</v>
      </c>
      <c r="G597" s="1707" t="s">
        <v>2745</v>
      </c>
      <c r="H597" s="1707"/>
      <c r="I597" s="1707"/>
      <c r="J597" s="1707"/>
      <c r="K597" s="1707"/>
      <c r="L597" s="1707"/>
      <c r="O597" s="33" t="s">
        <v>206</v>
      </c>
      <c r="P597" s="1472"/>
      <c r="Q597" s="1472"/>
      <c r="R597" s="1472"/>
      <c r="T597" s="22"/>
      <c r="U597" t="s">
        <v>316</v>
      </c>
      <c r="Z597" s="1709" t="s">
        <v>2661</v>
      </c>
      <c r="AA597" s="1707"/>
      <c r="AB597" s="1707"/>
      <c r="AC597" s="1707"/>
      <c r="AD597" s="1707"/>
      <c r="AE597" s="1707"/>
      <c r="AH597" s="33" t="s">
        <v>206</v>
      </c>
      <c r="AI597" s="1472"/>
      <c r="AJ597" s="1472"/>
      <c r="AK597" s="1472"/>
      <c r="AZ597" s="3"/>
      <c r="BA597" s="3"/>
      <c r="BB597" s="3"/>
      <c r="BC597" s="3"/>
    </row>
    <row r="598" spans="1:55" ht="12.9" customHeight="1">
      <c r="A598" s="22"/>
      <c r="B598" t="s">
        <v>18</v>
      </c>
      <c r="H598" s="1457" t="s">
        <v>2072</v>
      </c>
      <c r="I598" s="1457"/>
      <c r="J598" s="1457"/>
      <c r="K598" s="1457"/>
      <c r="L598" s="1457"/>
      <c r="M598" s="1457"/>
      <c r="N598" s="1457"/>
      <c r="O598" s="1457"/>
      <c r="P598" s="1457"/>
      <c r="Q598" s="1457"/>
      <c r="R598" s="1457"/>
      <c r="T598" s="22"/>
      <c r="U598" t="s">
        <v>18</v>
      </c>
      <c r="AA598" s="1457" t="s">
        <v>2739</v>
      </c>
      <c r="AB598" s="1457"/>
      <c r="AC598" s="1457"/>
      <c r="AD598" s="1457"/>
      <c r="AE598" s="1457"/>
      <c r="AF598" s="1457"/>
      <c r="AG598" s="1457"/>
      <c r="AH598" s="1457"/>
      <c r="AI598" s="1457"/>
      <c r="AJ598" s="1457"/>
      <c r="AK598" s="1457"/>
      <c r="AZ598" s="3"/>
      <c r="BA598" s="3"/>
      <c r="BB598" s="3"/>
      <c r="BC598" s="3"/>
    </row>
    <row r="599" spans="1:55" ht="12.9" customHeight="1">
      <c r="A599" s="22"/>
      <c r="B599" t="s">
        <v>20</v>
      </c>
      <c r="N599" s="1341" t="s">
        <v>545</v>
      </c>
      <c r="O599" s="1341"/>
      <c r="T599" s="22"/>
      <c r="U599" t="s">
        <v>20</v>
      </c>
      <c r="AG599" s="1341" t="s">
        <v>545</v>
      </c>
      <c r="AH599" s="1341"/>
      <c r="AZ599" s="3"/>
      <c r="BA599" s="3"/>
      <c r="BB599" s="3"/>
      <c r="BC599" s="3"/>
    </row>
    <row r="600" spans="1:55" ht="12.9" customHeight="1">
      <c r="A600" s="22"/>
      <c r="T600" s="22"/>
      <c r="AZ600" s="3"/>
      <c r="BA600" s="3"/>
      <c r="BB600" s="3"/>
      <c r="BC600" s="3"/>
    </row>
    <row r="601" spans="1:55" ht="12.9" customHeight="1">
      <c r="A601" s="55" t="s">
        <v>455</v>
      </c>
      <c r="B601" t="s">
        <v>463</v>
      </c>
      <c r="G601" s="1471">
        <f>C568</f>
        <v>0</v>
      </c>
      <c r="H601" s="1471"/>
      <c r="I601" s="1471"/>
      <c r="J601" s="1471"/>
      <c r="K601" s="1471"/>
      <c r="L601" s="1471"/>
      <c r="M601" s="1471"/>
      <c r="N601" s="1471"/>
      <c r="O601" s="1471"/>
      <c r="P601" s="1471"/>
      <c r="Q601" s="1471"/>
      <c r="R601" s="1471"/>
      <c r="T601" s="55" t="s">
        <v>456</v>
      </c>
      <c r="U601" t="s">
        <v>463</v>
      </c>
      <c r="Z601" s="1471">
        <f>C569</f>
        <v>0</v>
      </c>
      <c r="AA601" s="1471"/>
      <c r="AB601" s="1471"/>
      <c r="AC601" s="1471"/>
      <c r="AD601" s="1471"/>
      <c r="AE601" s="1471"/>
      <c r="AF601" s="1471"/>
      <c r="AG601" s="1471"/>
      <c r="AH601" s="1471"/>
      <c r="AI601" s="1471"/>
      <c r="AJ601" s="1471"/>
      <c r="AK601" s="1471"/>
      <c r="AZ601" s="3"/>
      <c r="BA601" s="3"/>
      <c r="BB601" s="3"/>
      <c r="BC601" s="3"/>
    </row>
    <row r="602" spans="1:55" s="4" customFormat="1" ht="12.9" customHeight="1">
      <c r="A602" s="22"/>
      <c r="B602" t="s">
        <v>85</v>
      </c>
      <c r="C602"/>
      <c r="D602"/>
      <c r="E602"/>
      <c r="F602"/>
      <c r="G602" s="1457"/>
      <c r="H602" s="1457"/>
      <c r="I602" s="1457"/>
      <c r="J602" s="1457"/>
      <c r="K602" s="1457"/>
      <c r="L602" s="1457"/>
      <c r="M602" s="1457"/>
      <c r="N602" s="1457"/>
      <c r="O602" s="1457"/>
      <c r="P602" s="1457"/>
      <c r="Q602" s="1457"/>
      <c r="R602" s="1457"/>
      <c r="S602"/>
      <c r="T602" s="22"/>
      <c r="U602" t="s">
        <v>85</v>
      </c>
      <c r="V602"/>
      <c r="W602"/>
      <c r="X602"/>
      <c r="Y602"/>
      <c r="Z602" s="1457"/>
      <c r="AA602" s="1457"/>
      <c r="AB602" s="1457"/>
      <c r="AC602" s="1457"/>
      <c r="AD602" s="1457"/>
      <c r="AE602" s="1457"/>
      <c r="AF602" s="1457"/>
      <c r="AG602" s="1457"/>
      <c r="AH602" s="1457"/>
      <c r="AI602" s="1457"/>
      <c r="AJ602" s="1457"/>
      <c r="AK602" s="1457"/>
      <c r="AL602"/>
      <c r="AM602"/>
      <c r="AN602"/>
      <c r="AO602"/>
      <c r="AP602"/>
      <c r="AQ602"/>
      <c r="AR602"/>
      <c r="AS602"/>
      <c r="AT602"/>
      <c r="AU602"/>
      <c r="AV602"/>
      <c r="AW602"/>
      <c r="AX602"/>
      <c r="AY602"/>
      <c r="AZ602" s="3"/>
      <c r="BA602" s="3"/>
      <c r="BB602" s="3"/>
      <c r="BC602" s="3"/>
    </row>
    <row r="603" spans="1:55" s="4" customFormat="1" ht="12.9" customHeight="1">
      <c r="A603" s="22"/>
      <c r="B603" t="s">
        <v>580</v>
      </c>
      <c r="C603"/>
      <c r="D603"/>
      <c r="E603"/>
      <c r="F603"/>
      <c r="G603" s="1457"/>
      <c r="H603" s="1457"/>
      <c r="I603" s="1457"/>
      <c r="J603" s="1457"/>
      <c r="K603" s="1457"/>
      <c r="L603" s="1457"/>
      <c r="M603" s="1457"/>
      <c r="N603" s="1457"/>
      <c r="O603" s="1457"/>
      <c r="P603" s="1457"/>
      <c r="Q603" s="1457"/>
      <c r="R603" s="1457"/>
      <c r="S603"/>
      <c r="T603" s="22"/>
      <c r="U603" t="s">
        <v>580</v>
      </c>
      <c r="V603"/>
      <c r="W603"/>
      <c r="X603"/>
      <c r="Y603"/>
      <c r="Z603" s="1435"/>
      <c r="AA603" s="1435"/>
      <c r="AB603" s="1435"/>
      <c r="AC603" s="1435"/>
      <c r="AD603" s="1435"/>
      <c r="AE603" s="1435"/>
      <c r="AF603" s="1435"/>
      <c r="AG603" s="1435"/>
      <c r="AH603" s="1435"/>
      <c r="AI603" s="1435"/>
      <c r="AJ603" s="1435"/>
      <c r="AK603" s="1435"/>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57"/>
      <c r="H604" s="1457"/>
      <c r="I604" s="1457"/>
      <c r="J604" s="1457"/>
      <c r="K604" s="1457"/>
      <c r="L604" s="1457"/>
      <c r="M604" s="1457"/>
      <c r="N604" s="1457"/>
      <c r="O604" s="1457"/>
      <c r="P604" s="1457"/>
      <c r="Q604" s="1457"/>
      <c r="R604" s="1457"/>
      <c r="S604"/>
      <c r="T604" s="22"/>
      <c r="U604" t="s">
        <v>17</v>
      </c>
      <c r="V604"/>
      <c r="W604"/>
      <c r="X604"/>
      <c r="Y604"/>
      <c r="Z604" s="1435"/>
      <c r="AA604" s="1435"/>
      <c r="AB604" s="1435"/>
      <c r="AC604" s="1435"/>
      <c r="AD604" s="1435"/>
      <c r="AE604" s="1435"/>
      <c r="AF604" s="1435"/>
      <c r="AG604" s="1435"/>
      <c r="AH604" s="1435"/>
      <c r="AI604" s="1435"/>
      <c r="AJ604" s="1435"/>
      <c r="AK604" s="1435"/>
      <c r="AL604"/>
      <c r="AM604"/>
      <c r="AN604"/>
      <c r="AO604"/>
      <c r="AP604"/>
      <c r="AQ604"/>
      <c r="AR604"/>
      <c r="AS604"/>
      <c r="AT604"/>
      <c r="AU604"/>
      <c r="AV604"/>
      <c r="AW604"/>
      <c r="AX604"/>
      <c r="AY604"/>
      <c r="BB604" s="3"/>
      <c r="BC604" s="3"/>
    </row>
    <row r="605" spans="1:55" s="4" customFormat="1" ht="12.9" customHeight="1">
      <c r="A605" s="22"/>
      <c r="B605" t="s">
        <v>316</v>
      </c>
      <c r="C605"/>
      <c r="D605"/>
      <c r="E605"/>
      <c r="F605"/>
      <c r="G605" s="1707"/>
      <c r="H605" s="1707"/>
      <c r="I605" s="1707"/>
      <c r="J605" s="1707"/>
      <c r="K605" s="1707"/>
      <c r="L605" s="1707"/>
      <c r="M605"/>
      <c r="N605"/>
      <c r="O605" s="33" t="s">
        <v>206</v>
      </c>
      <c r="P605" s="1472"/>
      <c r="Q605" s="1472"/>
      <c r="R605" s="1472"/>
      <c r="S605"/>
      <c r="T605" s="22"/>
      <c r="U605" t="s">
        <v>316</v>
      </c>
      <c r="V605"/>
      <c r="W605"/>
      <c r="X605"/>
      <c r="Y605"/>
      <c r="Z605" s="1707"/>
      <c r="AA605" s="1707"/>
      <c r="AB605" s="1707"/>
      <c r="AC605" s="1707"/>
      <c r="AD605" s="1707"/>
      <c r="AE605" s="1707"/>
      <c r="AF605"/>
      <c r="AG605"/>
      <c r="AH605" s="33" t="s">
        <v>206</v>
      </c>
      <c r="AI605" s="1472"/>
      <c r="AJ605" s="1472"/>
      <c r="AK605" s="1472"/>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57"/>
      <c r="I606" s="1457"/>
      <c r="J606" s="1457"/>
      <c r="K606" s="1457"/>
      <c r="L606" s="1457"/>
      <c r="M606" s="1457"/>
      <c r="N606" s="1457"/>
      <c r="O606" s="1457"/>
      <c r="P606" s="1457"/>
      <c r="Q606" s="1457"/>
      <c r="R606" s="1457"/>
      <c r="S606"/>
      <c r="T606" s="22"/>
      <c r="U606" t="s">
        <v>18</v>
      </c>
      <c r="V606"/>
      <c r="W606"/>
      <c r="X606"/>
      <c r="Y606"/>
      <c r="Z606"/>
      <c r="AA606" s="1457"/>
      <c r="AB606" s="1457"/>
      <c r="AC606" s="1457"/>
      <c r="AD606" s="1457"/>
      <c r="AE606" s="1457"/>
      <c r="AF606" s="1457"/>
      <c r="AG606" s="1457"/>
      <c r="AH606" s="1457"/>
      <c r="AI606" s="1457"/>
      <c r="AJ606" s="1457"/>
      <c r="AK606" s="1457"/>
      <c r="AL606"/>
      <c r="AM606"/>
      <c r="AN606"/>
      <c r="AO606"/>
      <c r="AP606"/>
      <c r="AQ606"/>
      <c r="AR606"/>
      <c r="AS606"/>
      <c r="AT606"/>
      <c r="AU606"/>
      <c r="AV606"/>
      <c r="AW606"/>
      <c r="AX606"/>
      <c r="AY606"/>
      <c r="BB606" s="3"/>
      <c r="BC606" s="3"/>
    </row>
    <row r="607" spans="1:55" ht="12.9" customHeight="1">
      <c r="A607" s="22"/>
      <c r="B607" t="s">
        <v>20</v>
      </c>
      <c r="N607" s="1341" t="s">
        <v>669</v>
      </c>
      <c r="O607" s="1341"/>
      <c r="T607" s="22"/>
      <c r="U607" t="s">
        <v>20</v>
      </c>
      <c r="AG607" s="1341" t="s">
        <v>669</v>
      </c>
      <c r="AH607" s="1341"/>
      <c r="BB607" s="3"/>
      <c r="BC607" s="3"/>
    </row>
    <row r="608" spans="1:55" ht="12.9" customHeight="1">
      <c r="A608" s="22"/>
      <c r="T608" s="22"/>
      <c r="BB608" s="3"/>
      <c r="BC608" s="3"/>
    </row>
    <row r="609" spans="1:55" ht="12.9" customHeight="1">
      <c r="A609" s="55" t="s">
        <v>461</v>
      </c>
      <c r="B609" t="s">
        <v>463</v>
      </c>
      <c r="G609" s="1471">
        <f>C570</f>
        <v>0</v>
      </c>
      <c r="H609" s="1471"/>
      <c r="I609" s="1471"/>
      <c r="J609" s="1471"/>
      <c r="K609" s="1471"/>
      <c r="L609" s="1471"/>
      <c r="M609" s="1471"/>
      <c r="N609" s="1471"/>
      <c r="O609" s="1471"/>
      <c r="P609" s="1471"/>
      <c r="Q609" s="1471"/>
      <c r="R609" s="1471"/>
      <c r="T609" s="55" t="s">
        <v>646</v>
      </c>
      <c r="U609" t="s">
        <v>463</v>
      </c>
      <c r="Z609" s="1471">
        <f>C571</f>
        <v>0</v>
      </c>
      <c r="AA609" s="1471"/>
      <c r="AB609" s="1471"/>
      <c r="AC609" s="1471"/>
      <c r="AD609" s="1471"/>
      <c r="AE609" s="1471"/>
      <c r="AF609" s="1471"/>
      <c r="AG609" s="1471"/>
      <c r="AH609" s="1471"/>
      <c r="AI609" s="1471"/>
      <c r="AJ609" s="1471"/>
      <c r="AK609" s="1471"/>
      <c r="BB609" s="3"/>
      <c r="BC609" s="3"/>
    </row>
    <row r="610" spans="1:55" ht="12.9" customHeight="1">
      <c r="A610" s="22"/>
      <c r="B610" t="s">
        <v>85</v>
      </c>
      <c r="G610" s="1457"/>
      <c r="H610" s="1457"/>
      <c r="I610" s="1457"/>
      <c r="J610" s="1457"/>
      <c r="K610" s="1457"/>
      <c r="L610" s="1457"/>
      <c r="M610" s="1457"/>
      <c r="N610" s="1457"/>
      <c r="O610" s="1457"/>
      <c r="P610" s="1457"/>
      <c r="Q610" s="1457"/>
      <c r="R610" s="1457"/>
      <c r="T610" s="22"/>
      <c r="U610" t="s">
        <v>85</v>
      </c>
      <c r="Z610" s="1457"/>
      <c r="AA610" s="1457"/>
      <c r="AB610" s="1457"/>
      <c r="AC610" s="1457"/>
      <c r="AD610" s="1457"/>
      <c r="AE610" s="1457"/>
      <c r="AF610" s="1457"/>
      <c r="AG610" s="1457"/>
      <c r="AH610" s="1457"/>
      <c r="AI610" s="1457"/>
      <c r="AJ610" s="1457"/>
      <c r="AK610" s="1457"/>
      <c r="AZ610" s="3"/>
      <c r="BA610" s="3"/>
      <c r="BB610" s="3"/>
      <c r="BC610" s="3"/>
    </row>
    <row r="611" spans="1:55" ht="12.9" customHeight="1">
      <c r="A611" s="22"/>
      <c r="B611" t="s">
        <v>580</v>
      </c>
      <c r="G611" s="1457"/>
      <c r="H611" s="1457"/>
      <c r="I611" s="1457"/>
      <c r="J611" s="1457"/>
      <c r="K611" s="1457"/>
      <c r="L611" s="1457"/>
      <c r="M611" s="1457"/>
      <c r="N611" s="1457"/>
      <c r="O611" s="1457"/>
      <c r="P611" s="1457"/>
      <c r="Q611" s="1457"/>
      <c r="R611" s="1457"/>
      <c r="T611" s="22"/>
      <c r="U611" t="s">
        <v>580</v>
      </c>
      <c r="Z611" s="1435"/>
      <c r="AA611" s="1435"/>
      <c r="AB611" s="1435"/>
      <c r="AC611" s="1435"/>
      <c r="AD611" s="1435"/>
      <c r="AE611" s="1435"/>
      <c r="AF611" s="1435"/>
      <c r="AG611" s="1435"/>
      <c r="AH611" s="1435"/>
      <c r="AI611" s="1435"/>
      <c r="AJ611" s="1435"/>
      <c r="AK611" s="1435"/>
      <c r="AZ611" s="3"/>
      <c r="BA611" s="3"/>
      <c r="BB611" s="3"/>
      <c r="BC611" s="3"/>
    </row>
    <row r="612" spans="1:55" ht="12.9" customHeight="1">
      <c r="A612" s="22"/>
      <c r="B612" t="s">
        <v>17</v>
      </c>
      <c r="G612" s="1457"/>
      <c r="H612" s="1457"/>
      <c r="I612" s="1457"/>
      <c r="J612" s="1457"/>
      <c r="K612" s="1457"/>
      <c r="L612" s="1457"/>
      <c r="M612" s="1457"/>
      <c r="N612" s="1457"/>
      <c r="O612" s="1457"/>
      <c r="P612" s="1457"/>
      <c r="Q612" s="1457"/>
      <c r="R612" s="1457"/>
      <c r="T612" s="22"/>
      <c r="U612" t="s">
        <v>17</v>
      </c>
      <c r="Z612" s="1435"/>
      <c r="AA612" s="1435"/>
      <c r="AB612" s="1435"/>
      <c r="AC612" s="1435"/>
      <c r="AD612" s="1435"/>
      <c r="AE612" s="1435"/>
      <c r="AF612" s="1435"/>
      <c r="AG612" s="1435"/>
      <c r="AH612" s="1435"/>
      <c r="AI612" s="1435"/>
      <c r="AJ612" s="1435"/>
      <c r="AK612" s="1435"/>
      <c r="AZ612" s="3"/>
      <c r="BA612" s="3"/>
      <c r="BB612" s="3"/>
      <c r="BC612" s="3"/>
    </row>
    <row r="613" spans="1:55" s="4" customFormat="1" ht="12.9" customHeight="1">
      <c r="A613" s="22"/>
      <c r="B613" t="s">
        <v>316</v>
      </c>
      <c r="C613"/>
      <c r="D613"/>
      <c r="E613"/>
      <c r="F613"/>
      <c r="G613" s="1707"/>
      <c r="H613" s="1707"/>
      <c r="I613" s="1707"/>
      <c r="J613" s="1707"/>
      <c r="K613" s="1707"/>
      <c r="L613" s="1707"/>
      <c r="M613"/>
      <c r="N613"/>
      <c r="O613" s="33" t="s">
        <v>206</v>
      </c>
      <c r="P613" s="1472"/>
      <c r="Q613" s="1472"/>
      <c r="R613" s="1472"/>
      <c r="S613"/>
      <c r="T613" s="22"/>
      <c r="U613" t="s">
        <v>316</v>
      </c>
      <c r="V613"/>
      <c r="W613"/>
      <c r="X613"/>
      <c r="Y613"/>
      <c r="Z613" s="1707"/>
      <c r="AA613" s="1707"/>
      <c r="AB613" s="1707"/>
      <c r="AC613" s="1707"/>
      <c r="AD613" s="1707"/>
      <c r="AE613" s="1707"/>
      <c r="AF613"/>
      <c r="AG613"/>
      <c r="AH613" s="33" t="s">
        <v>206</v>
      </c>
      <c r="AI613" s="1472"/>
      <c r="AJ613" s="1472"/>
      <c r="AK613" s="1472"/>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57"/>
      <c r="I614" s="1457"/>
      <c r="J614" s="1457"/>
      <c r="K614" s="1457"/>
      <c r="L614" s="1457"/>
      <c r="M614" s="1457"/>
      <c r="N614" s="1457"/>
      <c r="O614" s="1457"/>
      <c r="P614" s="1457"/>
      <c r="Q614" s="1457"/>
      <c r="R614" s="1457"/>
      <c r="S614"/>
      <c r="T614" s="22"/>
      <c r="U614" t="s">
        <v>18</v>
      </c>
      <c r="V614"/>
      <c r="W614"/>
      <c r="X614"/>
      <c r="Y614"/>
      <c r="Z614"/>
      <c r="AA614" s="1457"/>
      <c r="AB614" s="1457"/>
      <c r="AC614" s="1457"/>
      <c r="AD614" s="1457"/>
      <c r="AE614" s="1457"/>
      <c r="AF614" s="1457"/>
      <c r="AG614" s="1457"/>
      <c r="AH614" s="1457"/>
      <c r="AI614" s="1457"/>
      <c r="AJ614" s="1457"/>
      <c r="AK614" s="1457"/>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41" t="s">
        <v>669</v>
      </c>
      <c r="O615" s="1341"/>
      <c r="P615"/>
      <c r="Q615"/>
      <c r="R615"/>
      <c r="S615"/>
      <c r="T615" s="22"/>
      <c r="U615" t="s">
        <v>20</v>
      </c>
      <c r="V615"/>
      <c r="W615"/>
      <c r="X615"/>
      <c r="Y615"/>
      <c r="Z615"/>
      <c r="AA615"/>
      <c r="AB615"/>
      <c r="AC615"/>
      <c r="AD615"/>
      <c r="AE615"/>
      <c r="AF615"/>
      <c r="AG615" s="1341" t="s">
        <v>669</v>
      </c>
      <c r="AH615" s="1341"/>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362</v>
      </c>
      <c r="B617" t="s">
        <v>463</v>
      </c>
      <c r="G617" s="1471">
        <f>C572</f>
        <v>0</v>
      </c>
      <c r="H617" s="1471"/>
      <c r="I617" s="1471"/>
      <c r="J617" s="1471"/>
      <c r="K617" s="1471"/>
      <c r="L617" s="1471"/>
      <c r="M617" s="1471"/>
      <c r="N617" s="1471"/>
      <c r="O617" s="1471"/>
      <c r="P617" s="1471"/>
      <c r="Q617" s="1471"/>
      <c r="R617" s="1471"/>
      <c r="T617" s="55" t="s">
        <v>363</v>
      </c>
      <c r="U617" t="s">
        <v>463</v>
      </c>
      <c r="Z617" s="1471">
        <f>C573</f>
        <v>0</v>
      </c>
      <c r="AA617" s="1471"/>
      <c r="AB617" s="1471"/>
      <c r="AC617" s="1471"/>
      <c r="AD617" s="1471"/>
      <c r="AE617" s="1471"/>
      <c r="AF617" s="1471"/>
      <c r="AG617" s="1471"/>
      <c r="AH617" s="1471"/>
      <c r="AI617" s="1471"/>
      <c r="AJ617" s="1471"/>
      <c r="AK617" s="1471"/>
      <c r="AZ617" s="3"/>
      <c r="BA617" s="3"/>
      <c r="BB617" s="3"/>
      <c r="BC617" s="3"/>
    </row>
    <row r="618" spans="1:55" ht="12.9" customHeight="1">
      <c r="B618" t="s">
        <v>85</v>
      </c>
      <c r="G618" s="1457"/>
      <c r="H618" s="1457"/>
      <c r="I618" s="1457"/>
      <c r="J618" s="1457"/>
      <c r="K618" s="1457"/>
      <c r="L618" s="1457"/>
      <c r="M618" s="1457"/>
      <c r="N618" s="1457"/>
      <c r="O618" s="1457"/>
      <c r="P618" s="1457"/>
      <c r="Q618" s="1457"/>
      <c r="R618" s="1457"/>
      <c r="U618" t="s">
        <v>85</v>
      </c>
      <c r="Z618" s="1457"/>
      <c r="AA618" s="1457"/>
      <c r="AB618" s="1457"/>
      <c r="AC618" s="1457"/>
      <c r="AD618" s="1457"/>
      <c r="AE618" s="1457"/>
      <c r="AF618" s="1457"/>
      <c r="AG618" s="1457"/>
      <c r="AH618" s="1457"/>
      <c r="AI618" s="1457"/>
      <c r="AJ618" s="1457"/>
      <c r="AK618" s="1457"/>
      <c r="AZ618" s="3"/>
      <c r="BA618" s="3"/>
      <c r="BB618" s="3"/>
      <c r="BC618" s="3"/>
    </row>
    <row r="619" spans="1:55" ht="12.9" customHeight="1">
      <c r="B619" t="s">
        <v>580</v>
      </c>
      <c r="G619" s="1457"/>
      <c r="H619" s="1457"/>
      <c r="I619" s="1457"/>
      <c r="J619" s="1457"/>
      <c r="K619" s="1457"/>
      <c r="L619" s="1457"/>
      <c r="M619" s="1457"/>
      <c r="N619" s="1457"/>
      <c r="O619" s="1457"/>
      <c r="P619" s="1457"/>
      <c r="Q619" s="1457"/>
      <c r="R619" s="1457"/>
      <c r="U619" t="s">
        <v>580</v>
      </c>
      <c r="Z619" s="1435"/>
      <c r="AA619" s="1435"/>
      <c r="AB619" s="1435"/>
      <c r="AC619" s="1435"/>
      <c r="AD619" s="1435"/>
      <c r="AE619" s="1435"/>
      <c r="AF619" s="1435"/>
      <c r="AG619" s="1435"/>
      <c r="AH619" s="1435"/>
      <c r="AI619" s="1435"/>
      <c r="AJ619" s="1435"/>
      <c r="AK619" s="1435"/>
      <c r="AZ619" s="3"/>
      <c r="BA619" s="3"/>
      <c r="BB619" s="3"/>
      <c r="BC619" s="3"/>
    </row>
    <row r="620" spans="1:55" ht="12.9" customHeight="1">
      <c r="B620" t="s">
        <v>17</v>
      </c>
      <c r="G620" s="1457"/>
      <c r="H620" s="1457"/>
      <c r="I620" s="1457"/>
      <c r="J620" s="1457"/>
      <c r="K620" s="1457"/>
      <c r="L620" s="1457"/>
      <c r="M620" s="1457"/>
      <c r="N620" s="1457"/>
      <c r="O620" s="1457"/>
      <c r="P620" s="1457"/>
      <c r="Q620" s="1457"/>
      <c r="R620" s="1457"/>
      <c r="U620" t="s">
        <v>17</v>
      </c>
      <c r="Z620" s="1435"/>
      <c r="AA620" s="1435"/>
      <c r="AB620" s="1435"/>
      <c r="AC620" s="1435"/>
      <c r="AD620" s="1435"/>
      <c r="AE620" s="1435"/>
      <c r="AF620" s="1435"/>
      <c r="AG620" s="1435"/>
      <c r="AH620" s="1435"/>
      <c r="AI620" s="1435"/>
      <c r="AJ620" s="1435"/>
      <c r="AK620" s="1435"/>
      <c r="AZ620" s="3"/>
      <c r="BA620" s="3"/>
      <c r="BB620" s="3"/>
      <c r="BC620" s="3"/>
    </row>
    <row r="621" spans="1:55" ht="12.9" customHeight="1">
      <c r="B621" t="s">
        <v>316</v>
      </c>
      <c r="G621" s="1707"/>
      <c r="H621" s="1707"/>
      <c r="I621" s="1707"/>
      <c r="J621" s="1707"/>
      <c r="K621" s="1707"/>
      <c r="L621" s="1707"/>
      <c r="O621" s="33" t="s">
        <v>206</v>
      </c>
      <c r="P621" s="1472"/>
      <c r="Q621" s="1472"/>
      <c r="R621" s="1472"/>
      <c r="U621" t="s">
        <v>316</v>
      </c>
      <c r="Z621" s="1707"/>
      <c r="AA621" s="1707"/>
      <c r="AB621" s="1707"/>
      <c r="AC621" s="1707"/>
      <c r="AD621" s="1707"/>
      <c r="AE621" s="1707"/>
      <c r="AH621" s="33" t="s">
        <v>206</v>
      </c>
      <c r="AI621" s="1472"/>
      <c r="AJ621" s="1472"/>
      <c r="AK621" s="1472"/>
      <c r="AZ621" s="3"/>
      <c r="BA621" s="3"/>
      <c r="BB621" s="3"/>
      <c r="BC621" s="3"/>
    </row>
    <row r="622" spans="1:55" ht="12.9" customHeight="1">
      <c r="B622" t="s">
        <v>18</v>
      </c>
      <c r="H622" s="1457"/>
      <c r="I622" s="1457"/>
      <c r="J622" s="1457"/>
      <c r="K622" s="1457"/>
      <c r="L622" s="1457"/>
      <c r="M622" s="1457"/>
      <c r="N622" s="1457"/>
      <c r="O622" s="1457"/>
      <c r="P622" s="1457"/>
      <c r="Q622" s="1457"/>
      <c r="R622" s="1457"/>
      <c r="U622" t="s">
        <v>18</v>
      </c>
      <c r="AA622" s="1457"/>
      <c r="AB622" s="1457"/>
      <c r="AC622" s="1457"/>
      <c r="AD622" s="1457"/>
      <c r="AE622" s="1457"/>
      <c r="AF622" s="1457"/>
      <c r="AG622" s="1457"/>
      <c r="AH622" s="1457"/>
      <c r="AI622" s="1457"/>
      <c r="AJ622" s="1457"/>
      <c r="AK622" s="1457"/>
      <c r="AU622" s="895"/>
      <c r="AV622" s="895"/>
      <c r="AW622" s="895"/>
      <c r="AX622" s="895"/>
      <c r="AY622" s="895"/>
      <c r="AZ622" s="3"/>
      <c r="BA622" s="3"/>
      <c r="BB622" s="3"/>
      <c r="BC622" s="3"/>
    </row>
    <row r="623" spans="1:55" ht="12.9" customHeight="1">
      <c r="B623" t="s">
        <v>20</v>
      </c>
      <c r="N623" s="1341" t="s">
        <v>669</v>
      </c>
      <c r="O623" s="1341"/>
      <c r="U623" t="s">
        <v>20</v>
      </c>
      <c r="AG623" s="1341" t="s">
        <v>669</v>
      </c>
      <c r="AH623" s="1341"/>
      <c r="AU623" s="895"/>
      <c r="AV623" s="895"/>
      <c r="AW623" s="895"/>
      <c r="AX623" s="895"/>
      <c r="AY623" s="895"/>
      <c r="AZ623" s="3"/>
      <c r="BA623" s="3"/>
      <c r="BB623" s="3"/>
      <c r="BC623" s="3"/>
    </row>
    <row r="624" spans="1:55" ht="12.9" customHeight="1">
      <c r="AZ624" s="3"/>
      <c r="BA624" s="3"/>
      <c r="BB624" s="3"/>
      <c r="BC624" s="3"/>
    </row>
    <row r="625" spans="1:56" ht="12.9" customHeight="1">
      <c r="A625" s="1268" t="s">
        <v>544</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2.9"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2.9" customHeight="1">
      <c r="AZ627" s="3"/>
      <c r="BA627" s="3"/>
      <c r="BB627" s="3"/>
      <c r="BC627" s="3"/>
    </row>
    <row r="628" spans="1:56" ht="12.9" customHeight="1">
      <c r="A628" s="2" t="s">
        <v>319</v>
      </c>
      <c r="B628" s="2"/>
      <c r="C628" s="2" t="s">
        <v>21</v>
      </c>
      <c r="AZ628" s="3"/>
      <c r="BA628" s="3"/>
      <c r="BB628" s="3"/>
      <c r="BC628" s="3"/>
    </row>
    <row r="629" spans="1:56" ht="12.9" customHeight="1">
      <c r="A629" s="2"/>
      <c r="B629" s="2"/>
      <c r="C629" s="2"/>
      <c r="AZ629" s="3"/>
      <c r="BA629" s="3"/>
      <c r="BB629" s="3"/>
      <c r="BC629" s="3"/>
    </row>
    <row r="630" spans="1:56" ht="12.9" customHeight="1">
      <c r="C630" s="2" t="s">
        <v>2057</v>
      </c>
      <c r="AZ630" s="3"/>
      <c r="BA630" s="3"/>
      <c r="BB630" s="3"/>
      <c r="BC630" s="3"/>
    </row>
    <row r="631" spans="1:56" ht="12.9" customHeight="1">
      <c r="B631" s="512"/>
      <c r="C631" s="2"/>
      <c r="AU631" s="3"/>
      <c r="AZ631" s="3"/>
      <c r="BA631" s="3"/>
      <c r="BB631" s="3"/>
      <c r="BC631" s="3"/>
    </row>
    <row r="632" spans="1:56" ht="12.9" customHeight="1">
      <c r="B632" s="1823" t="s">
        <v>2059</v>
      </c>
      <c r="C632" s="1823"/>
      <c r="D632" s="1823"/>
      <c r="E632" s="1823"/>
      <c r="F632" s="1823"/>
      <c r="G632" s="1823"/>
      <c r="H632" s="1823"/>
      <c r="I632" s="1823"/>
      <c r="J632" s="1823"/>
      <c r="K632" s="1823"/>
      <c r="L632" s="1823"/>
      <c r="M632" s="1528" t="s">
        <v>2060</v>
      </c>
      <c r="N632" s="1528"/>
      <c r="O632" s="1528"/>
      <c r="P632" s="1528"/>
      <c r="Q632" s="1528" t="s">
        <v>1829</v>
      </c>
      <c r="R632" s="1528"/>
      <c r="S632" s="1528"/>
      <c r="T632" s="1528" t="s">
        <v>1827</v>
      </c>
      <c r="U632" s="1528"/>
      <c r="V632" s="1528"/>
      <c r="W632" s="1711" t="s">
        <v>453</v>
      </c>
      <c r="X632" s="1711"/>
      <c r="Y632" s="1711"/>
      <c r="Z632" s="1499" t="s">
        <v>2089</v>
      </c>
      <c r="AA632" s="1499"/>
      <c r="AB632" s="1500"/>
      <c r="AC632" s="1722" t="s">
        <v>1665</v>
      </c>
      <c r="AD632" s="1723"/>
      <c r="AE632" s="1724"/>
      <c r="AF632" s="1518" t="s">
        <v>1904</v>
      </c>
      <c r="AG632" s="1499"/>
      <c r="AH632" s="1499"/>
      <c r="AI632" s="1499"/>
      <c r="AJ632" s="1500"/>
      <c r="AK632" s="1713" t="s">
        <v>1905</v>
      </c>
      <c r="AL632" s="1714"/>
      <c r="AM632" s="1714"/>
      <c r="AN632" s="1715"/>
      <c r="AO632" s="1528" t="s">
        <v>454</v>
      </c>
      <c r="AP632" s="1528"/>
      <c r="AQ632" s="1528"/>
      <c r="AR632" s="1528"/>
      <c r="AS632" s="1528"/>
      <c r="AU632" s="3"/>
      <c r="AZ632" s="3"/>
      <c r="BA632" s="3"/>
      <c r="BB632" s="3"/>
      <c r="BC632" s="3"/>
    </row>
    <row r="633" spans="1:56" ht="12.9" customHeight="1">
      <c r="B633" s="1823"/>
      <c r="C633" s="1823"/>
      <c r="D633" s="1823"/>
      <c r="E633" s="1823"/>
      <c r="F633" s="1823"/>
      <c r="G633" s="1823"/>
      <c r="H633" s="1823"/>
      <c r="I633" s="1823"/>
      <c r="J633" s="1823"/>
      <c r="K633" s="1823"/>
      <c r="L633" s="1823"/>
      <c r="M633" s="1528"/>
      <c r="N633" s="1528"/>
      <c r="O633" s="1528"/>
      <c r="P633" s="1528"/>
      <c r="Q633" s="1528"/>
      <c r="R633" s="1528"/>
      <c r="S633" s="1528"/>
      <c r="T633" s="1528"/>
      <c r="U633" s="1528"/>
      <c r="V633" s="1528"/>
      <c r="W633" s="1711"/>
      <c r="X633" s="1711"/>
      <c r="Y633" s="1711"/>
      <c r="Z633" s="1501"/>
      <c r="AA633" s="1501"/>
      <c r="AB633" s="1502"/>
      <c r="AC633" s="1725"/>
      <c r="AD633" s="1726"/>
      <c r="AE633" s="1727"/>
      <c r="AF633" s="1519"/>
      <c r="AG633" s="1501"/>
      <c r="AH633" s="1501"/>
      <c r="AI633" s="1501"/>
      <c r="AJ633" s="1502"/>
      <c r="AK633" s="1716"/>
      <c r="AL633" s="1717"/>
      <c r="AM633" s="1717"/>
      <c r="AN633" s="1718"/>
      <c r="AO633" s="1528"/>
      <c r="AP633" s="1528"/>
      <c r="AQ633" s="1528"/>
      <c r="AR633" s="1528"/>
      <c r="AS633" s="1528"/>
      <c r="AU633" s="3"/>
      <c r="AZ633" s="3"/>
      <c r="BA633" s="3"/>
      <c r="BB633" s="3"/>
      <c r="BC633" s="3"/>
      <c r="BD633" s="3"/>
    </row>
    <row r="634" spans="1:56" ht="12.9" customHeight="1">
      <c r="B634" s="1823"/>
      <c r="C634" s="1823"/>
      <c r="D634" s="1823"/>
      <c r="E634" s="1823"/>
      <c r="F634" s="1823"/>
      <c r="G634" s="1823"/>
      <c r="H634" s="1823"/>
      <c r="I634" s="1823"/>
      <c r="J634" s="1823"/>
      <c r="K634" s="1823"/>
      <c r="L634" s="1823"/>
      <c r="M634" s="1528"/>
      <c r="N634" s="1528"/>
      <c r="O634" s="1528"/>
      <c r="P634" s="1528"/>
      <c r="Q634" s="1528"/>
      <c r="R634" s="1528"/>
      <c r="S634" s="1528"/>
      <c r="T634" s="1528"/>
      <c r="U634" s="1528"/>
      <c r="V634" s="1528"/>
      <c r="W634" s="1711"/>
      <c r="X634" s="1711"/>
      <c r="Y634" s="1711"/>
      <c r="Z634" s="1503"/>
      <c r="AA634" s="1503"/>
      <c r="AB634" s="1504"/>
      <c r="AC634" s="1728"/>
      <c r="AD634" s="1729"/>
      <c r="AE634" s="1730"/>
      <c r="AF634" s="1520"/>
      <c r="AG634" s="1503"/>
      <c r="AH634" s="1503"/>
      <c r="AI634" s="1503"/>
      <c r="AJ634" s="1504"/>
      <c r="AK634" s="1719"/>
      <c r="AL634" s="1720"/>
      <c r="AM634" s="1720"/>
      <c r="AN634" s="1721"/>
      <c r="AO634" s="1528"/>
      <c r="AP634" s="1528"/>
      <c r="AQ634" s="1528"/>
      <c r="AR634" s="1528"/>
      <c r="AS634" s="1528"/>
      <c r="AT634" s="3"/>
      <c r="AU634" s="3"/>
      <c r="AZ634" s="3"/>
      <c r="BA634" s="3"/>
      <c r="BB634" s="3"/>
      <c r="BC634" s="3"/>
      <c r="BD634" s="3"/>
    </row>
    <row r="635" spans="1:56" ht="12.9" customHeight="1">
      <c r="B635" s="51" t="s">
        <v>112</v>
      </c>
      <c r="C635" s="1731" t="s">
        <v>2766</v>
      </c>
      <c r="D635" s="1731"/>
      <c r="E635" s="1731"/>
      <c r="F635" s="1731"/>
      <c r="G635" s="1731"/>
      <c r="H635" s="1731"/>
      <c r="I635" s="1731"/>
      <c r="J635" s="1731"/>
      <c r="K635" s="1731"/>
      <c r="L635" s="1731"/>
      <c r="M635" s="1479" t="s">
        <v>2070</v>
      </c>
      <c r="N635" s="1479"/>
      <c r="O635" s="1479"/>
      <c r="P635" s="1479"/>
      <c r="Q635" s="1474">
        <v>204</v>
      </c>
      <c r="R635" s="1474"/>
      <c r="S635" s="1475"/>
      <c r="T635" s="1473">
        <v>480</v>
      </c>
      <c r="U635" s="1474"/>
      <c r="V635" s="1475"/>
      <c r="W635" s="1505">
        <v>0.06</v>
      </c>
      <c r="X635" s="1506"/>
      <c r="Y635" s="1507"/>
      <c r="Z635" s="1508" t="s">
        <v>2088</v>
      </c>
      <c r="AA635" s="1509"/>
      <c r="AB635" s="1510"/>
      <c r="AC635" s="1480">
        <v>1</v>
      </c>
      <c r="AD635" s="1481"/>
      <c r="AE635" s="1482"/>
      <c r="AF635" s="1529">
        <v>1043205</v>
      </c>
      <c r="AG635" s="1530"/>
      <c r="AH635" s="1530"/>
      <c r="AI635" s="1530"/>
      <c r="AJ635" s="1531"/>
      <c r="AK635" s="1496"/>
      <c r="AL635" s="1497"/>
      <c r="AM635" s="1497"/>
      <c r="AN635" s="1498"/>
      <c r="AO635" s="1537">
        <v>15800000</v>
      </c>
      <c r="AP635" s="1537"/>
      <c r="AQ635" s="1537"/>
      <c r="AR635" s="1537"/>
      <c r="AS635" s="1537"/>
      <c r="AT635" s="3"/>
      <c r="AU635" s="3"/>
      <c r="AZ635" s="3"/>
      <c r="BA635" s="3"/>
      <c r="BB635" s="3"/>
      <c r="BC635" s="3"/>
      <c r="BD635" s="3"/>
    </row>
    <row r="636" spans="1:56" ht="12.9" customHeight="1">
      <c r="B636" s="52" t="s">
        <v>113</v>
      </c>
      <c r="C636" s="1731" t="s">
        <v>2767</v>
      </c>
      <c r="D636" s="1731"/>
      <c r="E636" s="1731"/>
      <c r="F636" s="1731"/>
      <c r="G636" s="1731"/>
      <c r="H636" s="1731"/>
      <c r="I636" s="1731"/>
      <c r="J636" s="1731"/>
      <c r="K636" s="1731"/>
      <c r="L636" s="1731"/>
      <c r="M636" s="1479" t="s">
        <v>2070</v>
      </c>
      <c r="N636" s="1479"/>
      <c r="O636" s="1479"/>
      <c r="P636" s="1479"/>
      <c r="Q636" s="1473">
        <v>204</v>
      </c>
      <c r="R636" s="1474"/>
      <c r="S636" s="1475"/>
      <c r="T636" s="1473">
        <v>480</v>
      </c>
      <c r="U636" s="1474"/>
      <c r="V636" s="1475"/>
      <c r="W636" s="1505">
        <v>0.06</v>
      </c>
      <c r="X636" s="1506"/>
      <c r="Y636" s="1507"/>
      <c r="Z636" s="1508" t="s">
        <v>2088</v>
      </c>
      <c r="AA636" s="1509"/>
      <c r="AB636" s="1510"/>
      <c r="AC636" s="1480">
        <v>1</v>
      </c>
      <c r="AD636" s="1481"/>
      <c r="AE636" s="1482"/>
      <c r="AF636" s="1529">
        <v>45827</v>
      </c>
      <c r="AG636" s="1530"/>
      <c r="AH636" s="1530"/>
      <c r="AI636" s="1530"/>
      <c r="AJ636" s="1531"/>
      <c r="AK636" s="1496"/>
      <c r="AL636" s="1497"/>
      <c r="AM636" s="1497"/>
      <c r="AN636" s="1498"/>
      <c r="AO636" s="1459">
        <v>614532</v>
      </c>
      <c r="AP636" s="1460"/>
      <c r="AQ636" s="1460"/>
      <c r="AR636" s="1460"/>
      <c r="AS636" s="1461"/>
      <c r="AT636" s="1142" t="str">
        <f>IF(AND(NOT(C635=""),C636="",NOT(C637="")),"!","")</f>
        <v/>
      </c>
      <c r="AU636" s="3"/>
      <c r="AZ636" s="3"/>
      <c r="BA636" s="3"/>
      <c r="BB636" s="3"/>
      <c r="BC636" s="3"/>
      <c r="BD636" s="3"/>
    </row>
    <row r="637" spans="1:56" ht="12.9" customHeight="1">
      <c r="B637" s="52" t="s">
        <v>119</v>
      </c>
      <c r="C637" s="1731" t="s">
        <v>2732</v>
      </c>
      <c r="D637" s="1731"/>
      <c r="E637" s="1731"/>
      <c r="F637" s="1731"/>
      <c r="G637" s="1731"/>
      <c r="H637" s="1731"/>
      <c r="I637" s="1731"/>
      <c r="J637" s="1731"/>
      <c r="K637" s="1731"/>
      <c r="L637" s="1731"/>
      <c r="M637" s="1479" t="s">
        <v>2072</v>
      </c>
      <c r="N637" s="1479"/>
      <c r="O637" s="1479"/>
      <c r="P637" s="1479"/>
      <c r="Q637" s="1473"/>
      <c r="R637" s="1474"/>
      <c r="S637" s="1475"/>
      <c r="T637" s="1473"/>
      <c r="U637" s="1474"/>
      <c r="V637" s="1475"/>
      <c r="W637" s="1505"/>
      <c r="X637" s="1506"/>
      <c r="Y637" s="1507"/>
      <c r="Z637" s="1508" t="s">
        <v>457</v>
      </c>
      <c r="AA637" s="1509"/>
      <c r="AB637" s="1510"/>
      <c r="AC637" s="1480"/>
      <c r="AD637" s="1481"/>
      <c r="AE637" s="1482"/>
      <c r="AF637" s="1529"/>
      <c r="AG637" s="1530"/>
      <c r="AH637" s="1530"/>
      <c r="AI637" s="1530"/>
      <c r="AJ637" s="1531"/>
      <c r="AK637" s="1496"/>
      <c r="AL637" s="1497"/>
      <c r="AM637" s="1497"/>
      <c r="AN637" s="1498"/>
      <c r="AO637" s="1459">
        <v>1000000</v>
      </c>
      <c r="AP637" s="1460"/>
      <c r="AQ637" s="1460"/>
      <c r="AR637" s="1460"/>
      <c r="AS637" s="1461"/>
      <c r="AT637" s="1142" t="str">
        <f>IF(AND(NOT(C636=""),C637="",NOT(C638="")),"!","")</f>
        <v/>
      </c>
      <c r="AU637" s="3"/>
      <c r="AZ637" s="3"/>
      <c r="BA637" s="3"/>
      <c r="BB637" s="3"/>
      <c r="BC637" s="3"/>
      <c r="BD637" s="3"/>
    </row>
    <row r="638" spans="1:56" ht="12.9" customHeight="1">
      <c r="B638" s="52" t="s">
        <v>581</v>
      </c>
      <c r="C638" s="1731" t="s">
        <v>2264</v>
      </c>
      <c r="D638" s="1536"/>
      <c r="E638" s="1536"/>
      <c r="F638" s="1536"/>
      <c r="G638" s="1536"/>
      <c r="H638" s="1536"/>
      <c r="I638" s="1536"/>
      <c r="J638" s="1536"/>
      <c r="K638" s="1536"/>
      <c r="L638" s="1536"/>
      <c r="M638" s="1479" t="s">
        <v>2063</v>
      </c>
      <c r="N638" s="1479"/>
      <c r="O638" s="1479"/>
      <c r="P638" s="1479"/>
      <c r="Q638" s="1473"/>
      <c r="R638" s="1474"/>
      <c r="S638" s="1475"/>
      <c r="T638" s="1473"/>
      <c r="U638" s="1474"/>
      <c r="V638" s="1475"/>
      <c r="W638" s="1505"/>
      <c r="X638" s="1506"/>
      <c r="Y638" s="1507"/>
      <c r="Z638" s="1508" t="s">
        <v>458</v>
      </c>
      <c r="AA638" s="1509"/>
      <c r="AB638" s="1510"/>
      <c r="AC638" s="1480"/>
      <c r="AD638" s="1481"/>
      <c r="AE638" s="1482"/>
      <c r="AF638" s="1529"/>
      <c r="AG638" s="1530"/>
      <c r="AH638" s="1530"/>
      <c r="AI638" s="1530"/>
      <c r="AJ638" s="1531"/>
      <c r="AK638" s="1496"/>
      <c r="AL638" s="1497"/>
      <c r="AM638" s="1497"/>
      <c r="AN638" s="1498"/>
      <c r="AO638" s="1459">
        <v>5238637</v>
      </c>
      <c r="AP638" s="1460"/>
      <c r="AQ638" s="1460"/>
      <c r="AR638" s="1460"/>
      <c r="AS638" s="1461"/>
      <c r="AT638" s="1142" t="str">
        <f>IF(AND(NOT(C637=""),C638="",NOT(C639="")),"!","")</f>
        <v/>
      </c>
      <c r="AU638" s="3"/>
      <c r="AZ638" s="3"/>
      <c r="BA638" s="3"/>
      <c r="BB638" s="3"/>
      <c r="BC638" s="3"/>
      <c r="BD638" s="3"/>
    </row>
    <row r="639" spans="1:56" ht="12.9" customHeight="1">
      <c r="B639" s="52" t="s">
        <v>763</v>
      </c>
      <c r="C639" s="1731"/>
      <c r="D639" s="1536"/>
      <c r="E639" s="1536"/>
      <c r="F639" s="1536"/>
      <c r="G639" s="1536"/>
      <c r="H639" s="1536"/>
      <c r="I639" s="1536"/>
      <c r="J639" s="1536"/>
      <c r="K639" s="1536"/>
      <c r="L639" s="1536"/>
      <c r="M639" s="1479" t="s">
        <v>1184</v>
      </c>
      <c r="N639" s="1479"/>
      <c r="O639" s="1479"/>
      <c r="P639" s="1479"/>
      <c r="Q639" s="1473"/>
      <c r="R639" s="1474"/>
      <c r="S639" s="1475"/>
      <c r="T639" s="1473"/>
      <c r="U639" s="1474"/>
      <c r="V639" s="1475"/>
      <c r="W639" s="1505"/>
      <c r="X639" s="1506"/>
      <c r="Y639" s="1507"/>
      <c r="Z639" s="1508" t="s">
        <v>1184</v>
      </c>
      <c r="AA639" s="1509"/>
      <c r="AB639" s="1510"/>
      <c r="AC639" s="1480"/>
      <c r="AD639" s="1481"/>
      <c r="AE639" s="1482"/>
      <c r="AF639" s="1529"/>
      <c r="AG639" s="1530"/>
      <c r="AH639" s="1530"/>
      <c r="AI639" s="1530"/>
      <c r="AJ639" s="1531"/>
      <c r="AK639" s="1496"/>
      <c r="AL639" s="1497"/>
      <c r="AM639" s="1497"/>
      <c r="AN639" s="1498"/>
      <c r="AO639" s="1459"/>
      <c r="AP639" s="1460"/>
      <c r="AQ639" s="1460"/>
      <c r="AR639" s="1460"/>
      <c r="AS639" s="1461"/>
      <c r="AT639" s="1142" t="str">
        <f>IF(AND(NOT(C638=""),C639="",NOT(C640="")),"!","")</f>
        <v/>
      </c>
      <c r="AU639" s="3"/>
      <c r="AZ639" s="3"/>
      <c r="BA639" s="3"/>
      <c r="BB639" s="3"/>
      <c r="BC639" s="3"/>
      <c r="BD639" s="3"/>
    </row>
    <row r="640" spans="1:56" ht="12.9" customHeight="1">
      <c r="B640" s="52" t="s">
        <v>584</v>
      </c>
      <c r="C640" s="1731"/>
      <c r="D640" s="1536"/>
      <c r="E640" s="1536"/>
      <c r="F640" s="1536"/>
      <c r="G640" s="1536"/>
      <c r="H640" s="1536"/>
      <c r="I640" s="1536"/>
      <c r="J640" s="1536"/>
      <c r="K640" s="1536"/>
      <c r="L640" s="1536"/>
      <c r="M640" s="1479" t="s">
        <v>1184</v>
      </c>
      <c r="N640" s="1479"/>
      <c r="O640" s="1479"/>
      <c r="P640" s="1479"/>
      <c r="Q640" s="1473"/>
      <c r="R640" s="1474"/>
      <c r="S640" s="1475"/>
      <c r="T640" s="1473"/>
      <c r="U640" s="1474"/>
      <c r="V640" s="1475"/>
      <c r="W640" s="1505"/>
      <c r="X640" s="1506"/>
      <c r="Y640" s="1507"/>
      <c r="Z640" s="1508" t="s">
        <v>1184</v>
      </c>
      <c r="AA640" s="1509"/>
      <c r="AB640" s="1510"/>
      <c r="AC640" s="1480"/>
      <c r="AD640" s="1481"/>
      <c r="AE640" s="1482"/>
      <c r="AF640" s="1529"/>
      <c r="AG640" s="1530"/>
      <c r="AH640" s="1530"/>
      <c r="AI640" s="1530"/>
      <c r="AJ640" s="1531"/>
      <c r="AK640" s="1496"/>
      <c r="AL640" s="1497"/>
      <c r="AM640" s="1497"/>
      <c r="AN640" s="1498"/>
      <c r="AO640" s="1459"/>
      <c r="AP640" s="1460"/>
      <c r="AQ640" s="1460"/>
      <c r="AR640" s="1460"/>
      <c r="AS640" s="1461"/>
      <c r="AT640" s="1142" t="str">
        <f t="shared" ref="AT640:AT646" si="3">IF(AND(NOT(C639=""),C640="",NOT(C641="")),"!","")</f>
        <v/>
      </c>
      <c r="AU640" s="3"/>
      <c r="AZ640" s="3"/>
      <c r="BA640" s="3"/>
      <c r="BB640" s="3"/>
      <c r="BC640" s="3"/>
      <c r="BD640" s="3"/>
    </row>
    <row r="641" spans="1:157" ht="12.9" customHeight="1">
      <c r="B641" s="52" t="s">
        <v>455</v>
      </c>
      <c r="C641" s="1536"/>
      <c r="D641" s="1536"/>
      <c r="E641" s="1536"/>
      <c r="F641" s="1536"/>
      <c r="G641" s="1536"/>
      <c r="H641" s="1536"/>
      <c r="I641" s="1536"/>
      <c r="J641" s="1536"/>
      <c r="K641" s="1536"/>
      <c r="L641" s="1536"/>
      <c r="M641" s="1479" t="s">
        <v>1184</v>
      </c>
      <c r="N641" s="1479"/>
      <c r="O641" s="1479"/>
      <c r="P641" s="1479"/>
      <c r="Q641" s="1473"/>
      <c r="R641" s="1474"/>
      <c r="S641" s="1475"/>
      <c r="T641" s="1473"/>
      <c r="U641" s="1474"/>
      <c r="V641" s="1475"/>
      <c r="W641" s="1505"/>
      <c r="X641" s="1506"/>
      <c r="Y641" s="1507"/>
      <c r="Z641" s="1508" t="s">
        <v>1184</v>
      </c>
      <c r="AA641" s="1509"/>
      <c r="AB641" s="1510"/>
      <c r="AC641" s="1480"/>
      <c r="AD641" s="1481"/>
      <c r="AE641" s="1482"/>
      <c r="AF641" s="1529"/>
      <c r="AG641" s="1530"/>
      <c r="AH641" s="1530"/>
      <c r="AI641" s="1530"/>
      <c r="AJ641" s="1531"/>
      <c r="AK641" s="1496"/>
      <c r="AL641" s="1497"/>
      <c r="AM641" s="1497"/>
      <c r="AN641" s="1498"/>
      <c r="AO641" s="1459"/>
      <c r="AP641" s="1460"/>
      <c r="AQ641" s="1460"/>
      <c r="AR641" s="1460"/>
      <c r="AS641" s="1461"/>
      <c r="AT641" s="1142" t="str">
        <f>IF(AND(NOT(C640=""),C641="",NOT(C642="")),"!","")</f>
        <v/>
      </c>
      <c r="AU641" s="3"/>
      <c r="AV641" s="3"/>
      <c r="AW641" s="3"/>
      <c r="AX641" s="3"/>
      <c r="AY641" s="3"/>
      <c r="AZ641" s="3"/>
      <c r="BA641" s="3"/>
      <c r="BB641" s="3"/>
      <c r="BC641" s="3"/>
      <c r="BD641" s="3"/>
    </row>
    <row r="642" spans="1:157" ht="12.9" customHeight="1">
      <c r="B642" s="52" t="s">
        <v>456</v>
      </c>
      <c r="C642" s="1536"/>
      <c r="D642" s="1536"/>
      <c r="E642" s="1536"/>
      <c r="F642" s="1536"/>
      <c r="G642" s="1536"/>
      <c r="H642" s="1536"/>
      <c r="I642" s="1536"/>
      <c r="J642" s="1536"/>
      <c r="K642" s="1536"/>
      <c r="L642" s="1712"/>
      <c r="M642" s="1479" t="s">
        <v>1184</v>
      </c>
      <c r="N642" s="1479"/>
      <c r="O642" s="1479"/>
      <c r="P642" s="1479"/>
      <c r="Q642" s="1473"/>
      <c r="R642" s="1474"/>
      <c r="S642" s="1475"/>
      <c r="T642" s="1473"/>
      <c r="U642" s="1474"/>
      <c r="V642" s="1475"/>
      <c r="W642" s="1505"/>
      <c r="X642" s="1506"/>
      <c r="Y642" s="1507"/>
      <c r="Z642" s="1508" t="s">
        <v>1184</v>
      </c>
      <c r="AA642" s="1509"/>
      <c r="AB642" s="1510"/>
      <c r="AC642" s="1480"/>
      <c r="AD642" s="1481"/>
      <c r="AE642" s="1482"/>
      <c r="AF642" s="1529"/>
      <c r="AG642" s="1530"/>
      <c r="AH642" s="1530"/>
      <c r="AI642" s="1530"/>
      <c r="AJ642" s="1531"/>
      <c r="AK642" s="1496"/>
      <c r="AL642" s="1497"/>
      <c r="AM642" s="1497"/>
      <c r="AN642" s="1498"/>
      <c r="AO642" s="1459"/>
      <c r="AP642" s="1460"/>
      <c r="AQ642" s="1460"/>
      <c r="AR642" s="1460"/>
      <c r="AS642" s="1461"/>
      <c r="AT642" s="1142" t="str">
        <f>IF(AND(NOT(C641=""),C642="",NOT(C643="")),"!","")</f>
        <v/>
      </c>
      <c r="AU642" s="3"/>
      <c r="AV642" s="3"/>
      <c r="AW642" s="3"/>
      <c r="AX642" s="3"/>
      <c r="AY642" s="3"/>
      <c r="AZ642" s="3"/>
      <c r="BA642" s="3" t="s">
        <v>1184</v>
      </c>
      <c r="BB642" s="3"/>
      <c r="BC642" s="3"/>
      <c r="BD642" s="3"/>
    </row>
    <row r="643" spans="1:157" ht="12.9" customHeight="1">
      <c r="B643" s="52" t="s">
        <v>461</v>
      </c>
      <c r="C643" s="1536"/>
      <c r="D643" s="1536"/>
      <c r="E643" s="1536"/>
      <c r="F643" s="1536"/>
      <c r="G643" s="1536"/>
      <c r="H643" s="1536"/>
      <c r="I643" s="1536"/>
      <c r="J643" s="1536"/>
      <c r="K643" s="1536"/>
      <c r="L643" s="1536"/>
      <c r="M643" s="1479" t="s">
        <v>1184</v>
      </c>
      <c r="N643" s="1479"/>
      <c r="O643" s="1479"/>
      <c r="P643" s="1479"/>
      <c r="Q643" s="1473"/>
      <c r="R643" s="1474"/>
      <c r="S643" s="1475"/>
      <c r="T643" s="1473"/>
      <c r="U643" s="1474"/>
      <c r="V643" s="1475"/>
      <c r="W643" s="1505"/>
      <c r="X643" s="1506"/>
      <c r="Y643" s="1507"/>
      <c r="Z643" s="1508" t="s">
        <v>1184</v>
      </c>
      <c r="AA643" s="1509"/>
      <c r="AB643" s="1510"/>
      <c r="AC643" s="1480"/>
      <c r="AD643" s="1481"/>
      <c r="AE643" s="1482"/>
      <c r="AF643" s="1529"/>
      <c r="AG643" s="1530"/>
      <c r="AH643" s="1530"/>
      <c r="AI643" s="1530"/>
      <c r="AJ643" s="1531"/>
      <c r="AK643" s="1496"/>
      <c r="AL643" s="1497"/>
      <c r="AM643" s="1497"/>
      <c r="AN643" s="1498"/>
      <c r="AO643" s="1459"/>
      <c r="AP643" s="1460"/>
      <c r="AQ643" s="1460"/>
      <c r="AR643" s="1460"/>
      <c r="AS643" s="1461"/>
      <c r="AT643" s="1142" t="str">
        <f>IF(AND(NOT(C642=""),C643="",NOT(C644="")),"!","")</f>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2" t="e">
        <f t="shared" ref="DX643:DX677" si="4">EZ726*(CP726/$CP$761)</f>
        <v>#VALUE!</v>
      </c>
      <c r="DY643" s="1532"/>
      <c r="DZ643" s="1532"/>
      <c r="EA643" s="1532"/>
      <c r="EB643" s="1532"/>
      <c r="EC643" s="1532">
        <f t="shared" ref="EC643:EC677" si="5">FE726*(CU726/$CU$761)</f>
        <v>1284.9047619047619</v>
      </c>
      <c r="ED643" s="1532"/>
      <c r="EE643" s="1532"/>
      <c r="EF643" s="1532"/>
      <c r="EG643" s="1532"/>
      <c r="EH643" s="1532" t="e">
        <f t="shared" ref="EH643:EH677" si="6">FJ726*(CZ726/$CZ$761)</f>
        <v>#VALUE!</v>
      </c>
      <c r="EI643" s="1532"/>
      <c r="EJ643" s="1532"/>
      <c r="EK643" s="1532"/>
      <c r="EL643" s="1532"/>
      <c r="EM643" s="1532" t="e">
        <f t="shared" ref="EM643:EM677" si="7">FO726*(DE726/$DE$761)</f>
        <v>#VALUE!</v>
      </c>
      <c r="EN643" s="1532"/>
      <c r="EO643" s="1532"/>
      <c r="EP643" s="1532"/>
      <c r="EQ643" s="1532"/>
      <c r="ER643" s="1532" t="e">
        <f t="shared" ref="ER643:ER677" si="8">FT726*(DJ726/$DJ$761)</f>
        <v>#VALUE!</v>
      </c>
      <c r="ES643" s="1532"/>
      <c r="ET643" s="1532"/>
      <c r="EU643" s="1532"/>
      <c r="EV643" s="1532"/>
      <c r="EW643" s="1532" t="e">
        <f t="shared" ref="EW643:EW677" si="9">FY726*(DO726/$DO$761)</f>
        <v>#VALUE!</v>
      </c>
      <c r="EX643" s="1532"/>
      <c r="EY643" s="1532"/>
      <c r="EZ643" s="1532"/>
      <c r="FA643" s="1532"/>
    </row>
    <row r="644" spans="1:157" ht="12.9" customHeight="1">
      <c r="B644" s="52" t="s">
        <v>646</v>
      </c>
      <c r="C644" s="1536"/>
      <c r="D644" s="1536"/>
      <c r="E644" s="1536"/>
      <c r="F644" s="1536"/>
      <c r="G644" s="1536"/>
      <c r="H644" s="1536"/>
      <c r="I644" s="1536"/>
      <c r="J644" s="1536"/>
      <c r="K644" s="1536"/>
      <c r="L644" s="1536"/>
      <c r="M644" s="1479" t="s">
        <v>1184</v>
      </c>
      <c r="N644" s="1479"/>
      <c r="O644" s="1479"/>
      <c r="P644" s="1479"/>
      <c r="Q644" s="1473"/>
      <c r="R644" s="1474"/>
      <c r="S644" s="1475"/>
      <c r="T644" s="1473"/>
      <c r="U644" s="1474"/>
      <c r="V644" s="1475"/>
      <c r="W644" s="1505"/>
      <c r="X644" s="1506"/>
      <c r="Y644" s="1507"/>
      <c r="Z644" s="1508" t="s">
        <v>1184</v>
      </c>
      <c r="AA644" s="1509"/>
      <c r="AB644" s="1510"/>
      <c r="AC644" s="1480"/>
      <c r="AD644" s="1481"/>
      <c r="AE644" s="1482"/>
      <c r="AF644" s="1529"/>
      <c r="AG644" s="1530"/>
      <c r="AH644" s="1530"/>
      <c r="AI644" s="1530"/>
      <c r="AJ644" s="1531"/>
      <c r="AK644" s="1496"/>
      <c r="AL644" s="1497"/>
      <c r="AM644" s="1497"/>
      <c r="AN644" s="1498"/>
      <c r="AO644" s="1459"/>
      <c r="AP644" s="1460"/>
      <c r="AQ644" s="1460"/>
      <c r="AR644" s="1460"/>
      <c r="AS644" s="1461"/>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2" t="e">
        <f t="shared" si="4"/>
        <v>#VALUE!</v>
      </c>
      <c r="DY644" s="1532"/>
      <c r="DZ644" s="1532"/>
      <c r="EA644" s="1532"/>
      <c r="EB644" s="1532"/>
      <c r="EC644" s="1532">
        <f t="shared" si="5"/>
        <v>298.57142857142856</v>
      </c>
      <c r="ED644" s="1532"/>
      <c r="EE644" s="1532"/>
      <c r="EF644" s="1532"/>
      <c r="EG644" s="1532"/>
      <c r="EH644" s="1532" t="e">
        <f t="shared" si="6"/>
        <v>#VALUE!</v>
      </c>
      <c r="EI644" s="1532"/>
      <c r="EJ644" s="1532"/>
      <c r="EK644" s="1532"/>
      <c r="EL644" s="1532"/>
      <c r="EM644" s="1532" t="e">
        <f t="shared" si="7"/>
        <v>#VALUE!</v>
      </c>
      <c r="EN644" s="1532"/>
      <c r="EO644" s="1532"/>
      <c r="EP644" s="1532"/>
      <c r="EQ644" s="1532"/>
      <c r="ER644" s="1532" t="e">
        <f t="shared" si="8"/>
        <v>#VALUE!</v>
      </c>
      <c r="ES644" s="1532"/>
      <c r="ET644" s="1532"/>
      <c r="EU644" s="1532"/>
      <c r="EV644" s="1532"/>
      <c r="EW644" s="1532" t="e">
        <f t="shared" si="9"/>
        <v>#VALUE!</v>
      </c>
      <c r="EX644" s="1532"/>
      <c r="EY644" s="1532"/>
      <c r="EZ644" s="1532"/>
      <c r="FA644" s="1532"/>
    </row>
    <row r="645" spans="1:157" ht="12.9" customHeight="1">
      <c r="B645" s="52" t="s">
        <v>362</v>
      </c>
      <c r="C645" s="1536"/>
      <c r="D645" s="1536"/>
      <c r="E645" s="1536"/>
      <c r="F645" s="1536"/>
      <c r="G645" s="1536"/>
      <c r="H645" s="1536"/>
      <c r="I645" s="1536"/>
      <c r="J645" s="1536"/>
      <c r="K645" s="1536"/>
      <c r="L645" s="1536"/>
      <c r="M645" s="1479" t="s">
        <v>1184</v>
      </c>
      <c r="N645" s="1479"/>
      <c r="O645" s="1479"/>
      <c r="P645" s="1479"/>
      <c r="Q645" s="1473"/>
      <c r="R645" s="1474"/>
      <c r="S645" s="1475"/>
      <c r="T645" s="1473"/>
      <c r="U645" s="1474"/>
      <c r="V645" s="1475"/>
      <c r="W645" s="1505"/>
      <c r="X645" s="1506"/>
      <c r="Y645" s="1507"/>
      <c r="Z645" s="1508" t="s">
        <v>1184</v>
      </c>
      <c r="AA645" s="1509"/>
      <c r="AB645" s="1510"/>
      <c r="AC645" s="1480"/>
      <c r="AD645" s="1481"/>
      <c r="AE645" s="1482"/>
      <c r="AF645" s="1529"/>
      <c r="AG645" s="1530"/>
      <c r="AH645" s="1530"/>
      <c r="AI645" s="1530"/>
      <c r="AJ645" s="1531"/>
      <c r="AK645" s="1496"/>
      <c r="AL645" s="1497"/>
      <c r="AM645" s="1497"/>
      <c r="AN645" s="1498"/>
      <c r="AO645" s="1459"/>
      <c r="AP645" s="1460"/>
      <c r="AQ645" s="1460"/>
      <c r="AR645" s="1460"/>
      <c r="AS645" s="1461"/>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32" t="e">
        <f t="shared" si="4"/>
        <v>#VALUE!</v>
      </c>
      <c r="DY645" s="1532"/>
      <c r="DZ645" s="1532"/>
      <c r="EA645" s="1532"/>
      <c r="EB645" s="1532"/>
      <c r="EC645" s="1532">
        <f t="shared" si="5"/>
        <v>246.71428571428569</v>
      </c>
      <c r="ED645" s="1532"/>
      <c r="EE645" s="1532"/>
      <c r="EF645" s="1532"/>
      <c r="EG645" s="1532"/>
      <c r="EH645" s="1532" t="e">
        <f t="shared" si="6"/>
        <v>#VALUE!</v>
      </c>
      <c r="EI645" s="1532"/>
      <c r="EJ645" s="1532"/>
      <c r="EK645" s="1532"/>
      <c r="EL645" s="1532"/>
      <c r="EM645" s="1532" t="e">
        <f t="shared" si="7"/>
        <v>#VALUE!</v>
      </c>
      <c r="EN645" s="1532"/>
      <c r="EO645" s="1532"/>
      <c r="EP645" s="1532"/>
      <c r="EQ645" s="1532"/>
      <c r="ER645" s="1532" t="e">
        <f t="shared" si="8"/>
        <v>#VALUE!</v>
      </c>
      <c r="ES645" s="1532"/>
      <c r="ET645" s="1532"/>
      <c r="EU645" s="1532"/>
      <c r="EV645" s="1532"/>
      <c r="EW645" s="1532" t="e">
        <f t="shared" si="9"/>
        <v>#VALUE!</v>
      </c>
      <c r="EX645" s="1532"/>
      <c r="EY645" s="1532"/>
      <c r="EZ645" s="1532"/>
      <c r="FA645" s="1532"/>
    </row>
    <row r="646" spans="1:157" ht="12.9" customHeight="1">
      <c r="B646" s="52" t="s">
        <v>363</v>
      </c>
      <c r="C646" s="1536"/>
      <c r="D646" s="1536"/>
      <c r="E646" s="1536"/>
      <c r="F646" s="1536"/>
      <c r="G646" s="1536"/>
      <c r="H646" s="1536"/>
      <c r="I646" s="1536"/>
      <c r="J646" s="1536"/>
      <c r="K646" s="1536"/>
      <c r="L646" s="1536"/>
      <c r="M646" s="1479" t="s">
        <v>1184</v>
      </c>
      <c r="N646" s="1479"/>
      <c r="O646" s="1479"/>
      <c r="P646" s="1479"/>
      <c r="Q646" s="1473"/>
      <c r="R646" s="1474"/>
      <c r="S646" s="1475"/>
      <c r="T646" s="1473"/>
      <c r="U646" s="1474"/>
      <c r="V646" s="1475"/>
      <c r="W646" s="1505"/>
      <c r="X646" s="1506"/>
      <c r="Y646" s="1507"/>
      <c r="Z646" s="1508" t="s">
        <v>1184</v>
      </c>
      <c r="AA646" s="1509"/>
      <c r="AB646" s="1510"/>
      <c r="AC646" s="1480"/>
      <c r="AD646" s="1481"/>
      <c r="AE646" s="1482"/>
      <c r="AF646" s="1529"/>
      <c r="AG646" s="1530"/>
      <c r="AH646" s="1530"/>
      <c r="AI646" s="1530"/>
      <c r="AJ646" s="1531"/>
      <c r="AK646" s="1496"/>
      <c r="AL646" s="1497"/>
      <c r="AM646" s="1497"/>
      <c r="AN646" s="1498"/>
      <c r="AO646" s="1459"/>
      <c r="AP646" s="1460"/>
      <c r="AQ646" s="1460"/>
      <c r="AR646" s="1460"/>
      <c r="AS646" s="1461"/>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2" t="e">
        <f t="shared" si="4"/>
        <v>#VALUE!</v>
      </c>
      <c r="DY646" s="1532"/>
      <c r="DZ646" s="1532"/>
      <c r="EA646" s="1532"/>
      <c r="EB646" s="1532"/>
      <c r="EC646" s="1532">
        <f t="shared" si="5"/>
        <v>190.85714285714283</v>
      </c>
      <c r="ED646" s="1532"/>
      <c r="EE646" s="1532"/>
      <c r="EF646" s="1532"/>
      <c r="EG646" s="1532"/>
      <c r="EH646" s="1532" t="e">
        <f t="shared" si="6"/>
        <v>#VALUE!</v>
      </c>
      <c r="EI646" s="1532"/>
      <c r="EJ646" s="1532"/>
      <c r="EK646" s="1532"/>
      <c r="EL646" s="1532"/>
      <c r="EM646" s="1532" t="e">
        <f t="shared" si="7"/>
        <v>#VALUE!</v>
      </c>
      <c r="EN646" s="1532"/>
      <c r="EO646" s="1532"/>
      <c r="EP646" s="1532"/>
      <c r="EQ646" s="1532"/>
      <c r="ER646" s="1532" t="e">
        <f t="shared" si="8"/>
        <v>#VALUE!</v>
      </c>
      <c r="ES646" s="1532"/>
      <c r="ET646" s="1532"/>
      <c r="EU646" s="1532"/>
      <c r="EV646" s="1532"/>
      <c r="EW646" s="1532" t="e">
        <f t="shared" si="9"/>
        <v>#VALUE!</v>
      </c>
      <c r="EX646" s="1532"/>
      <c r="EY646" s="1532"/>
      <c r="EZ646" s="1532"/>
      <c r="FA646" s="1532"/>
    </row>
    <row r="647" spans="1:157" ht="12.9" customHeight="1">
      <c r="B647" s="1682" t="s">
        <v>128</v>
      </c>
      <c r="C647" s="1683"/>
      <c r="D647" s="1683"/>
      <c r="E647" s="1683"/>
      <c r="F647" s="1683"/>
      <c r="G647" s="1683"/>
      <c r="H647" s="1683"/>
      <c r="I647" s="1683"/>
      <c r="J647" s="1683"/>
      <c r="K647" s="1683"/>
      <c r="L647" s="1683"/>
      <c r="M647" s="1683"/>
      <c r="N647" s="1683"/>
      <c r="O647" s="1683"/>
      <c r="P647" s="1683"/>
      <c r="Q647" s="1683"/>
      <c r="R647" s="1683"/>
      <c r="S647" s="1683"/>
      <c r="T647" s="1683"/>
      <c r="U647" s="1683"/>
      <c r="V647" s="1683"/>
      <c r="W647" s="1683"/>
      <c r="X647" s="1683"/>
      <c r="Y647" s="1683"/>
      <c r="Z647" s="1683"/>
      <c r="AA647" s="1683"/>
      <c r="AB647" s="1683"/>
      <c r="AC647" s="1683"/>
      <c r="AD647" s="1683"/>
      <c r="AE647" s="1683"/>
      <c r="AF647" s="1683"/>
      <c r="AG647" s="1683"/>
      <c r="AH647" s="1683"/>
      <c r="AI647" s="1683"/>
      <c r="AJ647" s="1683"/>
      <c r="AK647" s="1683"/>
      <c r="AL647" s="1683"/>
      <c r="AM647" s="1683"/>
      <c r="AN647" s="1684"/>
      <c r="AO647" s="1450">
        <f>SUM(AO635:AR646)</f>
        <v>22653169</v>
      </c>
      <c r="AP647" s="1451"/>
      <c r="AQ647" s="1451"/>
      <c r="AR647" s="1451"/>
      <c r="AS647" s="145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2" t="e">
        <f t="shared" si="4"/>
        <v>#VALUE!</v>
      </c>
      <c r="DY647" s="1532"/>
      <c r="DZ647" s="1532"/>
      <c r="EA647" s="1532"/>
      <c r="EB647" s="1532"/>
      <c r="EC647" s="1532" t="e">
        <f t="shared" si="5"/>
        <v>#VALUE!</v>
      </c>
      <c r="ED647" s="1532"/>
      <c r="EE647" s="1532"/>
      <c r="EF647" s="1532"/>
      <c r="EG647" s="1532"/>
      <c r="EH647" s="1532">
        <f t="shared" si="6"/>
        <v>1811.952380952381</v>
      </c>
      <c r="EI647" s="1532"/>
      <c r="EJ647" s="1532"/>
      <c r="EK647" s="1532"/>
      <c r="EL647" s="1532"/>
      <c r="EM647" s="1532" t="e">
        <f t="shared" si="7"/>
        <v>#VALUE!</v>
      </c>
      <c r="EN647" s="1532"/>
      <c r="EO647" s="1532"/>
      <c r="EP647" s="1532"/>
      <c r="EQ647" s="1532"/>
      <c r="ER647" s="1532" t="e">
        <f t="shared" si="8"/>
        <v>#VALUE!</v>
      </c>
      <c r="ES647" s="1532"/>
      <c r="ET647" s="1532"/>
      <c r="EU647" s="1532"/>
      <c r="EV647" s="1532"/>
      <c r="EW647" s="1532" t="e">
        <f t="shared" si="9"/>
        <v>#VALUE!</v>
      </c>
      <c r="EX647" s="1532"/>
      <c r="EY647" s="1532"/>
      <c r="EZ647" s="1532"/>
      <c r="FA647" s="1532"/>
    </row>
    <row r="648" spans="1:157" ht="12.9" customHeight="1">
      <c r="B648" s="1682" t="s">
        <v>267</v>
      </c>
      <c r="C648" s="1683"/>
      <c r="D648" s="1683"/>
      <c r="E648" s="1683"/>
      <c r="F648" s="1683"/>
      <c r="G648" s="1683"/>
      <c r="H648" s="1683"/>
      <c r="I648" s="1683"/>
      <c r="J648" s="1683"/>
      <c r="K648" s="1683"/>
      <c r="L648" s="1683"/>
      <c r="M648" s="1683"/>
      <c r="N648" s="1683"/>
      <c r="O648" s="1683"/>
      <c r="P648" s="1683"/>
      <c r="Q648" s="1683"/>
      <c r="R648" s="1683"/>
      <c r="S648" s="1683"/>
      <c r="T648" s="1683"/>
      <c r="U648" s="1683"/>
      <c r="V648" s="1683"/>
      <c r="W648" s="1683"/>
      <c r="X648" s="1683"/>
      <c r="Y648" s="1683"/>
      <c r="Z648" s="1683"/>
      <c r="AA648" s="1683"/>
      <c r="AB648" s="1683"/>
      <c r="AC648" s="1683"/>
      <c r="AD648" s="1683"/>
      <c r="AE648" s="1683"/>
      <c r="AF648" s="1683"/>
      <c r="AG648" s="1683"/>
      <c r="AH648" s="1683"/>
      <c r="AI648" s="1683"/>
      <c r="AJ648" s="1683"/>
      <c r="AK648" s="1683"/>
      <c r="AL648" s="1683"/>
      <c r="AM648" s="1683"/>
      <c r="AN648" s="1684"/>
      <c r="AO648" s="1459">
        <f>21053061+11340000</f>
        <v>32393061</v>
      </c>
      <c r="AP648" s="1460"/>
      <c r="AQ648" s="1460"/>
      <c r="AR648" s="1460"/>
      <c r="AS648" s="146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2" t="e">
        <f t="shared" si="4"/>
        <v>#VALUE!</v>
      </c>
      <c r="DY648" s="1532"/>
      <c r="DZ648" s="1532"/>
      <c r="EA648" s="1532"/>
      <c r="EB648" s="1532"/>
      <c r="EC648" s="1532" t="e">
        <f t="shared" si="5"/>
        <v>#VALUE!</v>
      </c>
      <c r="ED648" s="1532"/>
      <c r="EE648" s="1532"/>
      <c r="EF648" s="1532"/>
      <c r="EG648" s="1532"/>
      <c r="EH648" s="1532">
        <f t="shared" si="6"/>
        <v>356</v>
      </c>
      <c r="EI648" s="1532"/>
      <c r="EJ648" s="1532"/>
      <c r="EK648" s="1532"/>
      <c r="EL648" s="1532"/>
      <c r="EM648" s="1532" t="e">
        <f t="shared" si="7"/>
        <v>#VALUE!</v>
      </c>
      <c r="EN648" s="1532"/>
      <c r="EO648" s="1532"/>
      <c r="EP648" s="1532"/>
      <c r="EQ648" s="1532"/>
      <c r="ER648" s="1532" t="e">
        <f t="shared" si="8"/>
        <v>#VALUE!</v>
      </c>
      <c r="ES648" s="1532"/>
      <c r="ET648" s="1532"/>
      <c r="EU648" s="1532"/>
      <c r="EV648" s="1532"/>
      <c r="EW648" s="1532" t="e">
        <f t="shared" si="9"/>
        <v>#VALUE!</v>
      </c>
      <c r="EX648" s="1532"/>
      <c r="EY648" s="1532"/>
      <c r="EZ648" s="1532"/>
      <c r="FA648" s="1532"/>
    </row>
    <row r="649" spans="1:157" ht="12.9" customHeight="1">
      <c r="B649" s="1476" t="s">
        <v>268</v>
      </c>
      <c r="C649" s="1477"/>
      <c r="D649" s="1477"/>
      <c r="E649" s="1477"/>
      <c r="F649" s="1477"/>
      <c r="G649" s="1477"/>
      <c r="H649" s="1477"/>
      <c r="I649" s="1477"/>
      <c r="J649" s="1477"/>
      <c r="K649" s="1477"/>
      <c r="L649" s="1477"/>
      <c r="M649" s="1477"/>
      <c r="N649" s="1477"/>
      <c r="O649" s="1477"/>
      <c r="P649" s="1477"/>
      <c r="Q649" s="1477"/>
      <c r="R649" s="1477"/>
      <c r="S649" s="1477"/>
      <c r="T649" s="1477"/>
      <c r="U649" s="1477"/>
      <c r="V649" s="1477"/>
      <c r="W649" s="1477"/>
      <c r="X649" s="1477"/>
      <c r="Y649" s="1477"/>
      <c r="Z649" s="1477"/>
      <c r="AA649" s="1477"/>
      <c r="AB649" s="1477"/>
      <c r="AC649" s="1477"/>
      <c r="AD649" s="1477"/>
      <c r="AE649" s="1477"/>
      <c r="AF649" s="1477"/>
      <c r="AG649" s="1477"/>
      <c r="AH649" s="1477"/>
      <c r="AI649" s="1477"/>
      <c r="AJ649" s="1477"/>
      <c r="AK649" s="1477"/>
      <c r="AL649" s="1477"/>
      <c r="AM649" s="1477"/>
      <c r="AN649" s="1478"/>
      <c r="AO649" s="1450">
        <f>AO647+AO648</f>
        <v>55046230</v>
      </c>
      <c r="AP649" s="1451"/>
      <c r="AQ649" s="1451"/>
      <c r="AR649" s="1451"/>
      <c r="AS649" s="145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2" t="e">
        <f t="shared" si="4"/>
        <v>#VALUE!</v>
      </c>
      <c r="DY649" s="1532"/>
      <c r="DZ649" s="1532"/>
      <c r="EA649" s="1532"/>
      <c r="EB649" s="1532"/>
      <c r="EC649" s="1532" t="e">
        <f t="shared" si="5"/>
        <v>#VALUE!</v>
      </c>
      <c r="ED649" s="1532"/>
      <c r="EE649" s="1532"/>
      <c r="EF649" s="1532"/>
      <c r="EG649" s="1532"/>
      <c r="EH649" s="1532">
        <f t="shared" si="6"/>
        <v>195.9047619047619</v>
      </c>
      <c r="EI649" s="1532"/>
      <c r="EJ649" s="1532"/>
      <c r="EK649" s="1532"/>
      <c r="EL649" s="1532"/>
      <c r="EM649" s="1532" t="e">
        <f t="shared" si="7"/>
        <v>#VALUE!</v>
      </c>
      <c r="EN649" s="1532"/>
      <c r="EO649" s="1532"/>
      <c r="EP649" s="1532"/>
      <c r="EQ649" s="1532"/>
      <c r="ER649" s="1532" t="e">
        <f t="shared" si="8"/>
        <v>#VALUE!</v>
      </c>
      <c r="ES649" s="1532"/>
      <c r="ET649" s="1532"/>
      <c r="EU649" s="1532"/>
      <c r="EV649" s="1532"/>
      <c r="EW649" s="1532" t="e">
        <f t="shared" si="9"/>
        <v>#VALUE!</v>
      </c>
      <c r="EX649" s="1532"/>
      <c r="EY649" s="1532"/>
      <c r="EZ649" s="1532"/>
      <c r="FA649" s="1532"/>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2" t="e">
        <f t="shared" si="4"/>
        <v>#VALUE!</v>
      </c>
      <c r="DY650" s="1532"/>
      <c r="DZ650" s="1532"/>
      <c r="EA650" s="1532"/>
      <c r="EB650" s="1532"/>
      <c r="EC650" s="1532" t="e">
        <f t="shared" si="5"/>
        <v>#VALUE!</v>
      </c>
      <c r="ED650" s="1532"/>
      <c r="EE650" s="1532"/>
      <c r="EF650" s="1532"/>
      <c r="EG650" s="1532"/>
      <c r="EH650" s="1532">
        <f t="shared" si="6"/>
        <v>169.42857142857142</v>
      </c>
      <c r="EI650" s="1532"/>
      <c r="EJ650" s="1532"/>
      <c r="EK650" s="1532"/>
      <c r="EL650" s="1532"/>
      <c r="EM650" s="1532" t="e">
        <f t="shared" si="7"/>
        <v>#VALUE!</v>
      </c>
      <c r="EN650" s="1532"/>
      <c r="EO650" s="1532"/>
      <c r="EP650" s="1532"/>
      <c r="EQ650" s="1532"/>
      <c r="ER650" s="1532" t="e">
        <f t="shared" si="8"/>
        <v>#VALUE!</v>
      </c>
      <c r="ES650" s="1532"/>
      <c r="ET650" s="1532"/>
      <c r="EU650" s="1532"/>
      <c r="EV650" s="1532"/>
      <c r="EW650" s="1532" t="e">
        <f t="shared" si="9"/>
        <v>#VALUE!</v>
      </c>
      <c r="EX650" s="1532"/>
      <c r="EY650" s="1532"/>
      <c r="EZ650" s="1532"/>
      <c r="FA650" s="1532"/>
    </row>
    <row r="651" spans="1:157" ht="12.9" customHeight="1">
      <c r="A651" s="55" t="s">
        <v>112</v>
      </c>
      <c r="B651" t="s">
        <v>463</v>
      </c>
      <c r="G651" s="1471" t="str">
        <f>C635</f>
        <v>Citi Perm Loan Tranche A</v>
      </c>
      <c r="H651" s="1471"/>
      <c r="I651" s="1471"/>
      <c r="J651" s="1471"/>
      <c r="K651" s="1471"/>
      <c r="L651" s="1471"/>
      <c r="M651" s="1471"/>
      <c r="N651" s="1471"/>
      <c r="O651" s="1471"/>
      <c r="P651" s="1471"/>
      <c r="Q651" s="1471"/>
      <c r="R651" s="1471"/>
      <c r="S651" s="8"/>
      <c r="T651" s="55" t="s">
        <v>113</v>
      </c>
      <c r="U651" t="s">
        <v>463</v>
      </c>
      <c r="Z651" s="1471" t="str">
        <f>C636</f>
        <v>Citi Perm Loan Tranche B</v>
      </c>
      <c r="AA651" s="1471"/>
      <c r="AB651" s="1471"/>
      <c r="AC651" s="1471"/>
      <c r="AD651" s="1471"/>
      <c r="AE651" s="1471"/>
      <c r="AF651" s="1471"/>
      <c r="AG651" s="1471"/>
      <c r="AH651" s="1471"/>
      <c r="AI651" s="1471"/>
      <c r="AJ651" s="1471"/>
      <c r="AK651" s="147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2" t="e">
        <f t="shared" si="4"/>
        <v>#VALUE!</v>
      </c>
      <c r="DY651" s="1532"/>
      <c r="DZ651" s="1532"/>
      <c r="EA651" s="1532"/>
      <c r="EB651" s="1532"/>
      <c r="EC651" s="1532" t="e">
        <f t="shared" si="5"/>
        <v>#VALUE!</v>
      </c>
      <c r="ED651" s="1532"/>
      <c r="EE651" s="1532"/>
      <c r="EF651" s="1532"/>
      <c r="EG651" s="1532"/>
      <c r="EH651" s="1532" t="e">
        <f t="shared" si="6"/>
        <v>#VALUE!</v>
      </c>
      <c r="EI651" s="1532"/>
      <c r="EJ651" s="1532"/>
      <c r="EK651" s="1532"/>
      <c r="EL651" s="1532"/>
      <c r="EM651" s="1532">
        <f t="shared" si="7"/>
        <v>2017.8</v>
      </c>
      <c r="EN651" s="1532"/>
      <c r="EO651" s="1532"/>
      <c r="EP651" s="1532"/>
      <c r="EQ651" s="1532"/>
      <c r="ER651" s="1532" t="e">
        <f t="shared" si="8"/>
        <v>#VALUE!</v>
      </c>
      <c r="ES651" s="1532"/>
      <c r="ET651" s="1532"/>
      <c r="EU651" s="1532"/>
      <c r="EV651" s="1532"/>
      <c r="EW651" s="1532" t="e">
        <f t="shared" si="9"/>
        <v>#VALUE!</v>
      </c>
      <c r="EX651" s="1532"/>
      <c r="EY651" s="1532"/>
      <c r="EZ651" s="1532"/>
      <c r="FA651" s="1532"/>
    </row>
    <row r="652" spans="1:157" ht="12.9" customHeight="1">
      <c r="A652" s="22"/>
      <c r="B652" t="s">
        <v>85</v>
      </c>
      <c r="G652" s="1457" t="s">
        <v>2735</v>
      </c>
      <c r="H652" s="1457"/>
      <c r="I652" s="1457"/>
      <c r="J652" s="1457"/>
      <c r="K652" s="1457"/>
      <c r="L652" s="1457"/>
      <c r="M652" s="1457"/>
      <c r="N652" s="1457"/>
      <c r="O652" s="1457"/>
      <c r="P652" s="1457"/>
      <c r="Q652" s="1457"/>
      <c r="R652" s="1457"/>
      <c r="S652" s="8"/>
      <c r="T652" s="22"/>
      <c r="U652" t="s">
        <v>85</v>
      </c>
      <c r="Z652" s="1457" t="str">
        <f>G652</f>
        <v>300 South Grand Avenue, Suite 3110</v>
      </c>
      <c r="AA652" s="1457"/>
      <c r="AB652" s="1457"/>
      <c r="AC652" s="1457"/>
      <c r="AD652" s="1457"/>
      <c r="AE652" s="1457"/>
      <c r="AF652" s="1457"/>
      <c r="AG652" s="1457"/>
      <c r="AH652" s="1457"/>
      <c r="AI652" s="1457"/>
      <c r="AJ652" s="1457"/>
      <c r="AK652" s="1457"/>
      <c r="AV652" s="3"/>
      <c r="AW652" s="3"/>
      <c r="AX652" s="3"/>
      <c r="AY652" s="3"/>
      <c r="AZ652" s="3"/>
      <c r="BA652" s="3"/>
      <c r="BB652" s="3"/>
      <c r="BC652" s="3"/>
      <c r="BD652" s="3"/>
      <c r="BE652" s="3"/>
      <c r="BF652" s="3"/>
      <c r="BG652" s="3"/>
      <c r="BH652" s="3"/>
      <c r="BI652" s="3"/>
      <c r="BJ652" s="3"/>
      <c r="BK652" s="3"/>
      <c r="BL652" s="3"/>
      <c r="BM652" s="3"/>
      <c r="DX652" s="1532" t="e">
        <f t="shared" si="4"/>
        <v>#VALUE!</v>
      </c>
      <c r="DY652" s="1532"/>
      <c r="DZ652" s="1532"/>
      <c r="EA652" s="1532"/>
      <c r="EB652" s="1532"/>
      <c r="EC652" s="1532" t="e">
        <f t="shared" si="5"/>
        <v>#VALUE!</v>
      </c>
      <c r="ED652" s="1532"/>
      <c r="EE652" s="1532"/>
      <c r="EF652" s="1532"/>
      <c r="EG652" s="1532"/>
      <c r="EH652" s="1532" t="e">
        <f t="shared" si="6"/>
        <v>#VALUE!</v>
      </c>
      <c r="EI652" s="1532"/>
      <c r="EJ652" s="1532"/>
      <c r="EK652" s="1532"/>
      <c r="EL652" s="1532"/>
      <c r="EM652" s="1532">
        <f t="shared" si="7"/>
        <v>429</v>
      </c>
      <c r="EN652" s="1532"/>
      <c r="EO652" s="1532"/>
      <c r="EP652" s="1532"/>
      <c r="EQ652" s="1532"/>
      <c r="ER652" s="1532" t="e">
        <f t="shared" si="8"/>
        <v>#VALUE!</v>
      </c>
      <c r="ES652" s="1532"/>
      <c r="ET652" s="1532"/>
      <c r="EU652" s="1532"/>
      <c r="EV652" s="1532"/>
      <c r="EW652" s="1532" t="e">
        <f t="shared" si="9"/>
        <v>#VALUE!</v>
      </c>
      <c r="EX652" s="1532"/>
      <c r="EY652" s="1532"/>
      <c r="EZ652" s="1532"/>
      <c r="FA652" s="1532"/>
    </row>
    <row r="653" spans="1:157" ht="12.9" customHeight="1">
      <c r="A653" s="22"/>
      <c r="B653" t="s">
        <v>580</v>
      </c>
      <c r="G653" s="1457" t="s">
        <v>2736</v>
      </c>
      <c r="H653" s="1457"/>
      <c r="I653" s="1457"/>
      <c r="J653" s="1457"/>
      <c r="K653" s="1457"/>
      <c r="L653" s="1457"/>
      <c r="M653" s="1457"/>
      <c r="N653" s="1457"/>
      <c r="O653" s="1457"/>
      <c r="P653" s="1457"/>
      <c r="Q653" s="1457"/>
      <c r="R653" s="1457"/>
      <c r="T653" s="22"/>
      <c r="U653" t="s">
        <v>580</v>
      </c>
      <c r="Z653" s="1435" t="str">
        <f>G653</f>
        <v>Los Angeles, CA 90071</v>
      </c>
      <c r="AA653" s="1435"/>
      <c r="AB653" s="1435"/>
      <c r="AC653" s="1435"/>
      <c r="AD653" s="1435"/>
      <c r="AE653" s="1435"/>
      <c r="AF653" s="1435"/>
      <c r="AG653" s="1435"/>
      <c r="AH653" s="1435"/>
      <c r="AI653" s="1435"/>
      <c r="AJ653" s="1435"/>
      <c r="AK653" s="1435"/>
      <c r="AV653" s="3"/>
      <c r="AW653" s="3"/>
      <c r="AX653" s="3"/>
      <c r="AY653" s="3"/>
      <c r="AZ653" s="3"/>
      <c r="BA653" s="3"/>
      <c r="BB653" s="3"/>
      <c r="BC653" s="3"/>
      <c r="BD653" s="3"/>
      <c r="BE653" s="3"/>
      <c r="BF653" s="3"/>
      <c r="BG653" s="3"/>
      <c r="BH653" s="3"/>
      <c r="BI653" s="3"/>
      <c r="BJ653" s="3"/>
      <c r="BK653" s="3"/>
      <c r="BL653" s="3"/>
      <c r="BM653" s="3"/>
      <c r="DX653" s="1532" t="e">
        <f t="shared" si="4"/>
        <v>#VALUE!</v>
      </c>
      <c r="DY653" s="1532"/>
      <c r="DZ653" s="1532"/>
      <c r="EA653" s="1532"/>
      <c r="EB653" s="1532"/>
      <c r="EC653" s="1532" t="e">
        <f t="shared" si="5"/>
        <v>#VALUE!</v>
      </c>
      <c r="ED653" s="1532"/>
      <c r="EE653" s="1532"/>
      <c r="EF653" s="1532"/>
      <c r="EG653" s="1532"/>
      <c r="EH653" s="1532" t="e">
        <f t="shared" si="6"/>
        <v>#VALUE!</v>
      </c>
      <c r="EI653" s="1532"/>
      <c r="EJ653" s="1532"/>
      <c r="EK653" s="1532"/>
      <c r="EL653" s="1532"/>
      <c r="EM653" s="1532">
        <f t="shared" si="7"/>
        <v>235.70000000000002</v>
      </c>
      <c r="EN653" s="1532"/>
      <c r="EO653" s="1532"/>
      <c r="EP653" s="1532"/>
      <c r="EQ653" s="1532"/>
      <c r="ER653" s="1532" t="e">
        <f t="shared" si="8"/>
        <v>#VALUE!</v>
      </c>
      <c r="ES653" s="1532"/>
      <c r="ET653" s="1532"/>
      <c r="EU653" s="1532"/>
      <c r="EV653" s="1532"/>
      <c r="EW653" s="1532" t="e">
        <f t="shared" si="9"/>
        <v>#VALUE!</v>
      </c>
      <c r="EX653" s="1532"/>
      <c r="EY653" s="1532"/>
      <c r="EZ653" s="1532"/>
      <c r="FA653" s="1532"/>
    </row>
    <row r="654" spans="1:157" ht="12.9" customHeight="1">
      <c r="A654" s="22"/>
      <c r="B654" t="s">
        <v>17</v>
      </c>
      <c r="G654" s="1457" t="s">
        <v>2737</v>
      </c>
      <c r="H654" s="1457"/>
      <c r="I654" s="1457"/>
      <c r="J654" s="1457"/>
      <c r="K654" s="1457"/>
      <c r="L654" s="1457"/>
      <c r="M654" s="1457"/>
      <c r="N654" s="1457"/>
      <c r="O654" s="1457"/>
      <c r="P654" s="1457"/>
      <c r="Q654" s="1457"/>
      <c r="R654" s="1457"/>
      <c r="S654" s="8"/>
      <c r="T654" s="22"/>
      <c r="U654" t="s">
        <v>17</v>
      </c>
      <c r="Z654" s="1435" t="str">
        <f>G654</f>
        <v>Hao Li</v>
      </c>
      <c r="AA654" s="1435"/>
      <c r="AB654" s="1435"/>
      <c r="AC654" s="1435"/>
      <c r="AD654" s="1435"/>
      <c r="AE654" s="1435"/>
      <c r="AF654" s="1435"/>
      <c r="AG654" s="1435"/>
      <c r="AH654" s="1435"/>
      <c r="AI654" s="1435"/>
      <c r="AJ654" s="1435"/>
      <c r="AK654" s="1435"/>
      <c r="AZ654" s="3"/>
      <c r="BA654" s="3"/>
      <c r="BB654" s="3"/>
      <c r="BC654" s="3"/>
      <c r="BD654" s="3"/>
      <c r="BE654" s="3"/>
      <c r="BF654" s="3"/>
      <c r="BG654" s="3"/>
      <c r="BH654" s="3"/>
      <c r="BI654" s="3"/>
      <c r="BJ654" s="3"/>
      <c r="BK654" s="3"/>
      <c r="BL654" s="3"/>
      <c r="BM654" s="3"/>
      <c r="DX654" s="1532" t="e">
        <f t="shared" si="4"/>
        <v>#VALUE!</v>
      </c>
      <c r="DY654" s="1532"/>
      <c r="DZ654" s="1532"/>
      <c r="EA654" s="1532"/>
      <c r="EB654" s="1532"/>
      <c r="EC654" s="1532" t="e">
        <f t="shared" si="5"/>
        <v>#VALUE!</v>
      </c>
      <c r="ED654" s="1532"/>
      <c r="EE654" s="1532"/>
      <c r="EF654" s="1532"/>
      <c r="EG654" s="1532"/>
      <c r="EH654" s="1532" t="e">
        <f t="shared" si="6"/>
        <v>#VALUE!</v>
      </c>
      <c r="EI654" s="1532"/>
      <c r="EJ654" s="1532"/>
      <c r="EK654" s="1532"/>
      <c r="EL654" s="1532"/>
      <c r="EM654" s="1532">
        <f t="shared" si="7"/>
        <v>202.65</v>
      </c>
      <c r="EN654" s="1532"/>
      <c r="EO654" s="1532"/>
      <c r="EP654" s="1532"/>
      <c r="EQ654" s="1532"/>
      <c r="ER654" s="1532" t="e">
        <f t="shared" si="8"/>
        <v>#VALUE!</v>
      </c>
      <c r="ES654" s="1532"/>
      <c r="ET654" s="1532"/>
      <c r="EU654" s="1532"/>
      <c r="EV654" s="1532"/>
      <c r="EW654" s="1532" t="e">
        <f t="shared" si="9"/>
        <v>#VALUE!</v>
      </c>
      <c r="EX654" s="1532"/>
      <c r="EY654" s="1532"/>
      <c r="EZ654" s="1532"/>
      <c r="FA654" s="1532"/>
    </row>
    <row r="655" spans="1:157" ht="12.9" customHeight="1">
      <c r="A655" s="22"/>
      <c r="B655" t="s">
        <v>316</v>
      </c>
      <c r="G655" s="1709" t="s">
        <v>2747</v>
      </c>
      <c r="H655" s="1707"/>
      <c r="I655" s="1707"/>
      <c r="J655" s="1707"/>
      <c r="K655" s="1707"/>
      <c r="L655" s="1707"/>
      <c r="O655" s="33" t="s">
        <v>206</v>
      </c>
      <c r="P655" s="1472"/>
      <c r="Q655" s="1472"/>
      <c r="R655" s="1472"/>
      <c r="S655" s="10"/>
      <c r="T655" s="22"/>
      <c r="U655" t="s">
        <v>316</v>
      </c>
      <c r="Z655" s="1707" t="str">
        <f>G655</f>
        <v xml:space="preserve">(213) 239-1914	</v>
      </c>
      <c r="AA655" s="1707"/>
      <c r="AB655" s="1707"/>
      <c r="AC655" s="1707"/>
      <c r="AD655" s="1707"/>
      <c r="AE655" s="1707"/>
      <c r="AH655" s="33" t="s">
        <v>206</v>
      </c>
      <c r="AI655" s="1472"/>
      <c r="AJ655" s="1472"/>
      <c r="AK655" s="1472"/>
      <c r="AZ655" s="34"/>
      <c r="BA655" s="34"/>
      <c r="BB655" s="34"/>
      <c r="BC655" s="34"/>
      <c r="BD655" s="34"/>
      <c r="BE655" s="34"/>
      <c r="BF655" s="34"/>
      <c r="BG655" s="34"/>
      <c r="BH655" s="34"/>
      <c r="BI655" s="34"/>
      <c r="BJ655" s="34"/>
      <c r="BK655" s="34"/>
      <c r="BL655" s="34"/>
      <c r="BM655" s="34"/>
      <c r="DX655" s="1532" t="e">
        <f t="shared" si="4"/>
        <v>#VALUE!</v>
      </c>
      <c r="DY655" s="1532"/>
      <c r="DZ655" s="1532"/>
      <c r="EA655" s="1532"/>
      <c r="EB655" s="1532"/>
      <c r="EC655" s="1532" t="e">
        <f t="shared" si="5"/>
        <v>#VALUE!</v>
      </c>
      <c r="ED655" s="1532"/>
      <c r="EE655" s="1532"/>
      <c r="EF655" s="1532"/>
      <c r="EG655" s="1532"/>
      <c r="EH655" s="1532" t="e">
        <f t="shared" si="6"/>
        <v>#VALUE!</v>
      </c>
      <c r="EI655" s="1532"/>
      <c r="EJ655" s="1532"/>
      <c r="EK655" s="1532"/>
      <c r="EL655" s="1532"/>
      <c r="EM655" s="1532" t="e">
        <f t="shared" si="7"/>
        <v>#VALUE!</v>
      </c>
      <c r="EN655" s="1532"/>
      <c r="EO655" s="1532"/>
      <c r="EP655" s="1532"/>
      <c r="EQ655" s="1532"/>
      <c r="ER655" s="1532" t="e">
        <f t="shared" si="8"/>
        <v>#VALUE!</v>
      </c>
      <c r="ES655" s="1532"/>
      <c r="ET655" s="1532"/>
      <c r="EU655" s="1532"/>
      <c r="EV655" s="1532"/>
      <c r="EW655" s="1532" t="e">
        <f t="shared" si="9"/>
        <v>#VALUE!</v>
      </c>
      <c r="EX655" s="1532"/>
      <c r="EY655" s="1532"/>
      <c r="EZ655" s="1532"/>
      <c r="FA655" s="1532"/>
    </row>
    <row r="656" spans="1:157" ht="12.9" customHeight="1">
      <c r="A656" s="22"/>
      <c r="B656" t="s">
        <v>18</v>
      </c>
      <c r="H656" s="1457" t="s">
        <v>2070</v>
      </c>
      <c r="I656" s="1457"/>
      <c r="J656" s="1457"/>
      <c r="K656" s="1457"/>
      <c r="L656" s="1457"/>
      <c r="M656" s="1457"/>
      <c r="N656" s="1457"/>
      <c r="O656" s="1457"/>
      <c r="P656" s="1457"/>
      <c r="Q656" s="1457"/>
      <c r="R656" s="1457"/>
      <c r="S656" s="8"/>
      <c r="T656" s="22"/>
      <c r="U656" t="s">
        <v>18</v>
      </c>
      <c r="AA656" s="1457" t="str">
        <f>H656</f>
        <v>Loan, Conventional</v>
      </c>
      <c r="AB656" s="1457"/>
      <c r="AC656" s="1457"/>
      <c r="AD656" s="1457"/>
      <c r="AE656" s="1457"/>
      <c r="AF656" s="1457"/>
      <c r="AG656" s="1457"/>
      <c r="AH656" s="1457"/>
      <c r="AI656" s="1457"/>
      <c r="AJ656" s="1457"/>
      <c r="AK656" s="1457"/>
      <c r="AZ656" s="34"/>
      <c r="BA656" s="34"/>
      <c r="BB656" s="34"/>
      <c r="BC656" s="34"/>
      <c r="BD656" s="34"/>
      <c r="BE656" s="34"/>
      <c r="BF656" s="34"/>
      <c r="BG656" s="34"/>
      <c r="BH656" s="34"/>
      <c r="BI656" s="34"/>
      <c r="BJ656" s="34"/>
      <c r="BK656" s="34"/>
      <c r="BL656" s="34"/>
      <c r="BM656" s="34"/>
      <c r="DX656" s="1532" t="e">
        <f t="shared" si="4"/>
        <v>#VALUE!</v>
      </c>
      <c r="DY656" s="1532"/>
      <c r="DZ656" s="1532"/>
      <c r="EA656" s="1532"/>
      <c r="EB656" s="1532"/>
      <c r="EC656" s="1532" t="e">
        <f t="shared" si="5"/>
        <v>#VALUE!</v>
      </c>
      <c r="ED656" s="1532"/>
      <c r="EE656" s="1532"/>
      <c r="EF656" s="1532"/>
      <c r="EG656" s="1532"/>
      <c r="EH656" s="1532" t="e">
        <f t="shared" si="6"/>
        <v>#VALUE!</v>
      </c>
      <c r="EI656" s="1532"/>
      <c r="EJ656" s="1532"/>
      <c r="EK656" s="1532"/>
      <c r="EL656" s="1532"/>
      <c r="EM656" s="1532" t="e">
        <f t="shared" si="7"/>
        <v>#VALUE!</v>
      </c>
      <c r="EN656" s="1532"/>
      <c r="EO656" s="1532"/>
      <c r="EP656" s="1532"/>
      <c r="EQ656" s="1532"/>
      <c r="ER656" s="1532" t="e">
        <f t="shared" si="8"/>
        <v>#VALUE!</v>
      </c>
      <c r="ES656" s="1532"/>
      <c r="ET656" s="1532"/>
      <c r="EU656" s="1532"/>
      <c r="EV656" s="1532"/>
      <c r="EW656" s="1532" t="e">
        <f t="shared" si="9"/>
        <v>#VALUE!</v>
      </c>
      <c r="EX656" s="1532"/>
      <c r="EY656" s="1532"/>
      <c r="EZ656" s="1532"/>
      <c r="FA656" s="1532"/>
    </row>
    <row r="657" spans="1:157" ht="12.9" customHeight="1">
      <c r="A657" s="22"/>
      <c r="B657" t="s">
        <v>20</v>
      </c>
      <c r="N657" s="1341" t="s">
        <v>545</v>
      </c>
      <c r="O657" s="1341"/>
      <c r="T657" s="22"/>
      <c r="U657" t="s">
        <v>20</v>
      </c>
      <c r="AG657" s="1341" t="s">
        <v>545</v>
      </c>
      <c r="AH657" s="1341"/>
      <c r="AZ657" s="34"/>
      <c r="BA657" s="34"/>
      <c r="BB657" s="34"/>
      <c r="BC657" s="34"/>
      <c r="BD657" s="34"/>
      <c r="BE657" s="34"/>
      <c r="BF657" s="34"/>
      <c r="BG657" s="34"/>
      <c r="BH657" s="34"/>
      <c r="BI657" s="34"/>
      <c r="BJ657" s="34"/>
      <c r="BK657" s="34"/>
      <c r="BL657" s="34"/>
      <c r="BM657" s="34"/>
      <c r="DX657" s="1532" t="e">
        <f t="shared" si="4"/>
        <v>#VALUE!</v>
      </c>
      <c r="DY657" s="1532"/>
      <c r="DZ657" s="1532"/>
      <c r="EA657" s="1532"/>
      <c r="EB657" s="1532"/>
      <c r="EC657" s="1532" t="e">
        <f t="shared" si="5"/>
        <v>#VALUE!</v>
      </c>
      <c r="ED657" s="1532"/>
      <c r="EE657" s="1532"/>
      <c r="EF657" s="1532"/>
      <c r="EG657" s="1532"/>
      <c r="EH657" s="1532" t="e">
        <f t="shared" si="6"/>
        <v>#VALUE!</v>
      </c>
      <c r="EI657" s="1532"/>
      <c r="EJ657" s="1532"/>
      <c r="EK657" s="1532"/>
      <c r="EL657" s="1532"/>
      <c r="EM657" s="1532" t="e">
        <f t="shared" si="7"/>
        <v>#VALUE!</v>
      </c>
      <c r="EN657" s="1532"/>
      <c r="EO657" s="1532"/>
      <c r="EP657" s="1532"/>
      <c r="EQ657" s="1532"/>
      <c r="ER657" s="1532" t="e">
        <f t="shared" si="8"/>
        <v>#VALUE!</v>
      </c>
      <c r="ES657" s="1532"/>
      <c r="ET657" s="1532"/>
      <c r="EU657" s="1532"/>
      <c r="EV657" s="1532"/>
      <c r="EW657" s="1532" t="e">
        <f t="shared" si="9"/>
        <v>#VALUE!</v>
      </c>
      <c r="EX657" s="1532"/>
      <c r="EY657" s="1532"/>
      <c r="EZ657" s="1532"/>
      <c r="FA657" s="1532"/>
    </row>
    <row r="658" spans="1:157" ht="12.9" customHeight="1">
      <c r="A658" s="22"/>
      <c r="T658" s="22"/>
      <c r="AZ658" s="34"/>
      <c r="BA658" s="34"/>
      <c r="BB658" s="34"/>
      <c r="BC658" s="34"/>
      <c r="BD658" s="34"/>
      <c r="BE658" s="34"/>
      <c r="BF658" s="34"/>
      <c r="BG658" s="34"/>
      <c r="BH658" s="34"/>
      <c r="BI658" s="34"/>
      <c r="BJ658" s="34"/>
      <c r="BK658" s="34"/>
      <c r="BL658" s="34"/>
      <c r="BM658" s="34"/>
      <c r="DX658" s="1532" t="e">
        <f t="shared" si="4"/>
        <v>#VALUE!</v>
      </c>
      <c r="DY658" s="1532"/>
      <c r="DZ658" s="1532"/>
      <c r="EA658" s="1532"/>
      <c r="EB658" s="1532"/>
      <c r="EC658" s="1532" t="e">
        <f t="shared" si="5"/>
        <v>#VALUE!</v>
      </c>
      <c r="ED658" s="1532"/>
      <c r="EE658" s="1532"/>
      <c r="EF658" s="1532"/>
      <c r="EG658" s="1532"/>
      <c r="EH658" s="1532" t="e">
        <f t="shared" si="6"/>
        <v>#VALUE!</v>
      </c>
      <c r="EI658" s="1532"/>
      <c r="EJ658" s="1532"/>
      <c r="EK658" s="1532"/>
      <c r="EL658" s="1532"/>
      <c r="EM658" s="1532" t="e">
        <f t="shared" si="7"/>
        <v>#VALUE!</v>
      </c>
      <c r="EN658" s="1532"/>
      <c r="EO658" s="1532"/>
      <c r="EP658" s="1532"/>
      <c r="EQ658" s="1532"/>
      <c r="ER658" s="1532" t="e">
        <f t="shared" si="8"/>
        <v>#VALUE!</v>
      </c>
      <c r="ES658" s="1532"/>
      <c r="ET658" s="1532"/>
      <c r="EU658" s="1532"/>
      <c r="EV658" s="1532"/>
      <c r="EW658" s="1532" t="e">
        <f t="shared" si="9"/>
        <v>#VALUE!</v>
      </c>
      <c r="EX658" s="1532"/>
      <c r="EY658" s="1532"/>
      <c r="EZ658" s="1532"/>
      <c r="FA658" s="1532"/>
    </row>
    <row r="659" spans="1:157" ht="12.9" customHeight="1">
      <c r="A659" s="55" t="s">
        <v>119</v>
      </c>
      <c r="B659" t="s">
        <v>463</v>
      </c>
      <c r="G659" s="1471" t="str">
        <f>C637</f>
        <v>SMC AHF 13.0</v>
      </c>
      <c r="H659" s="1471"/>
      <c r="I659" s="1471"/>
      <c r="J659" s="1471"/>
      <c r="K659" s="1471"/>
      <c r="L659" s="1471"/>
      <c r="M659" s="1471"/>
      <c r="N659" s="1471"/>
      <c r="O659" s="1471"/>
      <c r="P659" s="1471"/>
      <c r="Q659" s="1471"/>
      <c r="R659" s="1471"/>
      <c r="T659" s="55" t="s">
        <v>581</v>
      </c>
      <c r="U659" t="s">
        <v>463</v>
      </c>
      <c r="Z659" s="1471" t="str">
        <f>C638</f>
        <v>Deferred Developer Fee</v>
      </c>
      <c r="AA659" s="1471"/>
      <c r="AB659" s="1471"/>
      <c r="AC659" s="1471"/>
      <c r="AD659" s="1471"/>
      <c r="AE659" s="1471"/>
      <c r="AF659" s="1471"/>
      <c r="AG659" s="1471"/>
      <c r="AH659" s="1471"/>
      <c r="AI659" s="1471"/>
      <c r="AJ659" s="1471"/>
      <c r="AK659" s="1471"/>
      <c r="AZ659" s="34"/>
      <c r="BA659" s="34"/>
      <c r="BB659" s="34"/>
      <c r="BC659" s="34"/>
      <c r="BD659" s="34"/>
      <c r="BE659" s="34"/>
      <c r="BF659" s="34"/>
      <c r="BG659" s="34"/>
      <c r="BH659" s="34"/>
      <c r="BI659" s="34"/>
      <c r="BJ659" s="34"/>
      <c r="BK659" s="34"/>
      <c r="BL659" s="34"/>
      <c r="BM659" s="34"/>
      <c r="DX659" s="1532" t="e">
        <f t="shared" si="4"/>
        <v>#VALUE!</v>
      </c>
      <c r="DY659" s="1532"/>
      <c r="DZ659" s="1532"/>
      <c r="EA659" s="1532"/>
      <c r="EB659" s="1532"/>
      <c r="EC659" s="1532" t="e">
        <f t="shared" si="5"/>
        <v>#VALUE!</v>
      </c>
      <c r="ED659" s="1532"/>
      <c r="EE659" s="1532"/>
      <c r="EF659" s="1532"/>
      <c r="EG659" s="1532"/>
      <c r="EH659" s="1532" t="e">
        <f t="shared" si="6"/>
        <v>#VALUE!</v>
      </c>
      <c r="EI659" s="1532"/>
      <c r="EJ659" s="1532"/>
      <c r="EK659" s="1532"/>
      <c r="EL659" s="1532"/>
      <c r="EM659" s="1532" t="e">
        <f t="shared" si="7"/>
        <v>#VALUE!</v>
      </c>
      <c r="EN659" s="1532"/>
      <c r="EO659" s="1532"/>
      <c r="EP659" s="1532"/>
      <c r="EQ659" s="1532"/>
      <c r="ER659" s="1532" t="e">
        <f t="shared" si="8"/>
        <v>#VALUE!</v>
      </c>
      <c r="ES659" s="1532"/>
      <c r="ET659" s="1532"/>
      <c r="EU659" s="1532"/>
      <c r="EV659" s="1532"/>
      <c r="EW659" s="1532" t="e">
        <f t="shared" si="9"/>
        <v>#VALUE!</v>
      </c>
      <c r="EX659" s="1532"/>
      <c r="EY659" s="1532"/>
      <c r="EZ659" s="1532"/>
      <c r="FA659" s="1532"/>
    </row>
    <row r="660" spans="1:157" ht="12.9" customHeight="1">
      <c r="A660" s="22"/>
      <c r="B660" t="s">
        <v>85</v>
      </c>
      <c r="G660" s="1457" t="s">
        <v>2742</v>
      </c>
      <c r="H660" s="1457"/>
      <c r="I660" s="1457"/>
      <c r="J660" s="1457"/>
      <c r="K660" s="1457"/>
      <c r="L660" s="1457"/>
      <c r="M660" s="1457"/>
      <c r="N660" s="1457"/>
      <c r="O660" s="1457"/>
      <c r="P660" s="1457"/>
      <c r="Q660" s="1457"/>
      <c r="R660" s="1457"/>
      <c r="T660" s="22"/>
      <c r="U660" t="s">
        <v>85</v>
      </c>
      <c r="Z660" s="1457" t="s">
        <v>2748</v>
      </c>
      <c r="AA660" s="1457"/>
      <c r="AB660" s="1457"/>
      <c r="AC660" s="1457"/>
      <c r="AD660" s="1457"/>
      <c r="AE660" s="1457"/>
      <c r="AF660" s="1457"/>
      <c r="AG660" s="1457"/>
      <c r="AH660" s="1457"/>
      <c r="AI660" s="1457"/>
      <c r="AJ660" s="1457"/>
      <c r="AK660" s="1457"/>
      <c r="AZ660" s="34"/>
      <c r="BA660" s="34"/>
      <c r="BB660" s="34"/>
      <c r="BC660" s="34"/>
      <c r="BD660" s="34"/>
      <c r="BE660" s="34"/>
      <c r="BF660" s="34"/>
      <c r="BG660" s="34"/>
      <c r="BH660" s="34"/>
      <c r="BI660" s="34"/>
      <c r="BJ660" s="34"/>
      <c r="BK660" s="34"/>
      <c r="BL660" s="34"/>
      <c r="BM660" s="34"/>
      <c r="DX660" s="1532" t="e">
        <f t="shared" si="4"/>
        <v>#VALUE!</v>
      </c>
      <c r="DY660" s="1532"/>
      <c r="DZ660" s="1532"/>
      <c r="EA660" s="1532"/>
      <c r="EB660" s="1532"/>
      <c r="EC660" s="1532" t="e">
        <f t="shared" si="5"/>
        <v>#VALUE!</v>
      </c>
      <c r="ED660" s="1532"/>
      <c r="EE660" s="1532"/>
      <c r="EF660" s="1532"/>
      <c r="EG660" s="1532"/>
      <c r="EH660" s="1532" t="e">
        <f t="shared" si="6"/>
        <v>#VALUE!</v>
      </c>
      <c r="EI660" s="1532"/>
      <c r="EJ660" s="1532"/>
      <c r="EK660" s="1532"/>
      <c r="EL660" s="1532"/>
      <c r="EM660" s="1532" t="e">
        <f t="shared" si="7"/>
        <v>#VALUE!</v>
      </c>
      <c r="EN660" s="1532"/>
      <c r="EO660" s="1532"/>
      <c r="EP660" s="1532"/>
      <c r="EQ660" s="1532"/>
      <c r="ER660" s="1532" t="e">
        <f t="shared" si="8"/>
        <v>#VALUE!</v>
      </c>
      <c r="ES660" s="1532"/>
      <c r="ET660" s="1532"/>
      <c r="EU660" s="1532"/>
      <c r="EV660" s="1532"/>
      <c r="EW660" s="1532" t="e">
        <f t="shared" si="9"/>
        <v>#VALUE!</v>
      </c>
      <c r="EX660" s="1532"/>
      <c r="EY660" s="1532"/>
      <c r="EZ660" s="1532"/>
      <c r="FA660" s="1532"/>
    </row>
    <row r="661" spans="1:157" ht="12.9" customHeight="1">
      <c r="A661" s="22"/>
      <c r="B661" t="s">
        <v>580</v>
      </c>
      <c r="G661" s="1435" t="s">
        <v>2743</v>
      </c>
      <c r="H661" s="1435"/>
      <c r="I661" s="1435"/>
      <c r="J661" s="1435"/>
      <c r="K661" s="1435"/>
      <c r="L661" s="1435"/>
      <c r="M661" s="1435"/>
      <c r="N661" s="1435"/>
      <c r="O661" s="1435"/>
      <c r="P661" s="1435"/>
      <c r="Q661" s="1435"/>
      <c r="R661" s="1435"/>
      <c r="T661" s="22"/>
      <c r="U661" t="s">
        <v>580</v>
      </c>
      <c r="Z661" s="1435" t="s">
        <v>2749</v>
      </c>
      <c r="AA661" s="1435"/>
      <c r="AB661" s="1435"/>
      <c r="AC661" s="1435"/>
      <c r="AD661" s="1435"/>
      <c r="AE661" s="1435"/>
      <c r="AF661" s="1435"/>
      <c r="AG661" s="1435"/>
      <c r="AH661" s="1435"/>
      <c r="AI661" s="1435"/>
      <c r="AJ661" s="1435"/>
      <c r="AK661" s="1435"/>
      <c r="AZ661" s="34"/>
      <c r="BA661" s="34"/>
      <c r="BB661" s="34"/>
      <c r="BC661" s="34"/>
      <c r="BD661" s="34"/>
      <c r="BE661" s="34"/>
      <c r="BF661" s="34"/>
      <c r="BG661" s="34"/>
      <c r="BH661" s="34"/>
      <c r="BI661" s="34"/>
      <c r="BJ661" s="34"/>
      <c r="BK661" s="34"/>
      <c r="BL661" s="34"/>
      <c r="BM661" s="34"/>
      <c r="DX661" s="1532" t="e">
        <f t="shared" si="4"/>
        <v>#VALUE!</v>
      </c>
      <c r="DY661" s="1532"/>
      <c r="DZ661" s="1532"/>
      <c r="EA661" s="1532"/>
      <c r="EB661" s="1532"/>
      <c r="EC661" s="1532" t="e">
        <f t="shared" si="5"/>
        <v>#VALUE!</v>
      </c>
      <c r="ED661" s="1532"/>
      <c r="EE661" s="1532"/>
      <c r="EF661" s="1532"/>
      <c r="EG661" s="1532"/>
      <c r="EH661" s="1532" t="e">
        <f t="shared" si="6"/>
        <v>#VALUE!</v>
      </c>
      <c r="EI661" s="1532"/>
      <c r="EJ661" s="1532"/>
      <c r="EK661" s="1532"/>
      <c r="EL661" s="1532"/>
      <c r="EM661" s="1532" t="e">
        <f t="shared" si="7"/>
        <v>#VALUE!</v>
      </c>
      <c r="EN661" s="1532"/>
      <c r="EO661" s="1532"/>
      <c r="EP661" s="1532"/>
      <c r="EQ661" s="1532"/>
      <c r="ER661" s="1532" t="e">
        <f t="shared" si="8"/>
        <v>#VALUE!</v>
      </c>
      <c r="ES661" s="1532"/>
      <c r="ET661" s="1532"/>
      <c r="EU661" s="1532"/>
      <c r="EV661" s="1532"/>
      <c r="EW661" s="1532" t="e">
        <f t="shared" si="9"/>
        <v>#VALUE!</v>
      </c>
      <c r="EX661" s="1532"/>
      <c r="EY661" s="1532"/>
      <c r="EZ661" s="1532"/>
      <c r="FA661" s="1532"/>
    </row>
    <row r="662" spans="1:157" ht="12.9" customHeight="1">
      <c r="A662" s="22"/>
      <c r="B662" t="s">
        <v>17</v>
      </c>
      <c r="G662" s="1435" t="s">
        <v>2744</v>
      </c>
      <c r="H662" s="1435"/>
      <c r="I662" s="1435"/>
      <c r="J662" s="1435"/>
      <c r="K662" s="1435"/>
      <c r="L662" s="1435"/>
      <c r="M662" s="1435"/>
      <c r="N662" s="1435"/>
      <c r="O662" s="1435"/>
      <c r="P662" s="1435"/>
      <c r="Q662" s="1435"/>
      <c r="R662" s="1435"/>
      <c r="T662" s="22"/>
      <c r="U662" t="s">
        <v>17</v>
      </c>
      <c r="Z662" s="1435" t="s">
        <v>2660</v>
      </c>
      <c r="AA662" s="1435"/>
      <c r="AB662" s="1435"/>
      <c r="AC662" s="1435"/>
      <c r="AD662" s="1435"/>
      <c r="AE662" s="1435"/>
      <c r="AF662" s="1435"/>
      <c r="AG662" s="1435"/>
      <c r="AH662" s="1435"/>
      <c r="AI662" s="1435"/>
      <c r="AJ662" s="1435"/>
      <c r="AK662" s="1435"/>
      <c r="AZ662" s="34"/>
      <c r="BA662" s="34"/>
      <c r="BB662" s="34"/>
      <c r="BC662" s="34"/>
      <c r="BD662" s="34"/>
      <c r="BE662" s="34"/>
      <c r="BF662" s="34"/>
      <c r="BG662" s="34"/>
      <c r="BH662" s="34"/>
      <c r="BI662" s="34"/>
      <c r="BJ662" s="34"/>
      <c r="BK662" s="34"/>
      <c r="BL662" s="34"/>
      <c r="BM662" s="34"/>
      <c r="DX662" s="1532" t="e">
        <f t="shared" si="4"/>
        <v>#VALUE!</v>
      </c>
      <c r="DY662" s="1532"/>
      <c r="DZ662" s="1532"/>
      <c r="EA662" s="1532"/>
      <c r="EB662" s="1532"/>
      <c r="EC662" s="1532" t="e">
        <f t="shared" si="5"/>
        <v>#VALUE!</v>
      </c>
      <c r="ED662" s="1532"/>
      <c r="EE662" s="1532"/>
      <c r="EF662" s="1532"/>
      <c r="EG662" s="1532"/>
      <c r="EH662" s="1532" t="e">
        <f t="shared" si="6"/>
        <v>#VALUE!</v>
      </c>
      <c r="EI662" s="1532"/>
      <c r="EJ662" s="1532"/>
      <c r="EK662" s="1532"/>
      <c r="EL662" s="1532"/>
      <c r="EM662" s="1532" t="e">
        <f t="shared" si="7"/>
        <v>#VALUE!</v>
      </c>
      <c r="EN662" s="1532"/>
      <c r="EO662" s="1532"/>
      <c r="EP662" s="1532"/>
      <c r="EQ662" s="1532"/>
      <c r="ER662" s="1532" t="e">
        <f t="shared" si="8"/>
        <v>#VALUE!</v>
      </c>
      <c r="ES662" s="1532"/>
      <c r="ET662" s="1532"/>
      <c r="EU662" s="1532"/>
      <c r="EV662" s="1532"/>
      <c r="EW662" s="1532" t="e">
        <f t="shared" si="9"/>
        <v>#VALUE!</v>
      </c>
      <c r="EX662" s="1532"/>
      <c r="EY662" s="1532"/>
      <c r="EZ662" s="1532"/>
      <c r="FA662" s="1532"/>
    </row>
    <row r="663" spans="1:157" ht="12.9" customHeight="1">
      <c r="A663" s="22"/>
      <c r="B663" t="s">
        <v>316</v>
      </c>
      <c r="G663" s="1709" t="s">
        <v>2745</v>
      </c>
      <c r="H663" s="1707"/>
      <c r="I663" s="1707"/>
      <c r="J663" s="1707"/>
      <c r="K663" s="1707"/>
      <c r="L663" s="1707"/>
      <c r="O663" s="33" t="s">
        <v>206</v>
      </c>
      <c r="P663" s="1472"/>
      <c r="Q663" s="1472"/>
      <c r="R663" s="1472"/>
      <c r="T663" s="22"/>
      <c r="U663" t="s">
        <v>316</v>
      </c>
      <c r="Z663" s="1709" t="s">
        <v>2661</v>
      </c>
      <c r="AA663" s="1707"/>
      <c r="AB663" s="1707"/>
      <c r="AC663" s="1707"/>
      <c r="AD663" s="1707"/>
      <c r="AE663" s="1707"/>
      <c r="AH663" s="33" t="s">
        <v>206</v>
      </c>
      <c r="AI663" s="1472"/>
      <c r="AJ663" s="1472"/>
      <c r="AK663" s="1472"/>
      <c r="AZ663" s="34"/>
      <c r="BA663" s="34"/>
      <c r="BB663" s="34"/>
      <c r="BC663" s="34"/>
      <c r="BD663" s="34"/>
      <c r="BE663" s="34"/>
      <c r="BF663" s="34"/>
      <c r="BG663" s="34"/>
      <c r="BH663" s="34"/>
      <c r="BI663" s="34"/>
      <c r="BJ663" s="34"/>
      <c r="BK663" s="34"/>
      <c r="BL663" s="34"/>
      <c r="BM663" s="34"/>
      <c r="DX663" s="1532" t="e">
        <f t="shared" si="4"/>
        <v>#VALUE!</v>
      </c>
      <c r="DY663" s="1532"/>
      <c r="DZ663" s="1532"/>
      <c r="EA663" s="1532"/>
      <c r="EB663" s="1532"/>
      <c r="EC663" s="1532" t="e">
        <f t="shared" si="5"/>
        <v>#VALUE!</v>
      </c>
      <c r="ED663" s="1532"/>
      <c r="EE663" s="1532"/>
      <c r="EF663" s="1532"/>
      <c r="EG663" s="1532"/>
      <c r="EH663" s="1532" t="e">
        <f t="shared" si="6"/>
        <v>#VALUE!</v>
      </c>
      <c r="EI663" s="1532"/>
      <c r="EJ663" s="1532"/>
      <c r="EK663" s="1532"/>
      <c r="EL663" s="1532"/>
      <c r="EM663" s="1532" t="e">
        <f t="shared" si="7"/>
        <v>#VALUE!</v>
      </c>
      <c r="EN663" s="1532"/>
      <c r="EO663" s="1532"/>
      <c r="EP663" s="1532"/>
      <c r="EQ663" s="1532"/>
      <c r="ER663" s="1532" t="e">
        <f t="shared" si="8"/>
        <v>#VALUE!</v>
      </c>
      <c r="ES663" s="1532"/>
      <c r="ET663" s="1532"/>
      <c r="EU663" s="1532"/>
      <c r="EV663" s="1532"/>
      <c r="EW663" s="1532" t="e">
        <f t="shared" si="9"/>
        <v>#VALUE!</v>
      </c>
      <c r="EX663" s="1532"/>
      <c r="EY663" s="1532"/>
      <c r="EZ663" s="1532"/>
      <c r="FA663" s="1532"/>
    </row>
    <row r="664" spans="1:157" ht="12.9" customHeight="1">
      <c r="A664" s="22"/>
      <c r="B664" t="s">
        <v>18</v>
      </c>
      <c r="H664" s="1457" t="s">
        <v>2072</v>
      </c>
      <c r="I664" s="1457"/>
      <c r="J664" s="1457"/>
      <c r="K664" s="1457"/>
      <c r="L664" s="1457"/>
      <c r="M664" s="1457"/>
      <c r="N664" s="1457"/>
      <c r="O664" s="1457"/>
      <c r="P664" s="1457"/>
      <c r="Q664" s="1457"/>
      <c r="R664" s="1457"/>
      <c r="T664" s="22"/>
      <c r="U664" t="s">
        <v>18</v>
      </c>
      <c r="AA664" s="1457" t="s">
        <v>2739</v>
      </c>
      <c r="AB664" s="1457"/>
      <c r="AC664" s="1457"/>
      <c r="AD664" s="1457"/>
      <c r="AE664" s="1457"/>
      <c r="AF664" s="1457"/>
      <c r="AG664" s="1457"/>
      <c r="AH664" s="1457"/>
      <c r="AI664" s="1457"/>
      <c r="AJ664" s="1457"/>
      <c r="AK664" s="1457"/>
      <c r="AZ664" s="34"/>
      <c r="BA664" s="34"/>
      <c r="BB664" s="34"/>
      <c r="BC664" s="34"/>
      <c r="BD664" s="34"/>
      <c r="BE664" s="34"/>
      <c r="BF664" s="34"/>
      <c r="BG664" s="34"/>
      <c r="BH664" s="34"/>
      <c r="BI664" s="34"/>
      <c r="BJ664" s="34"/>
      <c r="BK664" s="34"/>
      <c r="BL664" s="34"/>
      <c r="BM664" s="34"/>
      <c r="DX664" s="1532" t="e">
        <f t="shared" si="4"/>
        <v>#VALUE!</v>
      </c>
      <c r="DY664" s="1532"/>
      <c r="DZ664" s="1532"/>
      <c r="EA664" s="1532"/>
      <c r="EB664" s="1532"/>
      <c r="EC664" s="1532" t="e">
        <f t="shared" si="5"/>
        <v>#VALUE!</v>
      </c>
      <c r="ED664" s="1532"/>
      <c r="EE664" s="1532"/>
      <c r="EF664" s="1532"/>
      <c r="EG664" s="1532"/>
      <c r="EH664" s="1532" t="e">
        <f t="shared" si="6"/>
        <v>#VALUE!</v>
      </c>
      <c r="EI664" s="1532"/>
      <c r="EJ664" s="1532"/>
      <c r="EK664" s="1532"/>
      <c r="EL664" s="1532"/>
      <c r="EM664" s="1532" t="e">
        <f t="shared" si="7"/>
        <v>#VALUE!</v>
      </c>
      <c r="EN664" s="1532"/>
      <c r="EO664" s="1532"/>
      <c r="EP664" s="1532"/>
      <c r="EQ664" s="1532"/>
      <c r="ER664" s="1532" t="e">
        <f t="shared" si="8"/>
        <v>#VALUE!</v>
      </c>
      <c r="ES664" s="1532"/>
      <c r="ET664" s="1532"/>
      <c r="EU664" s="1532"/>
      <c r="EV664" s="1532"/>
      <c r="EW664" s="1532" t="e">
        <f t="shared" si="9"/>
        <v>#VALUE!</v>
      </c>
      <c r="EX664" s="1532"/>
      <c r="EY664" s="1532"/>
      <c r="EZ664" s="1532"/>
      <c r="FA664" s="1532"/>
    </row>
    <row r="665" spans="1:157" ht="12.9" customHeight="1">
      <c r="A665" s="22"/>
      <c r="B665" t="s">
        <v>20</v>
      </c>
      <c r="N665" s="1341" t="s">
        <v>545</v>
      </c>
      <c r="O665" s="1341"/>
      <c r="T665" s="22"/>
      <c r="U665" t="s">
        <v>20</v>
      </c>
      <c r="AG665" s="1341" t="s">
        <v>545</v>
      </c>
      <c r="AH665" s="1341"/>
      <c r="AZ665" s="34"/>
      <c r="BA665" s="34"/>
      <c r="BB665" s="34"/>
      <c r="BC665" s="34"/>
      <c r="BD665" s="34"/>
      <c r="BE665" s="34"/>
      <c r="BF665" s="34"/>
      <c r="BG665" s="34"/>
      <c r="BH665" s="34"/>
      <c r="BI665" s="34"/>
      <c r="BJ665" s="34"/>
      <c r="BK665" s="34"/>
      <c r="BL665" s="34"/>
      <c r="BM665" s="34"/>
      <c r="DX665" s="1532" t="e">
        <f t="shared" si="4"/>
        <v>#VALUE!</v>
      </c>
      <c r="DY665" s="1532"/>
      <c r="DZ665" s="1532"/>
      <c r="EA665" s="1532"/>
      <c r="EB665" s="1532"/>
      <c r="EC665" s="1532" t="e">
        <f t="shared" si="5"/>
        <v>#VALUE!</v>
      </c>
      <c r="ED665" s="1532"/>
      <c r="EE665" s="1532"/>
      <c r="EF665" s="1532"/>
      <c r="EG665" s="1532"/>
      <c r="EH665" s="1532" t="e">
        <f t="shared" si="6"/>
        <v>#VALUE!</v>
      </c>
      <c r="EI665" s="1532"/>
      <c r="EJ665" s="1532"/>
      <c r="EK665" s="1532"/>
      <c r="EL665" s="1532"/>
      <c r="EM665" s="1532" t="e">
        <f t="shared" si="7"/>
        <v>#VALUE!</v>
      </c>
      <c r="EN665" s="1532"/>
      <c r="EO665" s="1532"/>
      <c r="EP665" s="1532"/>
      <c r="EQ665" s="1532"/>
      <c r="ER665" s="1532" t="e">
        <f t="shared" si="8"/>
        <v>#VALUE!</v>
      </c>
      <c r="ES665" s="1532"/>
      <c r="ET665" s="1532"/>
      <c r="EU665" s="1532"/>
      <c r="EV665" s="1532"/>
      <c r="EW665" s="1532" t="e">
        <f t="shared" si="9"/>
        <v>#VALUE!</v>
      </c>
      <c r="EX665" s="1532"/>
      <c r="EY665" s="1532"/>
      <c r="EZ665" s="1532"/>
      <c r="FA665" s="1532"/>
    </row>
    <row r="666" spans="1:157" ht="12.9" customHeight="1">
      <c r="A666" s="22"/>
      <c r="T666" s="22"/>
      <c r="AZ666" s="34"/>
      <c r="BA666" s="34"/>
      <c r="BB666" s="34"/>
      <c r="BC666" s="34"/>
      <c r="BD666" s="34"/>
      <c r="BE666" s="34"/>
      <c r="BF666" s="34"/>
      <c r="BG666" s="34"/>
      <c r="BH666" s="34"/>
      <c r="BI666" s="34"/>
      <c r="BJ666" s="34"/>
      <c r="BK666" s="34"/>
      <c r="BL666" s="34"/>
      <c r="BM666" s="34"/>
      <c r="DX666" s="1532" t="e">
        <f t="shared" si="4"/>
        <v>#VALUE!</v>
      </c>
      <c r="DY666" s="1532"/>
      <c r="DZ666" s="1532"/>
      <c r="EA666" s="1532"/>
      <c r="EB666" s="1532"/>
      <c r="EC666" s="1532" t="e">
        <f t="shared" si="5"/>
        <v>#VALUE!</v>
      </c>
      <c r="ED666" s="1532"/>
      <c r="EE666" s="1532"/>
      <c r="EF666" s="1532"/>
      <c r="EG666" s="1532"/>
      <c r="EH666" s="1532" t="e">
        <f t="shared" si="6"/>
        <v>#VALUE!</v>
      </c>
      <c r="EI666" s="1532"/>
      <c r="EJ666" s="1532"/>
      <c r="EK666" s="1532"/>
      <c r="EL666" s="1532"/>
      <c r="EM666" s="1532" t="e">
        <f t="shared" si="7"/>
        <v>#VALUE!</v>
      </c>
      <c r="EN666" s="1532"/>
      <c r="EO666" s="1532"/>
      <c r="EP666" s="1532"/>
      <c r="EQ666" s="1532"/>
      <c r="ER666" s="1532" t="e">
        <f t="shared" si="8"/>
        <v>#VALUE!</v>
      </c>
      <c r="ES666" s="1532"/>
      <c r="ET666" s="1532"/>
      <c r="EU666" s="1532"/>
      <c r="EV666" s="1532"/>
      <c r="EW666" s="1532" t="e">
        <f t="shared" si="9"/>
        <v>#VALUE!</v>
      </c>
      <c r="EX666" s="1532"/>
      <c r="EY666" s="1532"/>
      <c r="EZ666" s="1532"/>
      <c r="FA666" s="1532"/>
    </row>
    <row r="667" spans="1:157" ht="12.9" customHeight="1">
      <c r="A667" s="55" t="s">
        <v>763</v>
      </c>
      <c r="B667" t="s">
        <v>463</v>
      </c>
      <c r="G667" s="1471">
        <f>C639</f>
        <v>0</v>
      </c>
      <c r="H667" s="1471"/>
      <c r="I667" s="1471"/>
      <c r="J667" s="1471"/>
      <c r="K667" s="1471"/>
      <c r="L667" s="1471"/>
      <c r="M667" s="1471"/>
      <c r="N667" s="1471"/>
      <c r="O667" s="1471"/>
      <c r="P667" s="1471"/>
      <c r="Q667" s="1471"/>
      <c r="R667" s="1471"/>
      <c r="T667" s="55" t="s">
        <v>584</v>
      </c>
      <c r="U667" t="s">
        <v>463</v>
      </c>
      <c r="Z667" s="1471">
        <f>C640</f>
        <v>0</v>
      </c>
      <c r="AA667" s="1471"/>
      <c r="AB667" s="1471"/>
      <c r="AC667" s="1471"/>
      <c r="AD667" s="1471"/>
      <c r="AE667" s="1471"/>
      <c r="AF667" s="1471"/>
      <c r="AG667" s="1471"/>
      <c r="AH667" s="1471"/>
      <c r="AI667" s="1471"/>
      <c r="AJ667" s="1471"/>
      <c r="AK667" s="1471"/>
      <c r="AZ667" s="34"/>
      <c r="BA667" s="34"/>
      <c r="BB667" s="34"/>
      <c r="BC667" s="34"/>
      <c r="BD667" s="34"/>
      <c r="BE667" s="34"/>
      <c r="BF667" s="34"/>
      <c r="BG667" s="34"/>
      <c r="BH667" s="34"/>
      <c r="BI667" s="34"/>
      <c r="BJ667" s="34"/>
      <c r="BK667" s="34"/>
      <c r="BL667" s="34"/>
      <c r="BM667" s="34"/>
      <c r="DX667" s="1532" t="e">
        <f t="shared" si="4"/>
        <v>#VALUE!</v>
      </c>
      <c r="DY667" s="1532"/>
      <c r="DZ667" s="1532"/>
      <c r="EA667" s="1532"/>
      <c r="EB667" s="1532"/>
      <c r="EC667" s="1532" t="e">
        <f t="shared" si="5"/>
        <v>#VALUE!</v>
      </c>
      <c r="ED667" s="1532"/>
      <c r="EE667" s="1532"/>
      <c r="EF667" s="1532"/>
      <c r="EG667" s="1532"/>
      <c r="EH667" s="1532" t="e">
        <f t="shared" si="6"/>
        <v>#VALUE!</v>
      </c>
      <c r="EI667" s="1532"/>
      <c r="EJ667" s="1532"/>
      <c r="EK667" s="1532"/>
      <c r="EL667" s="1532"/>
      <c r="EM667" s="1532" t="e">
        <f t="shared" si="7"/>
        <v>#VALUE!</v>
      </c>
      <c r="EN667" s="1532"/>
      <c r="EO667" s="1532"/>
      <c r="EP667" s="1532"/>
      <c r="EQ667" s="1532"/>
      <c r="ER667" s="1532" t="e">
        <f t="shared" si="8"/>
        <v>#VALUE!</v>
      </c>
      <c r="ES667" s="1532"/>
      <c r="ET667" s="1532"/>
      <c r="EU667" s="1532"/>
      <c r="EV667" s="1532"/>
      <c r="EW667" s="1532" t="e">
        <f t="shared" si="9"/>
        <v>#VALUE!</v>
      </c>
      <c r="EX667" s="1532"/>
      <c r="EY667" s="1532"/>
      <c r="EZ667" s="1532"/>
      <c r="FA667" s="1532"/>
    </row>
    <row r="668" spans="1:157" ht="12.9" customHeight="1">
      <c r="A668" s="22"/>
      <c r="B668" t="s">
        <v>85</v>
      </c>
      <c r="G668" s="1457"/>
      <c r="H668" s="1457"/>
      <c r="I668" s="1457"/>
      <c r="J668" s="1457"/>
      <c r="K668" s="1457"/>
      <c r="L668" s="1457"/>
      <c r="M668" s="1457"/>
      <c r="N668" s="1457"/>
      <c r="O668" s="1457"/>
      <c r="P668" s="1457"/>
      <c r="Q668" s="1457"/>
      <c r="R668" s="1457"/>
      <c r="T668" s="22"/>
      <c r="U668" t="s">
        <v>85</v>
      </c>
      <c r="Z668" s="1457"/>
      <c r="AA668" s="1457"/>
      <c r="AB668" s="1457"/>
      <c r="AC668" s="1457"/>
      <c r="AD668" s="1457"/>
      <c r="AE668" s="1457"/>
      <c r="AF668" s="1457"/>
      <c r="AG668" s="1457"/>
      <c r="AH668" s="1457"/>
      <c r="AI668" s="1457"/>
      <c r="AJ668" s="1457"/>
      <c r="AK668" s="1457"/>
      <c r="AZ668" s="34"/>
      <c r="BA668" s="34"/>
      <c r="BB668" s="34"/>
      <c r="BC668" s="34"/>
      <c r="BD668" s="34"/>
      <c r="BE668" s="34"/>
      <c r="BF668" s="34"/>
      <c r="BG668" s="34"/>
      <c r="BH668" s="34"/>
      <c r="BI668" s="34"/>
      <c r="BJ668" s="34"/>
      <c r="BK668" s="34"/>
      <c r="BL668" s="34"/>
      <c r="BM668" s="34"/>
      <c r="DX668" s="1532" t="e">
        <f t="shared" si="4"/>
        <v>#VALUE!</v>
      </c>
      <c r="DY668" s="1532"/>
      <c r="DZ668" s="1532"/>
      <c r="EA668" s="1532"/>
      <c r="EB668" s="1532"/>
      <c r="EC668" s="1532" t="e">
        <f t="shared" si="5"/>
        <v>#VALUE!</v>
      </c>
      <c r="ED668" s="1532"/>
      <c r="EE668" s="1532"/>
      <c r="EF668" s="1532"/>
      <c r="EG668" s="1532"/>
      <c r="EH668" s="1532" t="e">
        <f t="shared" si="6"/>
        <v>#VALUE!</v>
      </c>
      <c r="EI668" s="1532"/>
      <c r="EJ668" s="1532"/>
      <c r="EK668" s="1532"/>
      <c r="EL668" s="1532"/>
      <c r="EM668" s="1532" t="e">
        <f t="shared" si="7"/>
        <v>#VALUE!</v>
      </c>
      <c r="EN668" s="1532"/>
      <c r="EO668" s="1532"/>
      <c r="EP668" s="1532"/>
      <c r="EQ668" s="1532"/>
      <c r="ER668" s="1532" t="e">
        <f t="shared" si="8"/>
        <v>#VALUE!</v>
      </c>
      <c r="ES668" s="1532"/>
      <c r="ET668" s="1532"/>
      <c r="EU668" s="1532"/>
      <c r="EV668" s="1532"/>
      <c r="EW668" s="1532" t="e">
        <f t="shared" si="9"/>
        <v>#VALUE!</v>
      </c>
      <c r="EX668" s="1532"/>
      <c r="EY668" s="1532"/>
      <c r="EZ668" s="1532"/>
      <c r="FA668" s="1532"/>
    </row>
    <row r="669" spans="1:157" ht="12.9" customHeight="1">
      <c r="A669" s="22"/>
      <c r="B669" t="s">
        <v>580</v>
      </c>
      <c r="G669" s="1457"/>
      <c r="H669" s="1457"/>
      <c r="I669" s="1457"/>
      <c r="J669" s="1457"/>
      <c r="K669" s="1457"/>
      <c r="L669" s="1457"/>
      <c r="M669" s="1457"/>
      <c r="N669" s="1457"/>
      <c r="O669" s="1457"/>
      <c r="P669" s="1457"/>
      <c r="Q669" s="1457"/>
      <c r="R669" s="1457"/>
      <c r="T669" s="22"/>
      <c r="U669" t="s">
        <v>580</v>
      </c>
      <c r="Z669" s="1435"/>
      <c r="AA669" s="1435"/>
      <c r="AB669" s="1435"/>
      <c r="AC669" s="1435"/>
      <c r="AD669" s="1435"/>
      <c r="AE669" s="1435"/>
      <c r="AF669" s="1435"/>
      <c r="AG669" s="1435"/>
      <c r="AH669" s="1435"/>
      <c r="AI669" s="1435"/>
      <c r="AJ669" s="1435"/>
      <c r="AK669" s="1435"/>
      <c r="AZ669" s="34"/>
      <c r="BA669" s="34"/>
      <c r="BB669" s="34"/>
      <c r="BC669" s="34"/>
      <c r="BD669" s="34"/>
      <c r="BE669" s="34"/>
      <c r="BF669" s="34"/>
      <c r="BG669" s="34"/>
      <c r="BH669" s="34"/>
      <c r="BI669" s="34"/>
      <c r="BJ669" s="34"/>
      <c r="BK669" s="34"/>
      <c r="BL669" s="34"/>
      <c r="BM669" s="34"/>
      <c r="DX669" s="1532" t="e">
        <f t="shared" si="4"/>
        <v>#VALUE!</v>
      </c>
      <c r="DY669" s="1532"/>
      <c r="DZ669" s="1532"/>
      <c r="EA669" s="1532"/>
      <c r="EB669" s="1532"/>
      <c r="EC669" s="1532" t="e">
        <f t="shared" si="5"/>
        <v>#VALUE!</v>
      </c>
      <c r="ED669" s="1532"/>
      <c r="EE669" s="1532"/>
      <c r="EF669" s="1532"/>
      <c r="EG669" s="1532"/>
      <c r="EH669" s="1532" t="e">
        <f t="shared" si="6"/>
        <v>#VALUE!</v>
      </c>
      <c r="EI669" s="1532"/>
      <c r="EJ669" s="1532"/>
      <c r="EK669" s="1532"/>
      <c r="EL669" s="1532"/>
      <c r="EM669" s="1532" t="e">
        <f t="shared" si="7"/>
        <v>#VALUE!</v>
      </c>
      <c r="EN669" s="1532"/>
      <c r="EO669" s="1532"/>
      <c r="EP669" s="1532"/>
      <c r="EQ669" s="1532"/>
      <c r="ER669" s="1532" t="e">
        <f t="shared" si="8"/>
        <v>#VALUE!</v>
      </c>
      <c r="ES669" s="1532"/>
      <c r="ET669" s="1532"/>
      <c r="EU669" s="1532"/>
      <c r="EV669" s="1532"/>
      <c r="EW669" s="1532" t="e">
        <f t="shared" si="9"/>
        <v>#VALUE!</v>
      </c>
      <c r="EX669" s="1532"/>
      <c r="EY669" s="1532"/>
      <c r="EZ669" s="1532"/>
      <c r="FA669" s="1532"/>
    </row>
    <row r="670" spans="1:157" ht="12.9" customHeight="1">
      <c r="A670" s="22"/>
      <c r="B670" t="s">
        <v>17</v>
      </c>
      <c r="G670" s="1457"/>
      <c r="H670" s="1457"/>
      <c r="I670" s="1457"/>
      <c r="J670" s="1457"/>
      <c r="K670" s="1457"/>
      <c r="L670" s="1457"/>
      <c r="M670" s="1457"/>
      <c r="N670" s="1457"/>
      <c r="O670" s="1457"/>
      <c r="P670" s="1457"/>
      <c r="Q670" s="1457"/>
      <c r="R670" s="1457"/>
      <c r="T670" s="22"/>
      <c r="U670" t="s">
        <v>17</v>
      </c>
      <c r="Z670" s="1435"/>
      <c r="AA670" s="1435"/>
      <c r="AB670" s="1435"/>
      <c r="AC670" s="1435"/>
      <c r="AD670" s="1435"/>
      <c r="AE670" s="1435"/>
      <c r="AF670" s="1435"/>
      <c r="AG670" s="1435"/>
      <c r="AH670" s="1435"/>
      <c r="AI670" s="1435"/>
      <c r="AJ670" s="1435"/>
      <c r="AK670" s="143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2" t="e">
        <f t="shared" si="4"/>
        <v>#VALUE!</v>
      </c>
      <c r="DY670" s="1532"/>
      <c r="DZ670" s="1532"/>
      <c r="EA670" s="1532"/>
      <c r="EB670" s="1532"/>
      <c r="EC670" s="1532" t="e">
        <f t="shared" si="5"/>
        <v>#VALUE!</v>
      </c>
      <c r="ED670" s="1532"/>
      <c r="EE670" s="1532"/>
      <c r="EF670" s="1532"/>
      <c r="EG670" s="1532"/>
      <c r="EH670" s="1532" t="e">
        <f t="shared" si="6"/>
        <v>#VALUE!</v>
      </c>
      <c r="EI670" s="1532"/>
      <c r="EJ670" s="1532"/>
      <c r="EK670" s="1532"/>
      <c r="EL670" s="1532"/>
      <c r="EM670" s="1532" t="e">
        <f t="shared" si="7"/>
        <v>#VALUE!</v>
      </c>
      <c r="EN670" s="1532"/>
      <c r="EO670" s="1532"/>
      <c r="EP670" s="1532"/>
      <c r="EQ670" s="1532"/>
      <c r="ER670" s="1532" t="e">
        <f t="shared" si="8"/>
        <v>#VALUE!</v>
      </c>
      <c r="ES670" s="1532"/>
      <c r="ET670" s="1532"/>
      <c r="EU670" s="1532"/>
      <c r="EV670" s="1532"/>
      <c r="EW670" s="1532" t="e">
        <f t="shared" si="9"/>
        <v>#VALUE!</v>
      </c>
      <c r="EX670" s="1532"/>
      <c r="EY670" s="1532"/>
      <c r="EZ670" s="1532"/>
      <c r="FA670" s="1532"/>
    </row>
    <row r="671" spans="1:157" ht="12.9" customHeight="1">
      <c r="A671" s="22"/>
      <c r="B671" t="s">
        <v>316</v>
      </c>
      <c r="G671" s="1707"/>
      <c r="H671" s="1707"/>
      <c r="I671" s="1707"/>
      <c r="J671" s="1707"/>
      <c r="K671" s="1707"/>
      <c r="L671" s="1707"/>
      <c r="O671" s="33" t="s">
        <v>206</v>
      </c>
      <c r="P671" s="1472"/>
      <c r="Q671" s="1472"/>
      <c r="R671" s="1472"/>
      <c r="T671" s="22"/>
      <c r="U671" t="s">
        <v>316</v>
      </c>
      <c r="Z671" s="1707"/>
      <c r="AA671" s="1707"/>
      <c r="AB671" s="1707"/>
      <c r="AC671" s="1707"/>
      <c r="AD671" s="1707"/>
      <c r="AE671" s="1707"/>
      <c r="AH671" s="33" t="s">
        <v>206</v>
      </c>
      <c r="AI671" s="1472"/>
      <c r="AJ671" s="1472"/>
      <c r="AK671" s="147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2" t="e">
        <f t="shared" si="4"/>
        <v>#VALUE!</v>
      </c>
      <c r="DY671" s="1532"/>
      <c r="DZ671" s="1532"/>
      <c r="EA671" s="1532"/>
      <c r="EB671" s="1532"/>
      <c r="EC671" s="1532" t="e">
        <f t="shared" si="5"/>
        <v>#VALUE!</v>
      </c>
      <c r="ED671" s="1532"/>
      <c r="EE671" s="1532"/>
      <c r="EF671" s="1532"/>
      <c r="EG671" s="1532"/>
      <c r="EH671" s="1532" t="e">
        <f t="shared" si="6"/>
        <v>#VALUE!</v>
      </c>
      <c r="EI671" s="1532"/>
      <c r="EJ671" s="1532"/>
      <c r="EK671" s="1532"/>
      <c r="EL671" s="1532"/>
      <c r="EM671" s="1532" t="e">
        <f t="shared" si="7"/>
        <v>#VALUE!</v>
      </c>
      <c r="EN671" s="1532"/>
      <c r="EO671" s="1532"/>
      <c r="EP671" s="1532"/>
      <c r="EQ671" s="1532"/>
      <c r="ER671" s="1532" t="e">
        <f t="shared" si="8"/>
        <v>#VALUE!</v>
      </c>
      <c r="ES671" s="1532"/>
      <c r="ET671" s="1532"/>
      <c r="EU671" s="1532"/>
      <c r="EV671" s="1532"/>
      <c r="EW671" s="1532" t="e">
        <f t="shared" si="9"/>
        <v>#VALUE!</v>
      </c>
      <c r="EX671" s="1532"/>
      <c r="EY671" s="1532"/>
      <c r="EZ671" s="1532"/>
      <c r="FA671" s="1532"/>
    </row>
    <row r="672" spans="1:157" ht="12.9" customHeight="1">
      <c r="A672" s="22"/>
      <c r="B672" t="s">
        <v>18</v>
      </c>
      <c r="H672" s="1457"/>
      <c r="I672" s="1457"/>
      <c r="J672" s="1457"/>
      <c r="K672" s="1457"/>
      <c r="L672" s="1457"/>
      <c r="M672" s="1457"/>
      <c r="N672" s="1457"/>
      <c r="O672" s="1457"/>
      <c r="P672" s="1457"/>
      <c r="Q672" s="1457"/>
      <c r="R672" s="1457"/>
      <c r="T672" s="22"/>
      <c r="U672" t="s">
        <v>18</v>
      </c>
      <c r="AA672" s="1457"/>
      <c r="AB672" s="1457"/>
      <c r="AC672" s="1457"/>
      <c r="AD672" s="1457"/>
      <c r="AE672" s="1457"/>
      <c r="AF672" s="1457"/>
      <c r="AG672" s="1457"/>
      <c r="AH672" s="1457"/>
      <c r="AI672" s="1457"/>
      <c r="AJ672" s="1457"/>
      <c r="AK672" s="145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2" t="e">
        <f t="shared" si="4"/>
        <v>#VALUE!</v>
      </c>
      <c r="DY672" s="1532"/>
      <c r="DZ672" s="1532"/>
      <c r="EA672" s="1532"/>
      <c r="EB672" s="1532"/>
      <c r="EC672" s="1532" t="e">
        <f t="shared" si="5"/>
        <v>#VALUE!</v>
      </c>
      <c r="ED672" s="1532"/>
      <c r="EE672" s="1532"/>
      <c r="EF672" s="1532"/>
      <c r="EG672" s="1532"/>
      <c r="EH672" s="1532" t="e">
        <f t="shared" si="6"/>
        <v>#VALUE!</v>
      </c>
      <c r="EI672" s="1532"/>
      <c r="EJ672" s="1532"/>
      <c r="EK672" s="1532"/>
      <c r="EL672" s="1532"/>
      <c r="EM672" s="1532" t="e">
        <f t="shared" si="7"/>
        <v>#VALUE!</v>
      </c>
      <c r="EN672" s="1532"/>
      <c r="EO672" s="1532"/>
      <c r="EP672" s="1532"/>
      <c r="EQ672" s="1532"/>
      <c r="ER672" s="1532" t="e">
        <f t="shared" si="8"/>
        <v>#VALUE!</v>
      </c>
      <c r="ES672" s="1532"/>
      <c r="ET672" s="1532"/>
      <c r="EU672" s="1532"/>
      <c r="EV672" s="1532"/>
      <c r="EW672" s="1532" t="e">
        <f t="shared" si="9"/>
        <v>#VALUE!</v>
      </c>
      <c r="EX672" s="1532"/>
      <c r="EY672" s="1532"/>
      <c r="EZ672" s="1532"/>
      <c r="FA672" s="1532"/>
    </row>
    <row r="673" spans="1:157" ht="12.9" customHeight="1">
      <c r="A673" s="22"/>
      <c r="B673" t="s">
        <v>20</v>
      </c>
      <c r="N673" s="1341" t="s">
        <v>669</v>
      </c>
      <c r="O673" s="1341"/>
      <c r="T673" s="22"/>
      <c r="U673" t="s">
        <v>20</v>
      </c>
      <c r="AG673" s="1341" t="s">
        <v>669</v>
      </c>
      <c r="AH673" s="134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2" t="e">
        <f t="shared" si="4"/>
        <v>#VALUE!</v>
      </c>
      <c r="DY673" s="1532"/>
      <c r="DZ673" s="1532"/>
      <c r="EA673" s="1532"/>
      <c r="EB673" s="1532"/>
      <c r="EC673" s="1532" t="e">
        <f t="shared" si="5"/>
        <v>#VALUE!</v>
      </c>
      <c r="ED673" s="1532"/>
      <c r="EE673" s="1532"/>
      <c r="EF673" s="1532"/>
      <c r="EG673" s="1532"/>
      <c r="EH673" s="1532" t="e">
        <f t="shared" si="6"/>
        <v>#VALUE!</v>
      </c>
      <c r="EI673" s="1532"/>
      <c r="EJ673" s="1532"/>
      <c r="EK673" s="1532"/>
      <c r="EL673" s="1532"/>
      <c r="EM673" s="1532" t="e">
        <f t="shared" si="7"/>
        <v>#VALUE!</v>
      </c>
      <c r="EN673" s="1532"/>
      <c r="EO673" s="1532"/>
      <c r="EP673" s="1532"/>
      <c r="EQ673" s="1532"/>
      <c r="ER673" s="1532" t="e">
        <f t="shared" si="8"/>
        <v>#VALUE!</v>
      </c>
      <c r="ES673" s="1532"/>
      <c r="ET673" s="1532"/>
      <c r="EU673" s="1532"/>
      <c r="EV673" s="1532"/>
      <c r="EW673" s="1532" t="e">
        <f t="shared" si="9"/>
        <v>#VALUE!</v>
      </c>
      <c r="EX673" s="1532"/>
      <c r="EY673" s="1532"/>
      <c r="EZ673" s="1532"/>
      <c r="FA673" s="1532"/>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2" t="e">
        <f t="shared" si="4"/>
        <v>#VALUE!</v>
      </c>
      <c r="DY674" s="1532"/>
      <c r="DZ674" s="1532"/>
      <c r="EA674" s="1532"/>
      <c r="EB674" s="1532"/>
      <c r="EC674" s="1532" t="e">
        <f t="shared" si="5"/>
        <v>#VALUE!</v>
      </c>
      <c r="ED674" s="1532"/>
      <c r="EE674" s="1532"/>
      <c r="EF674" s="1532"/>
      <c r="EG674" s="1532"/>
      <c r="EH674" s="1532" t="e">
        <f t="shared" si="6"/>
        <v>#VALUE!</v>
      </c>
      <c r="EI674" s="1532"/>
      <c r="EJ674" s="1532"/>
      <c r="EK674" s="1532"/>
      <c r="EL674" s="1532"/>
      <c r="EM674" s="1532" t="e">
        <f t="shared" si="7"/>
        <v>#VALUE!</v>
      </c>
      <c r="EN674" s="1532"/>
      <c r="EO674" s="1532"/>
      <c r="EP674" s="1532"/>
      <c r="EQ674" s="1532"/>
      <c r="ER674" s="1532" t="e">
        <f t="shared" si="8"/>
        <v>#VALUE!</v>
      </c>
      <c r="ES674" s="1532"/>
      <c r="ET674" s="1532"/>
      <c r="EU674" s="1532"/>
      <c r="EV674" s="1532"/>
      <c r="EW674" s="1532" t="e">
        <f t="shared" si="9"/>
        <v>#VALUE!</v>
      </c>
      <c r="EX674" s="1532"/>
      <c r="EY674" s="1532"/>
      <c r="EZ674" s="1532"/>
      <c r="FA674" s="1532"/>
    </row>
    <row r="675" spans="1:157" ht="12.9" customHeight="1">
      <c r="A675" s="55" t="s">
        <v>455</v>
      </c>
      <c r="B675" t="s">
        <v>463</v>
      </c>
      <c r="G675" s="1471">
        <f>C641</f>
        <v>0</v>
      </c>
      <c r="H675" s="1471"/>
      <c r="I675" s="1471"/>
      <c r="J675" s="1471"/>
      <c r="K675" s="1471"/>
      <c r="L675" s="1471"/>
      <c r="M675" s="1471"/>
      <c r="N675" s="1471"/>
      <c r="O675" s="1471"/>
      <c r="P675" s="1471"/>
      <c r="Q675" s="1471"/>
      <c r="R675" s="1471"/>
      <c r="T675" s="55" t="s">
        <v>456</v>
      </c>
      <c r="U675" t="s">
        <v>463</v>
      </c>
      <c r="Z675" s="1471">
        <f>C642</f>
        <v>0</v>
      </c>
      <c r="AA675" s="1471"/>
      <c r="AB675" s="1471"/>
      <c r="AC675" s="1471"/>
      <c r="AD675" s="1471"/>
      <c r="AE675" s="1471"/>
      <c r="AF675" s="1471"/>
      <c r="AG675" s="1471"/>
      <c r="AH675" s="1471"/>
      <c r="AI675" s="1471"/>
      <c r="AJ675" s="1471"/>
      <c r="AK675" s="147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2" t="e">
        <f t="shared" si="4"/>
        <v>#VALUE!</v>
      </c>
      <c r="DY675" s="1532"/>
      <c r="DZ675" s="1532"/>
      <c r="EA675" s="1532"/>
      <c r="EB675" s="1532"/>
      <c r="EC675" s="1532" t="e">
        <f t="shared" si="5"/>
        <v>#VALUE!</v>
      </c>
      <c r="ED675" s="1532"/>
      <c r="EE675" s="1532"/>
      <c r="EF675" s="1532"/>
      <c r="EG675" s="1532"/>
      <c r="EH675" s="1532" t="e">
        <f t="shared" si="6"/>
        <v>#VALUE!</v>
      </c>
      <c r="EI675" s="1532"/>
      <c r="EJ675" s="1532"/>
      <c r="EK675" s="1532"/>
      <c r="EL675" s="1532"/>
      <c r="EM675" s="1532" t="e">
        <f t="shared" si="7"/>
        <v>#VALUE!</v>
      </c>
      <c r="EN675" s="1532"/>
      <c r="EO675" s="1532"/>
      <c r="EP675" s="1532"/>
      <c r="EQ675" s="1532"/>
      <c r="ER675" s="1532" t="e">
        <f t="shared" si="8"/>
        <v>#VALUE!</v>
      </c>
      <c r="ES675" s="1532"/>
      <c r="ET675" s="1532"/>
      <c r="EU675" s="1532"/>
      <c r="EV675" s="1532"/>
      <c r="EW675" s="1532" t="e">
        <f t="shared" si="9"/>
        <v>#VALUE!</v>
      </c>
      <c r="EX675" s="1532"/>
      <c r="EY675" s="1532"/>
      <c r="EZ675" s="1532"/>
      <c r="FA675" s="1532"/>
    </row>
    <row r="676" spans="1:157" ht="12.9" customHeight="1">
      <c r="A676" s="22"/>
      <c r="B676" t="s">
        <v>85</v>
      </c>
      <c r="G676" s="1457"/>
      <c r="H676" s="1457"/>
      <c r="I676" s="1457"/>
      <c r="J676" s="1457"/>
      <c r="K676" s="1457"/>
      <c r="L676" s="1457"/>
      <c r="M676" s="1457"/>
      <c r="N676" s="1457"/>
      <c r="O676" s="1457"/>
      <c r="P676" s="1457"/>
      <c r="Q676" s="1457"/>
      <c r="R676" s="1457"/>
      <c r="T676" s="22"/>
      <c r="U676" t="s">
        <v>85</v>
      </c>
      <c r="Z676" s="1457"/>
      <c r="AA676" s="1457"/>
      <c r="AB676" s="1457"/>
      <c r="AC676" s="1457"/>
      <c r="AD676" s="1457"/>
      <c r="AE676" s="1457"/>
      <c r="AF676" s="1457"/>
      <c r="AG676" s="1457"/>
      <c r="AH676" s="1457"/>
      <c r="AI676" s="1457"/>
      <c r="AJ676" s="1457"/>
      <c r="AK676" s="145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2" t="e">
        <f t="shared" si="4"/>
        <v>#VALUE!</v>
      </c>
      <c r="DY676" s="1532"/>
      <c r="DZ676" s="1532"/>
      <c r="EA676" s="1532"/>
      <c r="EB676" s="1532"/>
      <c r="EC676" s="1532" t="e">
        <f t="shared" si="5"/>
        <v>#VALUE!</v>
      </c>
      <c r="ED676" s="1532"/>
      <c r="EE676" s="1532"/>
      <c r="EF676" s="1532"/>
      <c r="EG676" s="1532"/>
      <c r="EH676" s="1532" t="e">
        <f t="shared" si="6"/>
        <v>#VALUE!</v>
      </c>
      <c r="EI676" s="1532"/>
      <c r="EJ676" s="1532"/>
      <c r="EK676" s="1532"/>
      <c r="EL676" s="1532"/>
      <c r="EM676" s="1532" t="e">
        <f t="shared" si="7"/>
        <v>#VALUE!</v>
      </c>
      <c r="EN676" s="1532"/>
      <c r="EO676" s="1532"/>
      <c r="EP676" s="1532"/>
      <c r="EQ676" s="1532"/>
      <c r="ER676" s="1532" t="e">
        <f t="shared" si="8"/>
        <v>#VALUE!</v>
      </c>
      <c r="ES676" s="1532"/>
      <c r="ET676" s="1532"/>
      <c r="EU676" s="1532"/>
      <c r="EV676" s="1532"/>
      <c r="EW676" s="1532" t="e">
        <f t="shared" si="9"/>
        <v>#VALUE!</v>
      </c>
      <c r="EX676" s="1532"/>
      <c r="EY676" s="1532"/>
      <c r="EZ676" s="1532"/>
      <c r="FA676" s="1532"/>
    </row>
    <row r="677" spans="1:157" ht="12.9" customHeight="1">
      <c r="A677" s="22"/>
      <c r="B677" t="s">
        <v>580</v>
      </c>
      <c r="G677" s="1457"/>
      <c r="H677" s="1457"/>
      <c r="I677" s="1457"/>
      <c r="J677" s="1457"/>
      <c r="K677" s="1457"/>
      <c r="L677" s="1457"/>
      <c r="M677" s="1457"/>
      <c r="N677" s="1457"/>
      <c r="O677" s="1457"/>
      <c r="P677" s="1457"/>
      <c r="Q677" s="1457"/>
      <c r="R677" s="1457"/>
      <c r="T677" s="22"/>
      <c r="U677" t="s">
        <v>580</v>
      </c>
      <c r="Z677" s="1435"/>
      <c r="AA677" s="1435"/>
      <c r="AB677" s="1435"/>
      <c r="AC677" s="1435"/>
      <c r="AD677" s="1435"/>
      <c r="AE677" s="1435"/>
      <c r="AF677" s="1435"/>
      <c r="AG677" s="1435"/>
      <c r="AH677" s="1435"/>
      <c r="AI677" s="1435"/>
      <c r="AJ677" s="1435"/>
      <c r="AK677" s="143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2" t="e">
        <f t="shared" si="4"/>
        <v>#VALUE!</v>
      </c>
      <c r="DY677" s="1532"/>
      <c r="DZ677" s="1532"/>
      <c r="EA677" s="1532"/>
      <c r="EB677" s="1532"/>
      <c r="EC677" s="1532" t="e">
        <f t="shared" si="5"/>
        <v>#VALUE!</v>
      </c>
      <c r="ED677" s="1532"/>
      <c r="EE677" s="1532"/>
      <c r="EF677" s="1532"/>
      <c r="EG677" s="1532"/>
      <c r="EH677" s="1532" t="e">
        <f t="shared" si="6"/>
        <v>#VALUE!</v>
      </c>
      <c r="EI677" s="1532"/>
      <c r="EJ677" s="1532"/>
      <c r="EK677" s="1532"/>
      <c r="EL677" s="1532"/>
      <c r="EM677" s="1532" t="e">
        <f t="shared" si="7"/>
        <v>#VALUE!</v>
      </c>
      <c r="EN677" s="1532"/>
      <c r="EO677" s="1532"/>
      <c r="EP677" s="1532"/>
      <c r="EQ677" s="1532"/>
      <c r="ER677" s="1532" t="e">
        <f t="shared" si="8"/>
        <v>#VALUE!</v>
      </c>
      <c r="ES677" s="1532"/>
      <c r="ET677" s="1532"/>
      <c r="EU677" s="1532"/>
      <c r="EV677" s="1532"/>
      <c r="EW677" s="1532" t="e">
        <f t="shared" si="9"/>
        <v>#VALUE!</v>
      </c>
      <c r="EX677" s="1532"/>
      <c r="EY677" s="1532"/>
      <c r="EZ677" s="1532"/>
      <c r="FA677" s="1532"/>
    </row>
    <row r="678" spans="1:157" ht="12.9" customHeight="1">
      <c r="A678" s="22"/>
      <c r="B678" t="s">
        <v>17</v>
      </c>
      <c r="G678" s="1457"/>
      <c r="H678" s="1457"/>
      <c r="I678" s="1457"/>
      <c r="J678" s="1457"/>
      <c r="K678" s="1457"/>
      <c r="L678" s="1457"/>
      <c r="M678" s="1457"/>
      <c r="N678" s="1457"/>
      <c r="O678" s="1457"/>
      <c r="P678" s="1457"/>
      <c r="Q678" s="1457"/>
      <c r="R678" s="1457"/>
      <c r="T678" s="22"/>
      <c r="U678" t="s">
        <v>17</v>
      </c>
      <c r="Z678" s="1435"/>
      <c r="AA678" s="1435"/>
      <c r="AB678" s="1435"/>
      <c r="AC678" s="1435"/>
      <c r="AD678" s="1435"/>
      <c r="AE678" s="1435"/>
      <c r="AF678" s="1435"/>
      <c r="AG678" s="1435"/>
      <c r="AH678" s="1435"/>
      <c r="AI678" s="1435"/>
      <c r="AJ678" s="1435"/>
      <c r="AK678" s="143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2">
        <f>SUMIF(DX643:EB677,"&gt;0")</f>
        <v>0</v>
      </c>
      <c r="DY678" s="1532"/>
      <c r="DZ678" s="1532"/>
      <c r="EA678" s="1532"/>
      <c r="EB678" s="1532"/>
      <c r="EC678" s="1532">
        <f>SUMIF(EC643:EG677,"&gt;0")</f>
        <v>2021.047619047619</v>
      </c>
      <c r="ED678" s="1532"/>
      <c r="EE678" s="1532"/>
      <c r="EF678" s="1532"/>
      <c r="EG678" s="1532"/>
      <c r="EH678" s="1532">
        <f>SUMIF(EH643:EL677,"&gt;0")</f>
        <v>2533.2857142857142</v>
      </c>
      <c r="EI678" s="1532"/>
      <c r="EJ678" s="1532"/>
      <c r="EK678" s="1532"/>
      <c r="EL678" s="1532"/>
      <c r="EM678" s="1532">
        <f>SUMIF(EM643:EQ677,"&gt;0")</f>
        <v>2885.15</v>
      </c>
      <c r="EN678" s="1532"/>
      <c r="EO678" s="1532"/>
      <c r="EP678" s="1532"/>
      <c r="EQ678" s="1532"/>
      <c r="ER678" s="1532">
        <f>SUMIF(ER643:EV677,"&gt;0")</f>
        <v>0</v>
      </c>
      <c r="ES678" s="1532"/>
      <c r="ET678" s="1532"/>
      <c r="EU678" s="1532"/>
      <c r="EV678" s="1532"/>
      <c r="EW678" s="1532">
        <f>SUMIF(EW643:FA677,"&gt;0")</f>
        <v>0</v>
      </c>
      <c r="EX678" s="1532"/>
      <c r="EY678" s="1532"/>
      <c r="EZ678" s="1532"/>
      <c r="FA678" s="1532"/>
    </row>
    <row r="679" spans="1:157" ht="12.9" customHeight="1">
      <c r="A679" s="22"/>
      <c r="B679" t="s">
        <v>316</v>
      </c>
      <c r="G679" s="1707"/>
      <c r="H679" s="1707"/>
      <c r="I679" s="1707"/>
      <c r="J679" s="1707"/>
      <c r="K679" s="1707"/>
      <c r="L679" s="1707"/>
      <c r="O679" s="33" t="s">
        <v>206</v>
      </c>
      <c r="P679" s="1472"/>
      <c r="Q679" s="1472"/>
      <c r="R679" s="1472"/>
      <c r="T679" s="22"/>
      <c r="U679" t="s">
        <v>316</v>
      </c>
      <c r="Z679" s="1707"/>
      <c r="AA679" s="1707"/>
      <c r="AB679" s="1707"/>
      <c r="AC679" s="1707"/>
      <c r="AD679" s="1707"/>
      <c r="AE679" s="1707"/>
      <c r="AH679" s="33" t="s">
        <v>206</v>
      </c>
      <c r="AI679" s="1472"/>
      <c r="AJ679" s="1472"/>
      <c r="AK679" s="147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57"/>
      <c r="I680" s="1457"/>
      <c r="J680" s="1457"/>
      <c r="K680" s="1457"/>
      <c r="L680" s="1457"/>
      <c r="M680" s="1457"/>
      <c r="N680" s="1457"/>
      <c r="O680" s="1457"/>
      <c r="P680" s="1457"/>
      <c r="Q680" s="1457"/>
      <c r="R680" s="1457"/>
      <c r="T680" s="22"/>
      <c r="U680" t="s">
        <v>18</v>
      </c>
      <c r="AA680" s="1457"/>
      <c r="AB680" s="1457"/>
      <c r="AC680" s="1457"/>
      <c r="AD680" s="1457"/>
      <c r="AE680" s="1457"/>
      <c r="AF680" s="1457"/>
      <c r="AG680" s="1457"/>
      <c r="AH680" s="1457"/>
      <c r="AI680" s="1457"/>
      <c r="AJ680" s="1457"/>
      <c r="AK680" s="145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41" t="s">
        <v>669</v>
      </c>
      <c r="O681" s="1341"/>
      <c r="T681" s="22"/>
      <c r="U681" t="s">
        <v>20</v>
      </c>
      <c r="AG681" s="1341" t="s">
        <v>669</v>
      </c>
      <c r="AH681" s="1341"/>
      <c r="AZ681" s="3"/>
    </row>
    <row r="682" spans="1:157" ht="12.9" customHeight="1">
      <c r="A682" s="22"/>
      <c r="T682" s="22"/>
      <c r="AZ682" s="3"/>
    </row>
    <row r="683" spans="1:157" ht="12.9" customHeight="1">
      <c r="A683" s="55" t="s">
        <v>461</v>
      </c>
      <c r="B683" t="s">
        <v>463</v>
      </c>
      <c r="G683" s="1471">
        <f>C643</f>
        <v>0</v>
      </c>
      <c r="H683" s="1471"/>
      <c r="I683" s="1471"/>
      <c r="J683" s="1471"/>
      <c r="K683" s="1471"/>
      <c r="L683" s="1471"/>
      <c r="M683" s="1471"/>
      <c r="N683" s="1471"/>
      <c r="O683" s="1471"/>
      <c r="P683" s="1471"/>
      <c r="Q683" s="1471"/>
      <c r="R683" s="1471"/>
      <c r="T683" s="55" t="s">
        <v>646</v>
      </c>
      <c r="U683" t="s">
        <v>463</v>
      </c>
      <c r="Z683" s="1471">
        <f>C644</f>
        <v>0</v>
      </c>
      <c r="AA683" s="1471"/>
      <c r="AB683" s="1471"/>
      <c r="AC683" s="1471"/>
      <c r="AD683" s="1471"/>
      <c r="AE683" s="1471"/>
      <c r="AF683" s="1471"/>
      <c r="AG683" s="1471"/>
      <c r="AH683" s="1471"/>
      <c r="AI683" s="1471"/>
      <c r="AJ683" s="1471"/>
      <c r="AK683" s="1471"/>
      <c r="AZ683" s="3"/>
    </row>
    <row r="684" spans="1:157" ht="12.9" customHeight="1">
      <c r="A684" s="22"/>
      <c r="B684" t="s">
        <v>85</v>
      </c>
      <c r="G684" s="1457"/>
      <c r="H684" s="1457"/>
      <c r="I684" s="1457"/>
      <c r="J684" s="1457"/>
      <c r="K684" s="1457"/>
      <c r="L684" s="1457"/>
      <c r="M684" s="1457"/>
      <c r="N684" s="1457"/>
      <c r="O684" s="1457"/>
      <c r="P684" s="1457"/>
      <c r="Q684" s="1457"/>
      <c r="R684" s="1457"/>
      <c r="T684" s="22"/>
      <c r="U684" t="s">
        <v>85</v>
      </c>
      <c r="Z684" s="1457"/>
      <c r="AA684" s="1457"/>
      <c r="AB684" s="1457"/>
      <c r="AC684" s="1457"/>
      <c r="AD684" s="1457"/>
      <c r="AE684" s="1457"/>
      <c r="AF684" s="1457"/>
      <c r="AG684" s="1457"/>
      <c r="AH684" s="1457"/>
      <c r="AI684" s="1457"/>
      <c r="AJ684" s="1457"/>
      <c r="AK684" s="1457"/>
      <c r="AZ684" s="3"/>
    </row>
    <row r="685" spans="1:157" ht="12.9" customHeight="1">
      <c r="A685" s="22"/>
      <c r="B685" t="s">
        <v>580</v>
      </c>
      <c r="G685" s="1457"/>
      <c r="H685" s="1457"/>
      <c r="I685" s="1457"/>
      <c r="J685" s="1457"/>
      <c r="K685" s="1457"/>
      <c r="L685" s="1457"/>
      <c r="M685" s="1457"/>
      <c r="N685" s="1457"/>
      <c r="O685" s="1457"/>
      <c r="P685" s="1457"/>
      <c r="Q685" s="1457"/>
      <c r="R685" s="1457"/>
      <c r="T685" s="22"/>
      <c r="U685" t="s">
        <v>580</v>
      </c>
      <c r="Z685" s="1435"/>
      <c r="AA685" s="1435"/>
      <c r="AB685" s="1435"/>
      <c r="AC685" s="1435"/>
      <c r="AD685" s="1435"/>
      <c r="AE685" s="1435"/>
      <c r="AF685" s="1435"/>
      <c r="AG685" s="1435"/>
      <c r="AH685" s="1435"/>
      <c r="AI685" s="1435"/>
      <c r="AJ685" s="1435"/>
      <c r="AK685" s="1435"/>
      <c r="AZ685" s="3"/>
    </row>
    <row r="686" spans="1:157" ht="12.9" customHeight="1">
      <c r="A686" s="22"/>
      <c r="B686" t="s">
        <v>17</v>
      </c>
      <c r="G686" s="1457"/>
      <c r="H686" s="1457"/>
      <c r="I686" s="1457"/>
      <c r="J686" s="1457"/>
      <c r="K686" s="1457"/>
      <c r="L686" s="1457"/>
      <c r="M686" s="1457"/>
      <c r="N686" s="1457"/>
      <c r="O686" s="1457"/>
      <c r="P686" s="1457"/>
      <c r="Q686" s="1457"/>
      <c r="R686" s="1457"/>
      <c r="T686" s="22"/>
      <c r="U686" t="s">
        <v>17</v>
      </c>
      <c r="Z686" s="1435"/>
      <c r="AA686" s="1435"/>
      <c r="AB686" s="1435"/>
      <c r="AC686" s="1435"/>
      <c r="AD686" s="1435"/>
      <c r="AE686" s="1435"/>
      <c r="AF686" s="1435"/>
      <c r="AG686" s="1435"/>
      <c r="AH686" s="1435"/>
      <c r="AI686" s="1435"/>
      <c r="AJ686" s="1435"/>
      <c r="AK686" s="1435"/>
      <c r="AZ686" s="3"/>
    </row>
    <row r="687" spans="1:157" ht="12.9" customHeight="1">
      <c r="A687" s="22"/>
      <c r="B687" t="s">
        <v>316</v>
      </c>
      <c r="G687" s="1707"/>
      <c r="H687" s="1707"/>
      <c r="I687" s="1707"/>
      <c r="J687" s="1707"/>
      <c r="K687" s="1707"/>
      <c r="L687" s="1707"/>
      <c r="O687" s="33" t="s">
        <v>206</v>
      </c>
      <c r="P687" s="1472"/>
      <c r="Q687" s="1472"/>
      <c r="R687" s="1472"/>
      <c r="T687" s="22"/>
      <c r="U687" t="s">
        <v>316</v>
      </c>
      <c r="Z687" s="1707"/>
      <c r="AA687" s="1707"/>
      <c r="AB687" s="1707"/>
      <c r="AC687" s="1707"/>
      <c r="AD687" s="1707"/>
      <c r="AE687" s="1707"/>
      <c r="AH687" s="33" t="s">
        <v>206</v>
      </c>
      <c r="AI687" s="1472"/>
      <c r="AJ687" s="1472"/>
      <c r="AK687" s="1472"/>
      <c r="AZ687" s="3"/>
    </row>
    <row r="688" spans="1:157" ht="12.9" customHeight="1">
      <c r="A688" s="22"/>
      <c r="B688" t="s">
        <v>18</v>
      </c>
      <c r="H688" s="1457"/>
      <c r="I688" s="1457"/>
      <c r="J688" s="1457"/>
      <c r="K688" s="1457"/>
      <c r="L688" s="1457"/>
      <c r="M688" s="1457"/>
      <c r="N688" s="1457"/>
      <c r="O688" s="1457"/>
      <c r="P688" s="1457"/>
      <c r="Q688" s="1457"/>
      <c r="R688" s="1457"/>
      <c r="T688" s="22"/>
      <c r="U688" t="s">
        <v>18</v>
      </c>
      <c r="AA688" s="1457"/>
      <c r="AB688" s="1457"/>
      <c r="AC688" s="1457"/>
      <c r="AD688" s="1457"/>
      <c r="AE688" s="1457"/>
      <c r="AF688" s="1457"/>
      <c r="AG688" s="1457"/>
      <c r="AH688" s="1457"/>
      <c r="AI688" s="1457"/>
      <c r="AJ688" s="1457"/>
      <c r="AK688" s="1457"/>
      <c r="AZ688" s="3"/>
    </row>
    <row r="689" spans="1:52" ht="12.9" customHeight="1">
      <c r="A689" s="22"/>
      <c r="B689" t="s">
        <v>20</v>
      </c>
      <c r="N689" s="1341" t="s">
        <v>669</v>
      </c>
      <c r="O689" s="1341"/>
      <c r="T689" s="22"/>
      <c r="U689" t="s">
        <v>20</v>
      </c>
      <c r="AG689" s="1341" t="s">
        <v>669</v>
      </c>
      <c r="AH689" s="1341"/>
      <c r="AZ689" s="3"/>
    </row>
    <row r="690" spans="1:52" ht="12.9" customHeight="1">
      <c r="A690" s="22"/>
      <c r="T690" s="22"/>
      <c r="AZ690" s="3"/>
    </row>
    <row r="691" spans="1:52" ht="12.9" customHeight="1">
      <c r="A691" s="55" t="s">
        <v>362</v>
      </c>
      <c r="B691" t="s">
        <v>463</v>
      </c>
      <c r="G691" s="1471">
        <f>C645</f>
        <v>0</v>
      </c>
      <c r="H691" s="1471"/>
      <c r="I691" s="1471"/>
      <c r="J691" s="1471"/>
      <c r="K691" s="1471"/>
      <c r="L691" s="1471"/>
      <c r="M691" s="1471"/>
      <c r="N691" s="1471"/>
      <c r="O691" s="1471"/>
      <c r="P691" s="1471"/>
      <c r="Q691" s="1471"/>
      <c r="R691" s="1471"/>
      <c r="T691" s="55" t="s">
        <v>363</v>
      </c>
      <c r="U691" t="s">
        <v>463</v>
      </c>
      <c r="Z691" s="1471">
        <f>C646</f>
        <v>0</v>
      </c>
      <c r="AA691" s="1471"/>
      <c r="AB691" s="1471"/>
      <c r="AC691" s="1471"/>
      <c r="AD691" s="1471"/>
      <c r="AE691" s="1471"/>
      <c r="AF691" s="1471"/>
      <c r="AG691" s="1471"/>
      <c r="AH691" s="1471"/>
      <c r="AI691" s="1471"/>
      <c r="AJ691" s="1471"/>
      <c r="AK691" s="1471"/>
      <c r="AZ691" s="3"/>
    </row>
    <row r="692" spans="1:52" ht="12.9" customHeight="1">
      <c r="B692" t="s">
        <v>85</v>
      </c>
      <c r="G692" s="1457"/>
      <c r="H692" s="1457"/>
      <c r="I692" s="1457"/>
      <c r="J692" s="1457"/>
      <c r="K692" s="1457"/>
      <c r="L692" s="1457"/>
      <c r="M692" s="1457"/>
      <c r="N692" s="1457"/>
      <c r="O692" s="1457"/>
      <c r="P692" s="1457"/>
      <c r="Q692" s="1457"/>
      <c r="R692" s="1457"/>
      <c r="T692" s="22"/>
      <c r="U692" t="s">
        <v>85</v>
      </c>
      <c r="Z692" s="1457"/>
      <c r="AA692" s="1457"/>
      <c r="AB692" s="1457"/>
      <c r="AC692" s="1457"/>
      <c r="AD692" s="1457"/>
      <c r="AE692" s="1457"/>
      <c r="AF692" s="1457"/>
      <c r="AG692" s="1457"/>
      <c r="AH692" s="1457"/>
      <c r="AI692" s="1457"/>
      <c r="AJ692" s="1457"/>
      <c r="AK692" s="1457"/>
      <c r="AZ692" s="3"/>
    </row>
    <row r="693" spans="1:52" ht="12.9" customHeight="1">
      <c r="B693" t="s">
        <v>580</v>
      </c>
      <c r="G693" s="1457"/>
      <c r="H693" s="1457"/>
      <c r="I693" s="1457"/>
      <c r="J693" s="1457"/>
      <c r="K693" s="1457"/>
      <c r="L693" s="1457"/>
      <c r="M693" s="1457"/>
      <c r="N693" s="1457"/>
      <c r="O693" s="1457"/>
      <c r="P693" s="1457"/>
      <c r="Q693" s="1457"/>
      <c r="R693" s="1457"/>
      <c r="U693" t="s">
        <v>580</v>
      </c>
      <c r="Z693" s="1435"/>
      <c r="AA693" s="1435"/>
      <c r="AB693" s="1435"/>
      <c r="AC693" s="1435"/>
      <c r="AD693" s="1435"/>
      <c r="AE693" s="1435"/>
      <c r="AF693" s="1435"/>
      <c r="AG693" s="1435"/>
      <c r="AH693" s="1435"/>
      <c r="AI693" s="1435"/>
      <c r="AJ693" s="1435"/>
      <c r="AK693" s="1435"/>
      <c r="AZ693" s="3"/>
    </row>
    <row r="694" spans="1:52" ht="12.9" customHeight="1">
      <c r="B694" t="s">
        <v>17</v>
      </c>
      <c r="G694" s="1457"/>
      <c r="H694" s="1457"/>
      <c r="I694" s="1457"/>
      <c r="J694" s="1457"/>
      <c r="K694" s="1457"/>
      <c r="L694" s="1457"/>
      <c r="M694" s="1457"/>
      <c r="N694" s="1457"/>
      <c r="O694" s="1457"/>
      <c r="P694" s="1457"/>
      <c r="Q694" s="1457"/>
      <c r="R694" s="1457"/>
      <c r="U694" t="s">
        <v>17</v>
      </c>
      <c r="Z694" s="1435"/>
      <c r="AA694" s="1435"/>
      <c r="AB694" s="1435"/>
      <c r="AC694" s="1435"/>
      <c r="AD694" s="1435"/>
      <c r="AE694" s="1435"/>
      <c r="AF694" s="1435"/>
      <c r="AG694" s="1435"/>
      <c r="AH694" s="1435"/>
      <c r="AI694" s="1435"/>
      <c r="AJ694" s="1435"/>
      <c r="AK694" s="1435"/>
      <c r="AZ694" s="3"/>
    </row>
    <row r="695" spans="1:52" ht="12.9" customHeight="1">
      <c r="B695" t="s">
        <v>316</v>
      </c>
      <c r="G695" s="1707"/>
      <c r="H695" s="1707"/>
      <c r="I695" s="1707"/>
      <c r="J695" s="1707"/>
      <c r="K695" s="1707"/>
      <c r="L695" s="1707"/>
      <c r="O695" s="33" t="s">
        <v>206</v>
      </c>
      <c r="P695" s="1472"/>
      <c r="Q695" s="1472"/>
      <c r="R695" s="1472"/>
      <c r="U695" t="s">
        <v>316</v>
      </c>
      <c r="Z695" s="1707"/>
      <c r="AA695" s="1707"/>
      <c r="AB695" s="1707"/>
      <c r="AC695" s="1707"/>
      <c r="AD695" s="1707"/>
      <c r="AE695" s="1707"/>
      <c r="AH695" s="33" t="s">
        <v>206</v>
      </c>
      <c r="AI695" s="1472"/>
      <c r="AJ695" s="1472"/>
      <c r="AK695" s="1472"/>
      <c r="AZ695" s="3"/>
    </row>
    <row r="696" spans="1:52" ht="12.9" customHeight="1">
      <c r="B696" t="s">
        <v>18</v>
      </c>
      <c r="H696" s="1457"/>
      <c r="I696" s="1457"/>
      <c r="J696" s="1457"/>
      <c r="K696" s="1457"/>
      <c r="L696" s="1457"/>
      <c r="M696" s="1457"/>
      <c r="N696" s="1457"/>
      <c r="O696" s="1457"/>
      <c r="P696" s="1457"/>
      <c r="Q696" s="1457"/>
      <c r="R696" s="1457"/>
      <c r="U696" t="s">
        <v>18</v>
      </c>
      <c r="AA696" s="1457"/>
      <c r="AB696" s="1457"/>
      <c r="AC696" s="1457"/>
      <c r="AD696" s="1457"/>
      <c r="AE696" s="1457"/>
      <c r="AF696" s="1457"/>
      <c r="AG696" s="1457"/>
      <c r="AH696" s="1457"/>
      <c r="AI696" s="1457"/>
      <c r="AJ696" s="1457"/>
      <c r="AK696" s="1457"/>
      <c r="AZ696" s="3"/>
    </row>
    <row r="697" spans="1:52" ht="12.9" customHeight="1">
      <c r="B697" t="s">
        <v>20</v>
      </c>
      <c r="N697" s="1341" t="s">
        <v>669</v>
      </c>
      <c r="O697" s="1341"/>
      <c r="U697" t="s">
        <v>20</v>
      </c>
      <c r="AG697" s="1341" t="s">
        <v>669</v>
      </c>
      <c r="AH697" s="1341"/>
      <c r="AZ697" s="3"/>
    </row>
    <row r="698" spans="1:52" ht="12.9" customHeight="1">
      <c r="AZ698" s="3"/>
    </row>
    <row r="699" spans="1:52" ht="12.9" customHeight="1">
      <c r="A699" s="2" t="s">
        <v>576</v>
      </c>
      <c r="C699" s="2" t="s">
        <v>327</v>
      </c>
      <c r="E699" s="130"/>
      <c r="F699" s="130"/>
      <c r="G699" s="130"/>
      <c r="H699" s="130"/>
      <c r="AZ699" s="3"/>
    </row>
    <row r="700" spans="1:52" ht="12.9" customHeight="1">
      <c r="B700" s="135"/>
      <c r="C700" s="135"/>
      <c r="D700" s="1030" t="s">
        <v>2613</v>
      </c>
      <c r="E700" s="135"/>
      <c r="F700" s="135"/>
      <c r="G700" s="135"/>
      <c r="H700" s="135"/>
      <c r="AZ700" s="3"/>
    </row>
    <row r="701" spans="1:52" ht="12.9" customHeight="1">
      <c r="B701" s="135"/>
      <c r="C701" s="135"/>
      <c r="E701" s="136" t="s">
        <v>434</v>
      </c>
      <c r="F701" s="135"/>
      <c r="G701" s="135"/>
      <c r="H701" s="135"/>
      <c r="AE701" s="1341" t="s">
        <v>545</v>
      </c>
      <c r="AF701" s="1341"/>
      <c r="AZ701" s="3"/>
    </row>
    <row r="702" spans="1:52" ht="12.9" customHeight="1">
      <c r="B702" s="135"/>
      <c r="C702" s="135"/>
      <c r="D702" s="136" t="s">
        <v>437</v>
      </c>
      <c r="E702" s="135"/>
      <c r="F702" s="135"/>
      <c r="G702" s="135"/>
      <c r="H702" s="135"/>
      <c r="AE702" s="1341" t="s">
        <v>669</v>
      </c>
      <c r="AF702" s="1341"/>
      <c r="AZ702" s="3"/>
    </row>
    <row r="703" spans="1:52" ht="12.9" customHeight="1">
      <c r="B703" s="135"/>
      <c r="C703" s="135"/>
      <c r="D703" s="136" t="s">
        <v>920</v>
      </c>
      <c r="E703" s="135"/>
      <c r="F703" s="135"/>
      <c r="G703" s="135"/>
      <c r="H703" s="135"/>
      <c r="AE703" s="1458">
        <v>46056</v>
      </c>
      <c r="AF703" s="1458"/>
      <c r="AG703" s="1458"/>
      <c r="AH703" s="1458"/>
      <c r="AI703" s="1458"/>
    </row>
    <row r="704" spans="1:52" ht="12.9" customHeight="1">
      <c r="B704" s="135"/>
      <c r="C704" s="135"/>
      <c r="D704" s="317" t="s">
        <v>983</v>
      </c>
      <c r="E704" s="135"/>
      <c r="F704" s="135"/>
      <c r="G704" s="135"/>
      <c r="H704" s="135"/>
      <c r="AE704" s="1741">
        <v>46154</v>
      </c>
      <c r="AF704" s="1741"/>
      <c r="AG704" s="1741"/>
      <c r="AH704" s="1741"/>
      <c r="AI704" s="1741"/>
    </row>
    <row r="705" spans="1:110" ht="12.9" customHeight="1">
      <c r="B705" s="135"/>
      <c r="C705" s="135"/>
    </row>
    <row r="706" spans="1:110" ht="12.9" customHeight="1">
      <c r="B706" s="135"/>
      <c r="C706" s="135"/>
      <c r="D706" s="136" t="s">
        <v>816</v>
      </c>
      <c r="E706" s="135"/>
      <c r="F706" s="135"/>
      <c r="G706" s="135"/>
      <c r="H706" s="135"/>
      <c r="AE706" s="1458">
        <v>46333</v>
      </c>
      <c r="AF706" s="1458"/>
      <c r="AG706" s="1458"/>
      <c r="AH706" s="1458"/>
      <c r="AI706" s="1458"/>
    </row>
    <row r="707" spans="1:110" ht="12.9" customHeight="1">
      <c r="B707" s="135"/>
      <c r="C707" s="135"/>
      <c r="D707" s="136" t="s">
        <v>435</v>
      </c>
      <c r="E707" s="135"/>
      <c r="F707" s="135"/>
      <c r="G707" s="135"/>
      <c r="H707" s="135"/>
      <c r="AE707" s="1708">
        <v>0.29959999999999998</v>
      </c>
      <c r="AF707" s="1708"/>
      <c r="AG707" s="1708"/>
      <c r="AH707" s="1708"/>
      <c r="AI707" s="1708"/>
    </row>
    <row r="708" spans="1:110" ht="12.9" customHeight="1">
      <c r="B708" s="135"/>
      <c r="C708" s="135"/>
      <c r="D708" s="136" t="s">
        <v>436</v>
      </c>
      <c r="E708" s="135"/>
      <c r="F708" s="135"/>
      <c r="G708" s="135"/>
      <c r="H708" s="135"/>
      <c r="W708" s="1471" t="str">
        <f>H344</f>
        <v xml:space="preserve">California Municipal Finance Authority		</v>
      </c>
      <c r="X708" s="1471"/>
      <c r="Y708" s="1471"/>
      <c r="Z708" s="1471"/>
      <c r="AA708" s="1471"/>
      <c r="AB708" s="1471"/>
      <c r="AC708" s="1471"/>
      <c r="AD708" s="1471"/>
      <c r="AE708" s="1471"/>
      <c r="AF708" s="1471"/>
      <c r="AG708" s="1471"/>
      <c r="AH708" s="1471"/>
      <c r="AI708" s="1471"/>
      <c r="AJ708" s="1471"/>
      <c r="AK708" s="1471"/>
    </row>
    <row r="709" spans="1:110" ht="12.9" customHeight="1">
      <c r="B709" s="135"/>
      <c r="C709" s="135"/>
      <c r="D709" s="136"/>
      <c r="E709" s="135"/>
      <c r="F709" s="135"/>
      <c r="G709" s="135"/>
      <c r="H709" s="135"/>
    </row>
    <row r="710" spans="1:110" ht="12.9" customHeight="1">
      <c r="B710" s="135"/>
      <c r="C710" s="135"/>
      <c r="D710" s="136" t="s">
        <v>438</v>
      </c>
      <c r="E710" s="135"/>
      <c r="F710" s="135"/>
      <c r="G710" s="135"/>
      <c r="H710" s="135"/>
      <c r="AE710" s="1341" t="s">
        <v>669</v>
      </c>
      <c r="AF710" s="1341"/>
    </row>
    <row r="711" spans="1:110" ht="12.9" customHeight="1">
      <c r="B711" s="135"/>
      <c r="C711" s="135"/>
      <c r="D711" s="136" t="s">
        <v>442</v>
      </c>
      <c r="E711" s="135"/>
      <c r="F711" s="135"/>
      <c r="G711" s="135"/>
      <c r="H711" s="135"/>
      <c r="W711" s="1457" t="s">
        <v>591</v>
      </c>
      <c r="X711" s="1457"/>
      <c r="Y711" s="1457"/>
      <c r="Z711" s="1457"/>
      <c r="AA711" s="1457"/>
      <c r="AB711" s="1457"/>
      <c r="AC711" s="1457"/>
      <c r="AD711" s="1457"/>
      <c r="AE711" s="1457"/>
      <c r="AF711" s="1457"/>
      <c r="AG711" s="1457"/>
      <c r="AH711" s="1457"/>
      <c r="AI711" s="1457"/>
      <c r="AJ711" s="1457"/>
      <c r="AK711" s="1457"/>
    </row>
    <row r="712" spans="1:110" ht="12.9" customHeight="1">
      <c r="B712" s="135"/>
      <c r="C712" s="135"/>
      <c r="D712" s="136" t="s">
        <v>87</v>
      </c>
      <c r="E712" s="135"/>
      <c r="F712" s="135"/>
      <c r="G712" s="135"/>
      <c r="H712" s="135"/>
      <c r="J712" s="1457"/>
      <c r="K712" s="1457"/>
      <c r="L712" s="1457"/>
      <c r="M712" s="1457"/>
      <c r="N712" s="1457"/>
      <c r="O712" s="1457"/>
      <c r="P712" s="1457"/>
      <c r="Q712" s="1457"/>
      <c r="R712" s="1457"/>
      <c r="S712" s="1457"/>
      <c r="T712" s="1457"/>
      <c r="U712" s="1457"/>
      <c r="V712" s="1457"/>
      <c r="W712" s="1457"/>
      <c r="X712" s="1457"/>
      <c r="BB712" s="34"/>
      <c r="BC712" s="34"/>
      <c r="BD712" s="34"/>
      <c r="BE712" s="3"/>
      <c r="BF712" s="3"/>
      <c r="BJ712" s="3"/>
      <c r="BK712" s="3"/>
      <c r="BL712" s="3"/>
      <c r="BM712" s="3"/>
      <c r="BN712" s="34"/>
      <c r="BO712" s="34"/>
    </row>
    <row r="713" spans="1:110" ht="12.9" customHeight="1">
      <c r="B713" s="135"/>
      <c r="C713" s="135"/>
      <c r="D713" s="136" t="s">
        <v>88</v>
      </c>
      <c r="J713" s="1707"/>
      <c r="K713" s="1707"/>
      <c r="L713" s="1707"/>
      <c r="M713" s="1707"/>
      <c r="N713" s="1707"/>
      <c r="O713" s="1707"/>
      <c r="P713" s="4" t="s">
        <v>206</v>
      </c>
      <c r="Q713" s="4"/>
      <c r="R713" s="1472"/>
      <c r="S713" s="1472"/>
      <c r="T713" s="147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443</v>
      </c>
      <c r="W714" s="1457" t="s">
        <v>307</v>
      </c>
      <c r="X714" s="1457"/>
      <c r="Y714" s="1457"/>
      <c r="Z714" s="1457"/>
      <c r="AA714" s="1457"/>
      <c r="AB714" s="1457"/>
      <c r="AC714" s="1457"/>
      <c r="AD714" s="1457"/>
      <c r="AE714" s="1457"/>
      <c r="AF714" s="1457"/>
      <c r="AG714" s="1457"/>
      <c r="AH714" s="1457"/>
      <c r="AI714" s="1457"/>
      <c r="AJ714" s="1457"/>
      <c r="AK714" s="145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57" t="s">
        <v>334</v>
      </c>
      <c r="F715" s="1457"/>
      <c r="G715" s="1457"/>
      <c r="H715" s="1457"/>
      <c r="I715" s="1457"/>
      <c r="J715" s="1457"/>
      <c r="K715" s="1457"/>
      <c r="L715" s="1457"/>
      <c r="M715" s="1457"/>
      <c r="N715" s="1457"/>
      <c r="O715" s="1457"/>
      <c r="P715" s="1457"/>
      <c r="Q715" s="1457"/>
      <c r="R715" s="1457"/>
      <c r="S715" s="1457"/>
      <c r="T715" s="1457"/>
      <c r="U715" s="1457"/>
      <c r="V715" s="1457"/>
      <c r="W715" s="1457"/>
      <c r="X715" s="1457"/>
      <c r="Y715" s="1457"/>
      <c r="Z715" s="1457"/>
      <c r="AA715" s="1457"/>
      <c r="AB715" s="1457"/>
      <c r="AC715" s="1457"/>
      <c r="AD715" s="1457"/>
      <c r="AE715" s="1457"/>
      <c r="AF715" s="1457"/>
      <c r="AG715" s="1457"/>
      <c r="AH715" s="1457"/>
      <c r="AI715" s="1457"/>
      <c r="AJ715" s="1457"/>
      <c r="AK715" s="145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425" t="s">
        <v>389</v>
      </c>
      <c r="C722" s="1426"/>
      <c r="D722" s="1426"/>
      <c r="E722" s="1426"/>
      <c r="F722" s="1427"/>
      <c r="G722" s="1425" t="s">
        <v>285</v>
      </c>
      <c r="H722" s="1426"/>
      <c r="I722" s="1426"/>
      <c r="J722" s="1427"/>
      <c r="K722" s="1689" t="s">
        <v>1668</v>
      </c>
      <c r="L722" s="1690"/>
      <c r="M722" s="1690"/>
      <c r="N722" s="1691"/>
      <c r="O722" s="1425" t="s">
        <v>447</v>
      </c>
      <c r="P722" s="1426"/>
      <c r="Q722" s="1426"/>
      <c r="R722" s="1426"/>
      <c r="S722" s="1427"/>
      <c r="T722" s="1705" t="s">
        <v>1923</v>
      </c>
      <c r="U722" s="1426"/>
      <c r="V722" s="1426"/>
      <c r="W722" s="1427"/>
      <c r="X722" s="1705" t="s">
        <v>1925</v>
      </c>
      <c r="Y722" s="1426"/>
      <c r="Z722" s="1426"/>
      <c r="AA722" s="1426"/>
      <c r="AB722" s="1427"/>
      <c r="AC722" s="1705" t="s">
        <v>1924</v>
      </c>
      <c r="AD722" s="1426"/>
      <c r="AE722" s="1426"/>
      <c r="AF722" s="1426"/>
      <c r="AG722" s="1427"/>
      <c r="AH722" s="1705" t="s">
        <v>1926</v>
      </c>
      <c r="AI722" s="1426"/>
      <c r="AJ722" s="1427"/>
      <c r="AK722" s="1705" t="s">
        <v>1953</v>
      </c>
      <c r="AL722" s="1426"/>
      <c r="AM722" s="1426"/>
      <c r="AN722" s="1426"/>
      <c r="AO722" s="142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428"/>
      <c r="C723" s="1429"/>
      <c r="D723" s="1429"/>
      <c r="E723" s="1429"/>
      <c r="F723" s="1430"/>
      <c r="G723" s="1428"/>
      <c r="H723" s="1429"/>
      <c r="I723" s="1429"/>
      <c r="J723" s="1430"/>
      <c r="K723" s="1692"/>
      <c r="L723" s="1693"/>
      <c r="M723" s="1693"/>
      <c r="N723" s="1694"/>
      <c r="O723" s="1428"/>
      <c r="P723" s="1429"/>
      <c r="Q723" s="1429"/>
      <c r="R723" s="1429"/>
      <c r="S723" s="1430"/>
      <c r="T723" s="1428"/>
      <c r="U723" s="1429"/>
      <c r="V723" s="1429"/>
      <c r="W723" s="1430"/>
      <c r="X723" s="1428"/>
      <c r="Y723" s="1429"/>
      <c r="Z723" s="1429"/>
      <c r="AA723" s="1429"/>
      <c r="AB723" s="1430"/>
      <c r="AC723" s="1428"/>
      <c r="AD723" s="1429"/>
      <c r="AE723" s="1429"/>
      <c r="AF723" s="1429"/>
      <c r="AG723" s="1430"/>
      <c r="AH723" s="1428"/>
      <c r="AI723" s="1429"/>
      <c r="AJ723" s="1430"/>
      <c r="AK723" s="1428"/>
      <c r="AL723" s="1429"/>
      <c r="AM723" s="1429"/>
      <c r="AN723" s="1429"/>
      <c r="AO723" s="143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428"/>
      <c r="C724" s="1429"/>
      <c r="D724" s="1429"/>
      <c r="E724" s="1429"/>
      <c r="F724" s="1430"/>
      <c r="G724" s="1428"/>
      <c r="H724" s="1429"/>
      <c r="I724" s="1429"/>
      <c r="J724" s="1430"/>
      <c r="K724" s="1692"/>
      <c r="L724" s="1693"/>
      <c r="M724" s="1693"/>
      <c r="N724" s="1694"/>
      <c r="O724" s="1428"/>
      <c r="P724" s="1429"/>
      <c r="Q724" s="1429"/>
      <c r="R724" s="1429"/>
      <c r="S724" s="1430"/>
      <c r="T724" s="1428"/>
      <c r="U724" s="1429"/>
      <c r="V724" s="1429"/>
      <c r="W724" s="1430"/>
      <c r="X724" s="1428"/>
      <c r="Y724" s="1429"/>
      <c r="Z724" s="1429"/>
      <c r="AA724" s="1429"/>
      <c r="AB724" s="1430"/>
      <c r="AC724" s="1428"/>
      <c r="AD724" s="1429"/>
      <c r="AE724" s="1429"/>
      <c r="AF724" s="1429"/>
      <c r="AG724" s="1430"/>
      <c r="AH724" s="1428"/>
      <c r="AI724" s="1429"/>
      <c r="AJ724" s="1430"/>
      <c r="AK724" s="1428"/>
      <c r="AL724" s="1429"/>
      <c r="AM724" s="1429"/>
      <c r="AN724" s="1429"/>
      <c r="AO724" s="143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431"/>
      <c r="C725" s="1432"/>
      <c r="D725" s="1432"/>
      <c r="E725" s="1432"/>
      <c r="F725" s="1433"/>
      <c r="G725" s="1431"/>
      <c r="H725" s="1432"/>
      <c r="I725" s="1432"/>
      <c r="J725" s="1433"/>
      <c r="K725" s="1692"/>
      <c r="L725" s="1693"/>
      <c r="M725" s="1693"/>
      <c r="N725" s="1694"/>
      <c r="O725" s="1431"/>
      <c r="P725" s="1432"/>
      <c r="Q725" s="1432"/>
      <c r="R725" s="1432"/>
      <c r="S725" s="1433"/>
      <c r="T725" s="1431"/>
      <c r="U725" s="1432"/>
      <c r="V725" s="1432"/>
      <c r="W725" s="1433"/>
      <c r="X725" s="1431"/>
      <c r="Y725" s="1432"/>
      <c r="Z725" s="1432"/>
      <c r="AA725" s="1432"/>
      <c r="AB725" s="1433"/>
      <c r="AC725" s="1431"/>
      <c r="AD725" s="1432"/>
      <c r="AE725" s="1432"/>
      <c r="AF725" s="1432"/>
      <c r="AG725" s="1433"/>
      <c r="AH725" s="1431"/>
      <c r="AI725" s="1432"/>
      <c r="AJ725" s="1433"/>
      <c r="AK725" s="1431"/>
      <c r="AL725" s="1432"/>
      <c r="AM725" s="1432"/>
      <c r="AN725" s="1432"/>
      <c r="AO725" s="143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54"/>
      <c r="CJ725" s="1555"/>
      <c r="CK725" s="121" t="s">
        <v>475</v>
      </c>
      <c r="CL725" s="122"/>
      <c r="CM725" s="1554"/>
      <c r="CN725" s="1555"/>
      <c r="CO725" s="3"/>
      <c r="CP725" s="1396" t="s">
        <v>633</v>
      </c>
      <c r="CQ725" s="1397"/>
      <c r="CR725" s="1397"/>
      <c r="CS725" s="1397"/>
      <c r="CT725" s="1398"/>
      <c r="CU725" s="1539" t="s">
        <v>325</v>
      </c>
      <c r="CV725" s="1539"/>
      <c r="CW725" s="1539"/>
      <c r="CX725" s="1539"/>
      <c r="CY725" s="1539"/>
      <c r="CZ725" s="1539" t="s">
        <v>163</v>
      </c>
      <c r="DA725" s="1539"/>
      <c r="DB725" s="1539"/>
      <c r="DC725" s="1539"/>
      <c r="DD725" s="1539"/>
      <c r="DE725" s="1539" t="s">
        <v>164</v>
      </c>
      <c r="DF725" s="1539"/>
      <c r="DG725" s="1539"/>
      <c r="DH725" s="1539"/>
      <c r="DI725" s="1539"/>
      <c r="DJ725" s="1539" t="s">
        <v>460</v>
      </c>
      <c r="DK725" s="1539"/>
      <c r="DL725" s="1539"/>
      <c r="DM725" s="1539"/>
      <c r="DN725" s="1539"/>
      <c r="DO725" s="1539" t="s">
        <v>30</v>
      </c>
      <c r="DP725" s="1539"/>
      <c r="DQ725" s="1539"/>
      <c r="DR725" s="1539"/>
      <c r="DS725" s="1539"/>
      <c r="DT725" s="89"/>
      <c r="DU725" s="1539" t="s">
        <v>633</v>
      </c>
      <c r="DV725" s="1539"/>
      <c r="DW725" s="1539"/>
      <c r="DX725" s="1539"/>
      <c r="DY725" s="1539"/>
      <c r="DZ725" s="1539" t="s">
        <v>325</v>
      </c>
      <c r="EA725" s="1539"/>
      <c r="EB725" s="1539"/>
      <c r="EC725" s="1539"/>
      <c r="ED725" s="1539"/>
      <c r="EE725" s="1539" t="s">
        <v>163</v>
      </c>
      <c r="EF725" s="1539"/>
      <c r="EG725" s="1539"/>
      <c r="EH725" s="1539"/>
      <c r="EI725" s="1539"/>
      <c r="EJ725" s="1539" t="s">
        <v>164</v>
      </c>
      <c r="EK725" s="1539"/>
      <c r="EL725" s="1539"/>
      <c r="EM725" s="1539"/>
      <c r="EN725" s="1539"/>
      <c r="EO725" s="1539" t="s">
        <v>460</v>
      </c>
      <c r="EP725" s="1539"/>
      <c r="EQ725" s="1539"/>
      <c r="ER725" s="1539"/>
      <c r="ES725" s="1539"/>
      <c r="ET725" s="1539" t="s">
        <v>30</v>
      </c>
      <c r="EU725" s="1539"/>
      <c r="EV725" s="1539"/>
      <c r="EW725" s="1539"/>
      <c r="EX725" s="1539"/>
      <c r="EY725" s="4"/>
      <c r="EZ725" s="1539" t="s">
        <v>633</v>
      </c>
      <c r="FA725" s="1539"/>
      <c r="FB725" s="1539"/>
      <c r="FC725" s="1539"/>
      <c r="FD725" s="1539"/>
      <c r="FE725" s="1539" t="s">
        <v>325</v>
      </c>
      <c r="FF725" s="1539"/>
      <c r="FG725" s="1539"/>
      <c r="FH725" s="1539"/>
      <c r="FI725" s="1539"/>
      <c r="FJ725" s="1539" t="s">
        <v>163</v>
      </c>
      <c r="FK725" s="1539"/>
      <c r="FL725" s="1539"/>
      <c r="FM725" s="1539"/>
      <c r="FN725" s="1539"/>
      <c r="FO725" s="1539" t="s">
        <v>164</v>
      </c>
      <c r="FP725" s="1539"/>
      <c r="FQ725" s="1539"/>
      <c r="FR725" s="1539"/>
      <c r="FS725" s="1539"/>
      <c r="FT725" s="1539" t="s">
        <v>460</v>
      </c>
      <c r="FU725" s="1539"/>
      <c r="FV725" s="1539"/>
      <c r="FW725" s="1539"/>
      <c r="FX725" s="1539"/>
      <c r="FY725" s="1539" t="s">
        <v>30</v>
      </c>
      <c r="FZ725" s="1539"/>
      <c r="GA725" s="1539"/>
      <c r="GB725" s="1539"/>
      <c r="GC725" s="1539"/>
    </row>
    <row r="726" spans="1:185" ht="12.9" customHeight="1">
      <c r="A726" s="4"/>
      <c r="B726" s="1365" t="s">
        <v>325</v>
      </c>
      <c r="C726" s="1366"/>
      <c r="D726" s="1366"/>
      <c r="E726" s="1366"/>
      <c r="F726" s="1367"/>
      <c r="G726" s="1359">
        <v>11</v>
      </c>
      <c r="H726" s="1360"/>
      <c r="I726" s="1360"/>
      <c r="J726" s="1361"/>
      <c r="K726" s="1362">
        <v>480</v>
      </c>
      <c r="L726" s="1363"/>
      <c r="M726" s="1363"/>
      <c r="N726" s="1364"/>
      <c r="O726" s="1411">
        <v>2453</v>
      </c>
      <c r="P726" s="1412"/>
      <c r="Q726" s="1412"/>
      <c r="R726" s="1412"/>
      <c r="S726" s="1413"/>
      <c r="T726" s="1411">
        <v>86</v>
      </c>
      <c r="U726" s="1412"/>
      <c r="V726" s="1412"/>
      <c r="W726" s="1413"/>
      <c r="X726" s="1414">
        <f t="shared" ref="X726:X749" si="10">O726+T726</f>
        <v>2539</v>
      </c>
      <c r="Y726" s="1410"/>
      <c r="Z726" s="1410"/>
      <c r="AA726" s="1410"/>
      <c r="AB726" s="1415"/>
      <c r="AC726" s="1416">
        <v>0.7</v>
      </c>
      <c r="AD726" s="1417"/>
      <c r="AE726" s="1417"/>
      <c r="AF726" s="1417"/>
      <c r="AG726" s="1418"/>
      <c r="AH726" s="1443">
        <f>IF($AC726&gt;0,($X726/$AZ726), "")</f>
        <v>0.70022062879205738</v>
      </c>
      <c r="AI726" s="1444"/>
      <c r="AJ726" s="1445"/>
      <c r="AK726" s="1365" t="s">
        <v>591</v>
      </c>
      <c r="AL726" s="1366"/>
      <c r="AM726" s="1366"/>
      <c r="AN726" s="1366"/>
      <c r="AO726" s="1367"/>
      <c r="AP726" s="3"/>
      <c r="AQ726" s="3"/>
      <c r="AR726" s="3"/>
      <c r="AS726" s="3"/>
      <c r="AZ726" s="118">
        <f t="shared" ref="AZ726:AZ760" si="11">IF($G726=0,"N/A",VLOOKUP($T$189,TC_Rent,(MATCH($B726,bedrooms,FALSE)),FALSE))</f>
        <v>3626</v>
      </c>
      <c r="BA726" s="3"/>
      <c r="BB726" s="3"/>
      <c r="BC726" s="3"/>
      <c r="BD726" s="3"/>
      <c r="BE726" s="204"/>
      <c r="BF726" s="293">
        <f t="shared" ref="BF726:BF760" si="12">G726</f>
        <v>11</v>
      </c>
      <c r="BG726" s="297">
        <f t="shared" ref="BG726:BG760" si="13">IF($BF$761=0,0,BF726/$BF$761)</f>
        <v>0.17741935483870969</v>
      </c>
      <c r="BH726" s="298">
        <f t="shared" ref="BH726:BH760" si="14">IF(BG726=0,"",BG726*AC726)</f>
        <v>0.12419354838709677</v>
      </c>
      <c r="BI726" s="3"/>
      <c r="BJ726" s="3"/>
      <c r="BK726" s="3"/>
      <c r="BL726" s="3"/>
      <c r="BM726" s="3"/>
      <c r="BN726" s="3"/>
      <c r="BS726" s="293">
        <f t="shared" ref="BS726:BS760" si="15">G726</f>
        <v>11</v>
      </c>
      <c r="BT726" s="297">
        <f t="shared" ref="BT726:BT760" si="16">IF($BS$761=0,0,BS726/$BS$761)</f>
        <v>0.17741935483870969</v>
      </c>
      <c r="BU726" s="298">
        <f t="shared" ref="BU726:BU760" si="17">IF(BT726=0,"",BT726*AH726)</f>
        <v>0.12423269220504245</v>
      </c>
      <c r="CC726" s="3"/>
      <c r="CD726" s="3"/>
      <c r="CE726" s="3"/>
      <c r="CF726" s="3"/>
      <c r="CG726" s="1551">
        <f>IF(AND(AC726&lt;=0.5,AC726&gt;=0.36),1,0)</f>
        <v>0</v>
      </c>
      <c r="CH726" s="1553"/>
      <c r="CI726" s="1554">
        <f>IF(CG726=1,G726,0)</f>
        <v>0</v>
      </c>
      <c r="CJ726" s="1555"/>
      <c r="CK726" s="1551">
        <f t="shared" ref="CK726:CK760" si="18">IF(AND(AC726&lt;=0.35,AC726&gt;0),1,0)</f>
        <v>0</v>
      </c>
      <c r="CL726" s="1553"/>
      <c r="CM726" s="1554">
        <f t="shared" ref="CM726:CM760" si="19">IF(CK726=1,G726,0)</f>
        <v>0</v>
      </c>
      <c r="CN726" s="1555"/>
      <c r="CO726" s="3"/>
      <c r="CP726" s="1544">
        <f t="shared" ref="CP726:CP760" si="20">IF(B726="SRO/Studio",G726,0)</f>
        <v>0</v>
      </c>
      <c r="CQ726" s="1545"/>
      <c r="CR726" s="1545"/>
      <c r="CS726" s="1545"/>
      <c r="CT726" s="1546"/>
      <c r="CU726" s="1540">
        <f t="shared" ref="CU726:CU760" si="21">IF(B726="1 Bedroom",G726,0)</f>
        <v>11</v>
      </c>
      <c r="CV726" s="1540"/>
      <c r="CW726" s="1540"/>
      <c r="CX726" s="1540"/>
      <c r="CY726" s="1540"/>
      <c r="CZ726" s="1540">
        <f t="shared" ref="CZ726:CZ760" si="22">IF(B726="2 Bedrooms",G726,0)</f>
        <v>0</v>
      </c>
      <c r="DA726" s="1540"/>
      <c r="DB726" s="1540"/>
      <c r="DC726" s="1540"/>
      <c r="DD726" s="1540"/>
      <c r="DE726" s="1540">
        <f t="shared" ref="DE726:DE760" si="23">IF(B726="3 Bedrooms",G726,0)</f>
        <v>0</v>
      </c>
      <c r="DF726" s="1540"/>
      <c r="DG726" s="1540"/>
      <c r="DH726" s="1540"/>
      <c r="DI726" s="1540"/>
      <c r="DJ726" s="1540">
        <f t="shared" ref="DJ726:DJ760" si="24">IF(B726="4 Bedrooms",G726,0)</f>
        <v>0</v>
      </c>
      <c r="DK726" s="1540"/>
      <c r="DL726" s="1540"/>
      <c r="DM726" s="1540"/>
      <c r="DN726" s="1540"/>
      <c r="DO726" s="1540">
        <f t="shared" ref="DO726:DO760" si="25">IF(B726="5 Bedrooms",G726,0)</f>
        <v>0</v>
      </c>
      <c r="DP726" s="1540"/>
      <c r="DQ726" s="1540"/>
      <c r="DR726" s="1540"/>
      <c r="DS726" s="1540"/>
      <c r="DT726" s="6"/>
      <c r="DU726" s="1538">
        <f t="shared" ref="DU726:DU760" si="26">IF(AND(B726="SRO/Studio",AC726&lt;=0.3),G726,0)</f>
        <v>0</v>
      </c>
      <c r="DV726" s="1538"/>
      <c r="DW726" s="1538"/>
      <c r="DX726" s="1538"/>
      <c r="DY726" s="1538"/>
      <c r="DZ726" s="1538">
        <f t="shared" ref="DZ726:DZ760" si="27">IF(AND(B726="1 Bedroom",AC726&lt;=0.3),G726,0)</f>
        <v>0</v>
      </c>
      <c r="EA726" s="1538"/>
      <c r="EB726" s="1538"/>
      <c r="EC726" s="1538"/>
      <c r="ED726" s="1538"/>
      <c r="EE726" s="1538">
        <f t="shared" ref="EE726:EE760" si="28">IF(AND(B726="2 Bedrooms",AC726&lt;=0.3),G726,0)</f>
        <v>0</v>
      </c>
      <c r="EF726" s="1538"/>
      <c r="EG726" s="1538"/>
      <c r="EH726" s="1538"/>
      <c r="EI726" s="1538"/>
      <c r="EJ726" s="1538">
        <f t="shared" ref="EJ726:EJ760" si="29">IF(AND(B726="3 Bedrooms",AC726&lt;=0.3),G726,0)</f>
        <v>0</v>
      </c>
      <c r="EK726" s="1538"/>
      <c r="EL726" s="1538"/>
      <c r="EM726" s="1538"/>
      <c r="EN726" s="1538"/>
      <c r="EO726" s="1538">
        <f t="shared" ref="EO726:EO760" si="30">IF(AND(B726="4 Bedrooms",AC726&lt;=0.3),G726,0)</f>
        <v>0</v>
      </c>
      <c r="EP726" s="1538"/>
      <c r="EQ726" s="1538"/>
      <c r="ER726" s="1538"/>
      <c r="ES726" s="1538"/>
      <c r="ET726" s="1538">
        <f t="shared" ref="ET726:ET760" si="31">IF(AND(B726="5 Bedrooms",AC726&lt;=0.3),G726,0)</f>
        <v>0</v>
      </c>
      <c r="EU726" s="1538"/>
      <c r="EV726" s="1538"/>
      <c r="EW726" s="1538"/>
      <c r="EX726" s="1538"/>
      <c r="EY726" s="4"/>
      <c r="EZ726" s="1551" t="str">
        <f t="shared" ref="EZ726:EZ760" si="32">IF(CP726&gt;0,O726,"")</f>
        <v/>
      </c>
      <c r="FA726" s="1552"/>
      <c r="FB726" s="1552"/>
      <c r="FC726" s="1552"/>
      <c r="FD726" s="1553"/>
      <c r="FE726" s="1551">
        <f t="shared" ref="FE726:FE760" si="33">IF(CU726&gt;0,O726,"")</f>
        <v>2453</v>
      </c>
      <c r="FF726" s="1552"/>
      <c r="FG726" s="1552"/>
      <c r="FH726" s="1552"/>
      <c r="FI726" s="1553"/>
      <c r="FJ726" s="1551" t="str">
        <f t="shared" ref="FJ726:FJ760" si="34">IF(CZ726&gt;0,O726,"")</f>
        <v/>
      </c>
      <c r="FK726" s="1552"/>
      <c r="FL726" s="1552"/>
      <c r="FM726" s="1552"/>
      <c r="FN726" s="1553"/>
      <c r="FO726" s="1551" t="str">
        <f t="shared" ref="FO726:FO760" si="35">IF(DE726&gt;0,O726,"")</f>
        <v/>
      </c>
      <c r="FP726" s="1552"/>
      <c r="FQ726" s="1552"/>
      <c r="FR726" s="1552"/>
      <c r="FS726" s="1553"/>
      <c r="FT726" s="1551" t="str">
        <f t="shared" ref="FT726:FT760" si="36">IF(DJ726&gt;0,O726,"")</f>
        <v/>
      </c>
      <c r="FU726" s="1552"/>
      <c r="FV726" s="1552"/>
      <c r="FW726" s="1552"/>
      <c r="FX726" s="1553"/>
      <c r="FY726" s="1551" t="str">
        <f t="shared" ref="FY726:FY760" si="37">IF(DO726&gt;0,O726,"")</f>
        <v/>
      </c>
      <c r="FZ726" s="1552"/>
      <c r="GA726" s="1552"/>
      <c r="GB726" s="1552"/>
      <c r="GC726" s="1553"/>
    </row>
    <row r="727" spans="1:185" ht="12.9" customHeight="1">
      <c r="A727" s="4"/>
      <c r="B727" s="1365" t="s">
        <v>325</v>
      </c>
      <c r="C727" s="1366"/>
      <c r="D727" s="1366"/>
      <c r="E727" s="1366"/>
      <c r="F727" s="1367"/>
      <c r="G727" s="1359">
        <v>3</v>
      </c>
      <c r="H727" s="1360"/>
      <c r="I727" s="1360"/>
      <c r="J727" s="1361"/>
      <c r="K727" s="1362">
        <v>480</v>
      </c>
      <c r="L727" s="1363"/>
      <c r="M727" s="1363"/>
      <c r="N727" s="1364"/>
      <c r="O727" s="1411">
        <v>2090</v>
      </c>
      <c r="P727" s="1412"/>
      <c r="Q727" s="1412"/>
      <c r="R727" s="1412"/>
      <c r="S727" s="1413"/>
      <c r="T727" s="1411">
        <v>86</v>
      </c>
      <c r="U727" s="1412"/>
      <c r="V727" s="1412"/>
      <c r="W727" s="1413"/>
      <c r="X727" s="1414">
        <f t="shared" si="10"/>
        <v>2176</v>
      </c>
      <c r="Y727" s="1410"/>
      <c r="Z727" s="1410"/>
      <c r="AA727" s="1410"/>
      <c r="AB727" s="1415"/>
      <c r="AC727" s="1416">
        <v>0.6</v>
      </c>
      <c r="AD727" s="1417"/>
      <c r="AE727" s="1417"/>
      <c r="AF727" s="1417"/>
      <c r="AG727" s="1418"/>
      <c r="AH727" s="1443">
        <f t="shared" ref="AH727:AH760" si="38">IF($AC727&gt;0,($X727/$AZ727), "")</f>
        <v>0.60011031439602869</v>
      </c>
      <c r="AI727" s="1444"/>
      <c r="AJ727" s="1445"/>
      <c r="AK727" s="1365" t="s">
        <v>591</v>
      </c>
      <c r="AL727" s="1366"/>
      <c r="AM727" s="1366"/>
      <c r="AN727" s="1366"/>
      <c r="AO727" s="1367"/>
      <c r="AP727" s="3"/>
      <c r="AQ727" s="3"/>
      <c r="AR727" s="3"/>
      <c r="AS727" s="3"/>
      <c r="AZ727" s="118">
        <f t="shared" si="11"/>
        <v>3626</v>
      </c>
      <c r="BA727" s="3"/>
      <c r="BB727" s="3"/>
      <c r="BC727" s="3"/>
      <c r="BD727" s="3"/>
      <c r="BE727" s="204"/>
      <c r="BF727" s="294">
        <f t="shared" si="12"/>
        <v>3</v>
      </c>
      <c r="BG727" s="297">
        <f t="shared" si="13"/>
        <v>4.8387096774193547E-2</v>
      </c>
      <c r="BH727" s="298">
        <f t="shared" si="14"/>
        <v>2.9032258064516127E-2</v>
      </c>
      <c r="BI727" s="3"/>
      <c r="BJ727" s="3"/>
      <c r="BK727" s="3"/>
      <c r="BL727" s="3"/>
      <c r="BM727" s="3"/>
      <c r="BN727" s="3"/>
      <c r="BS727" s="294">
        <f t="shared" si="15"/>
        <v>3</v>
      </c>
      <c r="BT727" s="297">
        <f t="shared" si="16"/>
        <v>4.8387096774193547E-2</v>
      </c>
      <c r="BU727" s="298">
        <f t="shared" si="17"/>
        <v>2.9037595857872356E-2</v>
      </c>
      <c r="CC727" s="3"/>
      <c r="CD727" s="3"/>
      <c r="CE727" s="3"/>
      <c r="CF727" s="3"/>
      <c r="CG727" s="1551">
        <f t="shared" ref="CG727:CG760" si="39">IF(AND(AC727&lt;=0.5,AC727&gt;=0.36),1,0)</f>
        <v>0</v>
      </c>
      <c r="CH727" s="1553"/>
      <c r="CI727" s="1554">
        <f t="shared" ref="CI727:CI760" si="40">IF(CG727=1,G727,0)</f>
        <v>0</v>
      </c>
      <c r="CJ727" s="1555"/>
      <c r="CK727" s="1551">
        <f t="shared" si="18"/>
        <v>0</v>
      </c>
      <c r="CL727" s="1553"/>
      <c r="CM727" s="1554">
        <f t="shared" si="19"/>
        <v>0</v>
      </c>
      <c r="CN727" s="1555"/>
      <c r="CO727" s="3"/>
      <c r="CP727" s="1544">
        <f t="shared" si="20"/>
        <v>0</v>
      </c>
      <c r="CQ727" s="1545"/>
      <c r="CR727" s="1545"/>
      <c r="CS727" s="1545"/>
      <c r="CT727" s="1546"/>
      <c r="CU727" s="1540">
        <f t="shared" si="21"/>
        <v>3</v>
      </c>
      <c r="CV727" s="1540"/>
      <c r="CW727" s="1540"/>
      <c r="CX727" s="1540"/>
      <c r="CY727" s="1540"/>
      <c r="CZ727" s="1540">
        <f t="shared" si="22"/>
        <v>0</v>
      </c>
      <c r="DA727" s="1540"/>
      <c r="DB727" s="1540"/>
      <c r="DC727" s="1540"/>
      <c r="DD727" s="1540"/>
      <c r="DE727" s="1540">
        <f t="shared" si="23"/>
        <v>0</v>
      </c>
      <c r="DF727" s="1540"/>
      <c r="DG727" s="1540"/>
      <c r="DH727" s="1540"/>
      <c r="DI727" s="1540"/>
      <c r="DJ727" s="1540">
        <f t="shared" si="24"/>
        <v>0</v>
      </c>
      <c r="DK727" s="1540"/>
      <c r="DL727" s="1540"/>
      <c r="DM727" s="1540"/>
      <c r="DN727" s="1540"/>
      <c r="DO727" s="1540">
        <f t="shared" si="25"/>
        <v>0</v>
      </c>
      <c r="DP727" s="1540"/>
      <c r="DQ727" s="1540"/>
      <c r="DR727" s="1540"/>
      <c r="DS727" s="1540"/>
      <c r="DT727" s="6"/>
      <c r="DU727" s="1538">
        <f t="shared" si="26"/>
        <v>0</v>
      </c>
      <c r="DV727" s="1538"/>
      <c r="DW727" s="1538"/>
      <c r="DX727" s="1538"/>
      <c r="DY727" s="1538"/>
      <c r="DZ727" s="1538">
        <f t="shared" si="27"/>
        <v>0</v>
      </c>
      <c r="EA727" s="1538"/>
      <c r="EB727" s="1538"/>
      <c r="EC727" s="1538"/>
      <c r="ED727" s="1538"/>
      <c r="EE727" s="1538">
        <f t="shared" si="28"/>
        <v>0</v>
      </c>
      <c r="EF727" s="1538"/>
      <c r="EG727" s="1538"/>
      <c r="EH727" s="1538"/>
      <c r="EI727" s="1538"/>
      <c r="EJ727" s="1538">
        <f t="shared" si="29"/>
        <v>0</v>
      </c>
      <c r="EK727" s="1538"/>
      <c r="EL727" s="1538"/>
      <c r="EM727" s="1538"/>
      <c r="EN727" s="1538"/>
      <c r="EO727" s="1538">
        <f t="shared" si="30"/>
        <v>0</v>
      </c>
      <c r="EP727" s="1538"/>
      <c r="EQ727" s="1538"/>
      <c r="ER727" s="1538"/>
      <c r="ES727" s="1538"/>
      <c r="ET727" s="1538">
        <f t="shared" si="31"/>
        <v>0</v>
      </c>
      <c r="EU727" s="1538"/>
      <c r="EV727" s="1538"/>
      <c r="EW727" s="1538"/>
      <c r="EX727" s="1538"/>
      <c r="EY727" s="4"/>
      <c r="EZ727" s="1551" t="str">
        <f t="shared" si="32"/>
        <v/>
      </c>
      <c r="FA727" s="1552"/>
      <c r="FB727" s="1552"/>
      <c r="FC727" s="1552"/>
      <c r="FD727" s="1553"/>
      <c r="FE727" s="1551">
        <f t="shared" si="33"/>
        <v>2090</v>
      </c>
      <c r="FF727" s="1552"/>
      <c r="FG727" s="1552"/>
      <c r="FH727" s="1552"/>
      <c r="FI727" s="1553"/>
      <c r="FJ727" s="1551" t="str">
        <f t="shared" si="34"/>
        <v/>
      </c>
      <c r="FK727" s="1552"/>
      <c r="FL727" s="1552"/>
      <c r="FM727" s="1552"/>
      <c r="FN727" s="1553"/>
      <c r="FO727" s="1551" t="str">
        <f t="shared" si="35"/>
        <v/>
      </c>
      <c r="FP727" s="1552"/>
      <c r="FQ727" s="1552"/>
      <c r="FR727" s="1552"/>
      <c r="FS727" s="1553"/>
      <c r="FT727" s="1551" t="str">
        <f t="shared" si="36"/>
        <v/>
      </c>
      <c r="FU727" s="1552"/>
      <c r="FV727" s="1552"/>
      <c r="FW727" s="1552"/>
      <c r="FX727" s="1553"/>
      <c r="FY727" s="1551" t="str">
        <f t="shared" si="37"/>
        <v/>
      </c>
      <c r="FZ727" s="1552"/>
      <c r="GA727" s="1552"/>
      <c r="GB727" s="1552"/>
      <c r="GC727" s="1553"/>
    </row>
    <row r="728" spans="1:185" ht="12.9" customHeight="1">
      <c r="A728" s="4"/>
      <c r="B728" s="1365" t="s">
        <v>325</v>
      </c>
      <c r="C728" s="1366"/>
      <c r="D728" s="1366"/>
      <c r="E728" s="1366"/>
      <c r="F728" s="1367"/>
      <c r="G728" s="1359">
        <v>3</v>
      </c>
      <c r="H728" s="1360"/>
      <c r="I728" s="1360"/>
      <c r="J728" s="1361"/>
      <c r="K728" s="1362">
        <v>480</v>
      </c>
      <c r="L728" s="1363"/>
      <c r="M728" s="1363"/>
      <c r="N728" s="1364"/>
      <c r="O728" s="1411">
        <v>1727</v>
      </c>
      <c r="P728" s="1412"/>
      <c r="Q728" s="1412"/>
      <c r="R728" s="1412"/>
      <c r="S728" s="1413"/>
      <c r="T728" s="1411">
        <v>86</v>
      </c>
      <c r="U728" s="1412"/>
      <c r="V728" s="1412"/>
      <c r="W728" s="1413"/>
      <c r="X728" s="1414">
        <f t="shared" ref="X728:X738" si="41">O728+T728</f>
        <v>1813</v>
      </c>
      <c r="Y728" s="1410"/>
      <c r="Z728" s="1410"/>
      <c r="AA728" s="1410"/>
      <c r="AB728" s="1415"/>
      <c r="AC728" s="1416">
        <v>0.5</v>
      </c>
      <c r="AD728" s="1417"/>
      <c r="AE728" s="1417"/>
      <c r="AF728" s="1417"/>
      <c r="AG728" s="1418"/>
      <c r="AH728" s="1443">
        <f t="shared" si="38"/>
        <v>0.5</v>
      </c>
      <c r="AI728" s="1444"/>
      <c r="AJ728" s="1445"/>
      <c r="AK728" s="1365" t="s">
        <v>591</v>
      </c>
      <c r="AL728" s="1366"/>
      <c r="AM728" s="1366"/>
      <c r="AN728" s="1366"/>
      <c r="AO728" s="1367"/>
      <c r="AP728" s="3"/>
      <c r="AQ728" s="3"/>
      <c r="AR728" s="3"/>
      <c r="AS728" s="3"/>
      <c r="AZ728" s="118">
        <f t="shared" ref="AZ728:AZ738" si="42">IF($G728=0,"N/A",VLOOKUP($T$189,TC_Rent,(MATCH($B728,bedrooms,FALSE)),FALSE))</f>
        <v>3626</v>
      </c>
      <c r="BA728" s="3"/>
      <c r="BB728" s="3"/>
      <c r="BC728" s="3"/>
      <c r="BD728" s="3"/>
      <c r="BE728" s="204"/>
      <c r="BF728" s="294">
        <f t="shared" ref="BF728:BF738" si="43">G728</f>
        <v>3</v>
      </c>
      <c r="BG728" s="297">
        <f t="shared" si="13"/>
        <v>4.8387096774193547E-2</v>
      </c>
      <c r="BH728" s="298">
        <f t="shared" si="14"/>
        <v>2.4193548387096774E-2</v>
      </c>
      <c r="BI728" s="3"/>
      <c r="BJ728" s="3"/>
      <c r="BK728" s="3"/>
      <c r="BL728" s="3"/>
      <c r="BM728" s="3"/>
      <c r="BN728" s="3"/>
      <c r="BS728" s="294">
        <f t="shared" ref="BS728:BS738" si="44">G728</f>
        <v>3</v>
      </c>
      <c r="BT728" s="297">
        <f t="shared" si="16"/>
        <v>4.8387096774193547E-2</v>
      </c>
      <c r="BU728" s="298">
        <f t="shared" si="17"/>
        <v>2.4193548387096774E-2</v>
      </c>
      <c r="CC728" s="3"/>
      <c r="CD728" s="3"/>
      <c r="CE728" s="3"/>
      <c r="CF728" s="3"/>
      <c r="CG728" s="1551">
        <f t="shared" si="39"/>
        <v>1</v>
      </c>
      <c r="CH728" s="1553"/>
      <c r="CI728" s="1554">
        <f t="shared" ref="CI728:CI738" si="45">IF(CG728=1,G728,0)</f>
        <v>3</v>
      </c>
      <c r="CJ728" s="1555"/>
      <c r="CK728" s="1551">
        <f t="shared" si="18"/>
        <v>0</v>
      </c>
      <c r="CL728" s="1553"/>
      <c r="CM728" s="1554">
        <f t="shared" ref="CM728:CM738" si="46">IF(CK728=1,G728,0)</f>
        <v>0</v>
      </c>
      <c r="CN728" s="1555"/>
      <c r="CO728" s="3"/>
      <c r="CP728" s="1544">
        <f t="shared" ref="CP728:CP738" si="47">IF(B728="SRO/Studio",G728,0)</f>
        <v>0</v>
      </c>
      <c r="CQ728" s="1545"/>
      <c r="CR728" s="1545"/>
      <c r="CS728" s="1545"/>
      <c r="CT728" s="1546"/>
      <c r="CU728" s="1540">
        <f t="shared" ref="CU728:CU738" si="48">IF(B728="1 Bedroom",G728,0)</f>
        <v>3</v>
      </c>
      <c r="CV728" s="1540"/>
      <c r="CW728" s="1540"/>
      <c r="CX728" s="1540"/>
      <c r="CY728" s="1540"/>
      <c r="CZ728" s="1540">
        <f t="shared" ref="CZ728:CZ738" si="49">IF(B728="2 Bedrooms",G728,0)</f>
        <v>0</v>
      </c>
      <c r="DA728" s="1540"/>
      <c r="DB728" s="1540"/>
      <c r="DC728" s="1540"/>
      <c r="DD728" s="1540"/>
      <c r="DE728" s="1540">
        <f t="shared" ref="DE728:DE738" si="50">IF(B728="3 Bedrooms",G728,0)</f>
        <v>0</v>
      </c>
      <c r="DF728" s="1540"/>
      <c r="DG728" s="1540"/>
      <c r="DH728" s="1540"/>
      <c r="DI728" s="1540"/>
      <c r="DJ728" s="1540">
        <f t="shared" ref="DJ728:DJ738" si="51">IF(B728="4 Bedrooms",G728,0)</f>
        <v>0</v>
      </c>
      <c r="DK728" s="1540"/>
      <c r="DL728" s="1540"/>
      <c r="DM728" s="1540"/>
      <c r="DN728" s="1540"/>
      <c r="DO728" s="1540">
        <f t="shared" ref="DO728:DO738" si="52">IF(B728="5 Bedrooms",G728,0)</f>
        <v>0</v>
      </c>
      <c r="DP728" s="1540"/>
      <c r="DQ728" s="1540"/>
      <c r="DR728" s="1540"/>
      <c r="DS728" s="1540"/>
      <c r="DT728" s="6"/>
      <c r="DU728" s="1538">
        <f t="shared" ref="DU728:DU738" si="53">IF(AND(B728="SRO/Studio",AC728&lt;=0.3),G728,0)</f>
        <v>0</v>
      </c>
      <c r="DV728" s="1538"/>
      <c r="DW728" s="1538"/>
      <c r="DX728" s="1538"/>
      <c r="DY728" s="1538"/>
      <c r="DZ728" s="1538">
        <f t="shared" ref="DZ728:DZ738" si="54">IF(AND(B728="1 Bedroom",AC728&lt;=0.3),G728,0)</f>
        <v>0</v>
      </c>
      <c r="EA728" s="1538"/>
      <c r="EB728" s="1538"/>
      <c r="EC728" s="1538"/>
      <c r="ED728" s="1538"/>
      <c r="EE728" s="1538">
        <f t="shared" ref="EE728:EE738" si="55">IF(AND(B728="2 Bedrooms",AC728&lt;=0.3),G728,0)</f>
        <v>0</v>
      </c>
      <c r="EF728" s="1538"/>
      <c r="EG728" s="1538"/>
      <c r="EH728" s="1538"/>
      <c r="EI728" s="1538"/>
      <c r="EJ728" s="1538">
        <f t="shared" ref="EJ728:EJ738" si="56">IF(AND(B728="3 Bedrooms",AC728&lt;=0.3),G728,0)</f>
        <v>0</v>
      </c>
      <c r="EK728" s="1538"/>
      <c r="EL728" s="1538"/>
      <c r="EM728" s="1538"/>
      <c r="EN728" s="1538"/>
      <c r="EO728" s="1538">
        <f t="shared" ref="EO728:EO738" si="57">IF(AND(B728="4 Bedrooms",AC728&lt;=0.3),G728,0)</f>
        <v>0</v>
      </c>
      <c r="EP728" s="1538"/>
      <c r="EQ728" s="1538"/>
      <c r="ER728" s="1538"/>
      <c r="ES728" s="1538"/>
      <c r="ET728" s="1538">
        <f t="shared" ref="ET728:ET738" si="58">IF(AND(B728="5 Bedrooms",AC728&lt;=0.3),G728,0)</f>
        <v>0</v>
      </c>
      <c r="EU728" s="1538"/>
      <c r="EV728" s="1538"/>
      <c r="EW728" s="1538"/>
      <c r="EX728" s="1538"/>
      <c r="EZ728" s="1551" t="str">
        <f t="shared" ref="EZ728:EZ738" si="59">IF(CP728&gt;0,O728,"")</f>
        <v/>
      </c>
      <c r="FA728" s="1552"/>
      <c r="FB728" s="1552"/>
      <c r="FC728" s="1552"/>
      <c r="FD728" s="1553"/>
      <c r="FE728" s="1551">
        <f t="shared" ref="FE728:FE738" si="60">IF(CU728&gt;0,O728,"")</f>
        <v>1727</v>
      </c>
      <c r="FF728" s="1552"/>
      <c r="FG728" s="1552"/>
      <c r="FH728" s="1552"/>
      <c r="FI728" s="1553"/>
      <c r="FJ728" s="1551" t="str">
        <f t="shared" ref="FJ728:FJ738" si="61">IF(CZ728&gt;0,O728,"")</f>
        <v/>
      </c>
      <c r="FK728" s="1552"/>
      <c r="FL728" s="1552"/>
      <c r="FM728" s="1552"/>
      <c r="FN728" s="1553"/>
      <c r="FO728" s="1551" t="str">
        <f t="shared" ref="FO728:FO738" si="62">IF(DE728&gt;0,O728,"")</f>
        <v/>
      </c>
      <c r="FP728" s="1552"/>
      <c r="FQ728" s="1552"/>
      <c r="FR728" s="1552"/>
      <c r="FS728" s="1553"/>
      <c r="FT728" s="1551" t="str">
        <f t="shared" ref="FT728:FT738" si="63">IF(DJ728&gt;0,O728,"")</f>
        <v/>
      </c>
      <c r="FU728" s="1552"/>
      <c r="FV728" s="1552"/>
      <c r="FW728" s="1552"/>
      <c r="FX728" s="1553"/>
      <c r="FY728" s="1551" t="str">
        <f t="shared" ref="FY728:FY738" si="64">IF(DO728&gt;0,O728,"")</f>
        <v/>
      </c>
      <c r="FZ728" s="1552"/>
      <c r="GA728" s="1552"/>
      <c r="GB728" s="1552"/>
      <c r="GC728" s="1553"/>
    </row>
    <row r="729" spans="1:185" ht="12.9" customHeight="1">
      <c r="B729" s="1365" t="s">
        <v>325</v>
      </c>
      <c r="C729" s="1366"/>
      <c r="D729" s="1366"/>
      <c r="E729" s="1366"/>
      <c r="F729" s="1367"/>
      <c r="G729" s="1359">
        <v>4</v>
      </c>
      <c r="H729" s="1360"/>
      <c r="I729" s="1360"/>
      <c r="J729" s="1361"/>
      <c r="K729" s="1362">
        <v>480</v>
      </c>
      <c r="L729" s="1363"/>
      <c r="M729" s="1363"/>
      <c r="N729" s="1364"/>
      <c r="O729" s="1411">
        <v>1002</v>
      </c>
      <c r="P729" s="1412"/>
      <c r="Q729" s="1412"/>
      <c r="R729" s="1412"/>
      <c r="S729" s="1413"/>
      <c r="T729" s="1411">
        <v>86</v>
      </c>
      <c r="U729" s="1412"/>
      <c r="V729" s="1412"/>
      <c r="W729" s="1413"/>
      <c r="X729" s="1414">
        <f t="shared" si="41"/>
        <v>1088</v>
      </c>
      <c r="Y729" s="1410"/>
      <c r="Z729" s="1410"/>
      <c r="AA729" s="1410"/>
      <c r="AB729" s="1415"/>
      <c r="AC729" s="1416">
        <v>0.3</v>
      </c>
      <c r="AD729" s="1417"/>
      <c r="AE729" s="1417"/>
      <c r="AF729" s="1417"/>
      <c r="AG729" s="1418"/>
      <c r="AH729" s="1443">
        <f t="shared" si="38"/>
        <v>0.30005515719801434</v>
      </c>
      <c r="AI729" s="1444"/>
      <c r="AJ729" s="1445"/>
      <c r="AK729" s="1365" t="s">
        <v>2056</v>
      </c>
      <c r="AL729" s="1366"/>
      <c r="AM729" s="1366"/>
      <c r="AN729" s="1366"/>
      <c r="AO729" s="1367"/>
      <c r="AP729" s="3"/>
      <c r="AQ729" s="3"/>
      <c r="AR729" s="3"/>
      <c r="AS729" s="3"/>
      <c r="AY729" s="116"/>
      <c r="AZ729" s="118">
        <f t="shared" si="42"/>
        <v>3626</v>
      </c>
      <c r="BA729" s="3"/>
      <c r="BB729" s="3"/>
      <c r="BC729" s="3"/>
      <c r="BD729" s="3"/>
      <c r="BE729" s="204"/>
      <c r="BF729" s="294">
        <f t="shared" si="43"/>
        <v>4</v>
      </c>
      <c r="BG729" s="297">
        <f t="shared" si="13"/>
        <v>6.4516129032258063E-2</v>
      </c>
      <c r="BH729" s="298">
        <f t="shared" si="14"/>
        <v>1.9354838709677417E-2</v>
      </c>
      <c r="BI729" s="3"/>
      <c r="BJ729" s="3"/>
      <c r="BK729" s="3"/>
      <c r="BL729" s="3"/>
      <c r="BM729" s="3"/>
      <c r="BN729" s="3"/>
      <c r="BS729" s="294">
        <f t="shared" si="44"/>
        <v>4</v>
      </c>
      <c r="BT729" s="297">
        <f t="shared" si="16"/>
        <v>6.4516129032258063E-2</v>
      </c>
      <c r="BU729" s="298">
        <f t="shared" si="17"/>
        <v>1.9358397238581571E-2</v>
      </c>
      <c r="CC729" s="3"/>
      <c r="CD729" s="3"/>
      <c r="CE729" s="3"/>
      <c r="CF729" s="3"/>
      <c r="CG729" s="1551">
        <f t="shared" si="39"/>
        <v>0</v>
      </c>
      <c r="CH729" s="1553"/>
      <c r="CI729" s="1554">
        <f t="shared" si="45"/>
        <v>0</v>
      </c>
      <c r="CJ729" s="1555"/>
      <c r="CK729" s="1551">
        <f t="shared" si="18"/>
        <v>1</v>
      </c>
      <c r="CL729" s="1553"/>
      <c r="CM729" s="1554">
        <f t="shared" si="46"/>
        <v>4</v>
      </c>
      <c r="CN729" s="1555"/>
      <c r="CO729" s="3"/>
      <c r="CP729" s="1544">
        <f t="shared" si="47"/>
        <v>0</v>
      </c>
      <c r="CQ729" s="1545"/>
      <c r="CR729" s="1545"/>
      <c r="CS729" s="1545"/>
      <c r="CT729" s="1546"/>
      <c r="CU729" s="1540">
        <f t="shared" si="48"/>
        <v>4</v>
      </c>
      <c r="CV729" s="1540"/>
      <c r="CW729" s="1540"/>
      <c r="CX729" s="1540"/>
      <c r="CY729" s="1540"/>
      <c r="CZ729" s="1540">
        <f t="shared" si="49"/>
        <v>0</v>
      </c>
      <c r="DA729" s="1540"/>
      <c r="DB729" s="1540"/>
      <c r="DC729" s="1540"/>
      <c r="DD729" s="1540"/>
      <c r="DE729" s="1540">
        <f t="shared" si="50"/>
        <v>0</v>
      </c>
      <c r="DF729" s="1540"/>
      <c r="DG729" s="1540"/>
      <c r="DH729" s="1540"/>
      <c r="DI729" s="1540"/>
      <c r="DJ729" s="1540">
        <f t="shared" si="51"/>
        <v>0</v>
      </c>
      <c r="DK729" s="1540"/>
      <c r="DL729" s="1540"/>
      <c r="DM729" s="1540"/>
      <c r="DN729" s="1540"/>
      <c r="DO729" s="1540">
        <f t="shared" si="52"/>
        <v>0</v>
      </c>
      <c r="DP729" s="1540"/>
      <c r="DQ729" s="1540"/>
      <c r="DR729" s="1540"/>
      <c r="DS729" s="1540"/>
      <c r="DT729" s="6"/>
      <c r="DU729" s="1538">
        <f t="shared" si="53"/>
        <v>0</v>
      </c>
      <c r="DV729" s="1538"/>
      <c r="DW729" s="1538"/>
      <c r="DX729" s="1538"/>
      <c r="DY729" s="1538"/>
      <c r="DZ729" s="1538">
        <f t="shared" si="54"/>
        <v>4</v>
      </c>
      <c r="EA729" s="1538"/>
      <c r="EB729" s="1538"/>
      <c r="EC729" s="1538"/>
      <c r="ED729" s="1538"/>
      <c r="EE729" s="1538">
        <f t="shared" si="55"/>
        <v>0</v>
      </c>
      <c r="EF729" s="1538"/>
      <c r="EG729" s="1538"/>
      <c r="EH729" s="1538"/>
      <c r="EI729" s="1538"/>
      <c r="EJ729" s="1538">
        <f t="shared" si="56"/>
        <v>0</v>
      </c>
      <c r="EK729" s="1538"/>
      <c r="EL729" s="1538"/>
      <c r="EM729" s="1538"/>
      <c r="EN729" s="1538"/>
      <c r="EO729" s="1538">
        <f t="shared" si="57"/>
        <v>0</v>
      </c>
      <c r="EP729" s="1538"/>
      <c r="EQ729" s="1538"/>
      <c r="ER729" s="1538"/>
      <c r="ES729" s="1538"/>
      <c r="ET729" s="1538">
        <f t="shared" si="58"/>
        <v>0</v>
      </c>
      <c r="EU729" s="1538"/>
      <c r="EV729" s="1538"/>
      <c r="EW729" s="1538"/>
      <c r="EX729" s="1538"/>
      <c r="EZ729" s="1551" t="str">
        <f t="shared" si="59"/>
        <v/>
      </c>
      <c r="FA729" s="1552"/>
      <c r="FB729" s="1552"/>
      <c r="FC729" s="1552"/>
      <c r="FD729" s="1553"/>
      <c r="FE729" s="1551">
        <f t="shared" si="60"/>
        <v>1002</v>
      </c>
      <c r="FF729" s="1552"/>
      <c r="FG729" s="1552"/>
      <c r="FH729" s="1552"/>
      <c r="FI729" s="1553"/>
      <c r="FJ729" s="1551" t="str">
        <f t="shared" si="61"/>
        <v/>
      </c>
      <c r="FK729" s="1552"/>
      <c r="FL729" s="1552"/>
      <c r="FM729" s="1552"/>
      <c r="FN729" s="1553"/>
      <c r="FO729" s="1551" t="str">
        <f t="shared" si="62"/>
        <v/>
      </c>
      <c r="FP729" s="1552"/>
      <c r="FQ729" s="1552"/>
      <c r="FR729" s="1552"/>
      <c r="FS729" s="1553"/>
      <c r="FT729" s="1551" t="str">
        <f t="shared" si="63"/>
        <v/>
      </c>
      <c r="FU729" s="1552"/>
      <c r="FV729" s="1552"/>
      <c r="FW729" s="1552"/>
      <c r="FX729" s="1553"/>
      <c r="FY729" s="1551" t="str">
        <f t="shared" si="64"/>
        <v/>
      </c>
      <c r="FZ729" s="1552"/>
      <c r="GA729" s="1552"/>
      <c r="GB729" s="1552"/>
      <c r="GC729" s="1553"/>
    </row>
    <row r="730" spans="1:185" ht="12.9" customHeight="1">
      <c r="B730" s="1365" t="s">
        <v>163</v>
      </c>
      <c r="C730" s="1366"/>
      <c r="D730" s="1366"/>
      <c r="E730" s="1366"/>
      <c r="F730" s="1367"/>
      <c r="G730" s="1359">
        <v>13</v>
      </c>
      <c r="H730" s="1360"/>
      <c r="I730" s="1360"/>
      <c r="J730" s="1361"/>
      <c r="K730" s="1362">
        <v>771</v>
      </c>
      <c r="L730" s="1363"/>
      <c r="M730" s="1363"/>
      <c r="N730" s="1364"/>
      <c r="O730" s="1411">
        <v>2927</v>
      </c>
      <c r="P730" s="1412"/>
      <c r="Q730" s="1412"/>
      <c r="R730" s="1412"/>
      <c r="S730" s="1413"/>
      <c r="T730" s="1411">
        <v>119</v>
      </c>
      <c r="U730" s="1412"/>
      <c r="V730" s="1412"/>
      <c r="W730" s="1413"/>
      <c r="X730" s="1414">
        <f t="shared" si="41"/>
        <v>3046</v>
      </c>
      <c r="Y730" s="1410"/>
      <c r="Z730" s="1410"/>
      <c r="AA730" s="1410"/>
      <c r="AB730" s="1415"/>
      <c r="AC730" s="1416">
        <v>0.7</v>
      </c>
      <c r="AD730" s="1417"/>
      <c r="AE730" s="1417"/>
      <c r="AF730" s="1417"/>
      <c r="AG730" s="1418"/>
      <c r="AH730" s="1443">
        <f t="shared" si="38"/>
        <v>0.69990808823529416</v>
      </c>
      <c r="AI730" s="1444"/>
      <c r="AJ730" s="1445"/>
      <c r="AK730" s="1365" t="s">
        <v>591</v>
      </c>
      <c r="AL730" s="1366"/>
      <c r="AM730" s="1366"/>
      <c r="AN730" s="1366"/>
      <c r="AO730" s="1367"/>
      <c r="AP730" s="3"/>
      <c r="AQ730" s="3"/>
      <c r="AR730" s="3"/>
      <c r="AS730" s="3"/>
      <c r="AY730" s="116"/>
      <c r="AZ730" s="118">
        <f t="shared" si="42"/>
        <v>4352</v>
      </c>
      <c r="BA730" s="3"/>
      <c r="BB730" s="3"/>
      <c r="BC730" s="3"/>
      <c r="BD730" s="3"/>
      <c r="BE730" s="204"/>
      <c r="BF730" s="294">
        <f t="shared" si="43"/>
        <v>13</v>
      </c>
      <c r="BG730" s="297">
        <f t="shared" si="13"/>
        <v>0.20967741935483872</v>
      </c>
      <c r="BH730" s="298">
        <f t="shared" si="14"/>
        <v>0.14677419354838708</v>
      </c>
      <c r="BI730" s="3"/>
      <c r="BJ730" s="3"/>
      <c r="BK730" s="3"/>
      <c r="BL730" s="3"/>
      <c r="BM730" s="3"/>
      <c r="BN730" s="3"/>
      <c r="BS730" s="294">
        <f t="shared" si="44"/>
        <v>13</v>
      </c>
      <c r="BT730" s="297">
        <f t="shared" si="16"/>
        <v>0.20967741935483872</v>
      </c>
      <c r="BU730" s="298">
        <f t="shared" si="17"/>
        <v>0.14675492172675522</v>
      </c>
      <c r="CC730" s="3"/>
      <c r="CD730" s="3"/>
      <c r="CE730" s="3"/>
      <c r="CF730" s="3"/>
      <c r="CG730" s="1551">
        <f t="shared" si="39"/>
        <v>0</v>
      </c>
      <c r="CH730" s="1553"/>
      <c r="CI730" s="1554">
        <f t="shared" si="45"/>
        <v>0</v>
      </c>
      <c r="CJ730" s="1555"/>
      <c r="CK730" s="1551">
        <f t="shared" si="18"/>
        <v>0</v>
      </c>
      <c r="CL730" s="1553"/>
      <c r="CM730" s="1554">
        <f t="shared" si="46"/>
        <v>0</v>
      </c>
      <c r="CN730" s="1555"/>
      <c r="CO730" s="3"/>
      <c r="CP730" s="1544">
        <f t="shared" si="47"/>
        <v>0</v>
      </c>
      <c r="CQ730" s="1545"/>
      <c r="CR730" s="1545"/>
      <c r="CS730" s="1545"/>
      <c r="CT730" s="1546"/>
      <c r="CU730" s="1540">
        <f t="shared" si="48"/>
        <v>0</v>
      </c>
      <c r="CV730" s="1540"/>
      <c r="CW730" s="1540"/>
      <c r="CX730" s="1540"/>
      <c r="CY730" s="1540"/>
      <c r="CZ730" s="1540">
        <f t="shared" si="49"/>
        <v>13</v>
      </c>
      <c r="DA730" s="1540"/>
      <c r="DB730" s="1540"/>
      <c r="DC730" s="1540"/>
      <c r="DD730" s="1540"/>
      <c r="DE730" s="1540">
        <f t="shared" si="50"/>
        <v>0</v>
      </c>
      <c r="DF730" s="1540"/>
      <c r="DG730" s="1540"/>
      <c r="DH730" s="1540"/>
      <c r="DI730" s="1540"/>
      <c r="DJ730" s="1540">
        <f t="shared" si="51"/>
        <v>0</v>
      </c>
      <c r="DK730" s="1540"/>
      <c r="DL730" s="1540"/>
      <c r="DM730" s="1540"/>
      <c r="DN730" s="1540"/>
      <c r="DO730" s="1540">
        <f t="shared" si="52"/>
        <v>0</v>
      </c>
      <c r="DP730" s="1540"/>
      <c r="DQ730" s="1540"/>
      <c r="DR730" s="1540"/>
      <c r="DS730" s="1540"/>
      <c r="DT730" s="6"/>
      <c r="DU730" s="1538">
        <f t="shared" si="53"/>
        <v>0</v>
      </c>
      <c r="DV730" s="1538"/>
      <c r="DW730" s="1538"/>
      <c r="DX730" s="1538"/>
      <c r="DY730" s="1538"/>
      <c r="DZ730" s="1538">
        <f t="shared" si="54"/>
        <v>0</v>
      </c>
      <c r="EA730" s="1538"/>
      <c r="EB730" s="1538"/>
      <c r="EC730" s="1538"/>
      <c r="ED730" s="1538"/>
      <c r="EE730" s="1538">
        <f t="shared" si="55"/>
        <v>0</v>
      </c>
      <c r="EF730" s="1538"/>
      <c r="EG730" s="1538"/>
      <c r="EH730" s="1538"/>
      <c r="EI730" s="1538"/>
      <c r="EJ730" s="1538">
        <f t="shared" si="56"/>
        <v>0</v>
      </c>
      <c r="EK730" s="1538"/>
      <c r="EL730" s="1538"/>
      <c r="EM730" s="1538"/>
      <c r="EN730" s="1538"/>
      <c r="EO730" s="1538">
        <f t="shared" si="57"/>
        <v>0</v>
      </c>
      <c r="EP730" s="1538"/>
      <c r="EQ730" s="1538"/>
      <c r="ER730" s="1538"/>
      <c r="ES730" s="1538"/>
      <c r="ET730" s="1538">
        <f t="shared" si="58"/>
        <v>0</v>
      </c>
      <c r="EU730" s="1538"/>
      <c r="EV730" s="1538"/>
      <c r="EW730" s="1538"/>
      <c r="EX730" s="1538"/>
      <c r="EZ730" s="1551" t="str">
        <f t="shared" si="59"/>
        <v/>
      </c>
      <c r="FA730" s="1552"/>
      <c r="FB730" s="1552"/>
      <c r="FC730" s="1552"/>
      <c r="FD730" s="1553"/>
      <c r="FE730" s="1551" t="str">
        <f t="shared" si="60"/>
        <v/>
      </c>
      <c r="FF730" s="1552"/>
      <c r="FG730" s="1552"/>
      <c r="FH730" s="1552"/>
      <c r="FI730" s="1553"/>
      <c r="FJ730" s="1551">
        <f t="shared" si="61"/>
        <v>2927</v>
      </c>
      <c r="FK730" s="1552"/>
      <c r="FL730" s="1552"/>
      <c r="FM730" s="1552"/>
      <c r="FN730" s="1553"/>
      <c r="FO730" s="1551" t="str">
        <f t="shared" si="62"/>
        <v/>
      </c>
      <c r="FP730" s="1552"/>
      <c r="FQ730" s="1552"/>
      <c r="FR730" s="1552"/>
      <c r="FS730" s="1553"/>
      <c r="FT730" s="1551" t="str">
        <f t="shared" si="63"/>
        <v/>
      </c>
      <c r="FU730" s="1552"/>
      <c r="FV730" s="1552"/>
      <c r="FW730" s="1552"/>
      <c r="FX730" s="1553"/>
      <c r="FY730" s="1551" t="str">
        <f t="shared" si="64"/>
        <v/>
      </c>
      <c r="FZ730" s="1552"/>
      <c r="GA730" s="1552"/>
      <c r="GB730" s="1552"/>
      <c r="GC730" s="1553"/>
    </row>
    <row r="731" spans="1:185" ht="12.9" customHeight="1">
      <c r="B731" s="1365" t="s">
        <v>163</v>
      </c>
      <c r="C731" s="1366"/>
      <c r="D731" s="1366"/>
      <c r="E731" s="1366"/>
      <c r="F731" s="1367"/>
      <c r="G731" s="1359">
        <v>3</v>
      </c>
      <c r="H731" s="1360"/>
      <c r="I731" s="1360"/>
      <c r="J731" s="1361"/>
      <c r="K731" s="1362">
        <v>771</v>
      </c>
      <c r="L731" s="1363"/>
      <c r="M731" s="1363"/>
      <c r="N731" s="1364"/>
      <c r="O731" s="1411">
        <v>2492</v>
      </c>
      <c r="P731" s="1412"/>
      <c r="Q731" s="1412"/>
      <c r="R731" s="1412"/>
      <c r="S731" s="1413"/>
      <c r="T731" s="1411">
        <v>119</v>
      </c>
      <c r="U731" s="1412"/>
      <c r="V731" s="1412"/>
      <c r="W731" s="1413"/>
      <c r="X731" s="1414">
        <f t="shared" si="41"/>
        <v>2611</v>
      </c>
      <c r="Y731" s="1410"/>
      <c r="Z731" s="1410"/>
      <c r="AA731" s="1410"/>
      <c r="AB731" s="1415"/>
      <c r="AC731" s="1416">
        <v>0.6</v>
      </c>
      <c r="AD731" s="1417"/>
      <c r="AE731" s="1417"/>
      <c r="AF731" s="1417"/>
      <c r="AG731" s="1418"/>
      <c r="AH731" s="1443">
        <f t="shared" si="38"/>
        <v>0.59995404411764708</v>
      </c>
      <c r="AI731" s="1444"/>
      <c r="AJ731" s="1445"/>
      <c r="AK731" s="1365" t="s">
        <v>591</v>
      </c>
      <c r="AL731" s="1366"/>
      <c r="AM731" s="1366"/>
      <c r="AN731" s="1366"/>
      <c r="AO731" s="1367"/>
      <c r="AP731" s="3"/>
      <c r="AQ731" s="3"/>
      <c r="AR731" s="3"/>
      <c r="AS731" s="3"/>
      <c r="AY731" s="116"/>
      <c r="AZ731" s="118">
        <f t="shared" si="42"/>
        <v>4352</v>
      </c>
      <c r="BA731" s="3"/>
      <c r="BB731" s="3"/>
      <c r="BC731" s="3"/>
      <c r="BD731" s="3"/>
      <c r="BE731" s="204"/>
      <c r="BF731" s="294">
        <f t="shared" si="43"/>
        <v>3</v>
      </c>
      <c r="BG731" s="297">
        <f t="shared" si="13"/>
        <v>4.8387096774193547E-2</v>
      </c>
      <c r="BH731" s="298">
        <f t="shared" si="14"/>
        <v>2.9032258064516127E-2</v>
      </c>
      <c r="BI731" s="3"/>
      <c r="BJ731" s="3"/>
      <c r="BK731" s="3"/>
      <c r="BL731" s="3"/>
      <c r="BM731" s="3"/>
      <c r="BN731" s="3"/>
      <c r="BS731" s="294">
        <f t="shared" si="44"/>
        <v>3</v>
      </c>
      <c r="BT731" s="297">
        <f t="shared" si="16"/>
        <v>4.8387096774193547E-2</v>
      </c>
      <c r="BU731" s="298">
        <f t="shared" si="17"/>
        <v>2.9030034392789374E-2</v>
      </c>
      <c r="CC731" s="3"/>
      <c r="CD731" s="3"/>
      <c r="CE731" s="3"/>
      <c r="CF731" s="3"/>
      <c r="CG731" s="1551">
        <f t="shared" si="39"/>
        <v>0</v>
      </c>
      <c r="CH731" s="1553"/>
      <c r="CI731" s="1554">
        <f t="shared" si="45"/>
        <v>0</v>
      </c>
      <c r="CJ731" s="1555"/>
      <c r="CK731" s="1551">
        <f t="shared" si="18"/>
        <v>0</v>
      </c>
      <c r="CL731" s="1553"/>
      <c r="CM731" s="1554">
        <f t="shared" si="46"/>
        <v>0</v>
      </c>
      <c r="CN731" s="1555"/>
      <c r="CO731" s="3"/>
      <c r="CP731" s="1544">
        <f t="shared" si="47"/>
        <v>0</v>
      </c>
      <c r="CQ731" s="1545"/>
      <c r="CR731" s="1545"/>
      <c r="CS731" s="1545"/>
      <c r="CT731" s="1546"/>
      <c r="CU731" s="1540">
        <f t="shared" si="48"/>
        <v>0</v>
      </c>
      <c r="CV731" s="1540"/>
      <c r="CW731" s="1540"/>
      <c r="CX731" s="1540"/>
      <c r="CY731" s="1540"/>
      <c r="CZ731" s="1540">
        <f t="shared" si="49"/>
        <v>3</v>
      </c>
      <c r="DA731" s="1540"/>
      <c r="DB731" s="1540"/>
      <c r="DC731" s="1540"/>
      <c r="DD731" s="1540"/>
      <c r="DE731" s="1540">
        <f t="shared" si="50"/>
        <v>0</v>
      </c>
      <c r="DF731" s="1540"/>
      <c r="DG731" s="1540"/>
      <c r="DH731" s="1540"/>
      <c r="DI731" s="1540"/>
      <c r="DJ731" s="1540">
        <f t="shared" si="51"/>
        <v>0</v>
      </c>
      <c r="DK731" s="1540"/>
      <c r="DL731" s="1540"/>
      <c r="DM731" s="1540"/>
      <c r="DN731" s="1540"/>
      <c r="DO731" s="1540">
        <f t="shared" si="52"/>
        <v>0</v>
      </c>
      <c r="DP731" s="1540"/>
      <c r="DQ731" s="1540"/>
      <c r="DR731" s="1540"/>
      <c r="DS731" s="1540"/>
      <c r="DT731" s="6"/>
      <c r="DU731" s="1538">
        <f t="shared" si="53"/>
        <v>0</v>
      </c>
      <c r="DV731" s="1538"/>
      <c r="DW731" s="1538"/>
      <c r="DX731" s="1538"/>
      <c r="DY731" s="1538"/>
      <c r="DZ731" s="1538">
        <f t="shared" si="54"/>
        <v>0</v>
      </c>
      <c r="EA731" s="1538"/>
      <c r="EB731" s="1538"/>
      <c r="EC731" s="1538"/>
      <c r="ED731" s="1538"/>
      <c r="EE731" s="1538">
        <f t="shared" si="55"/>
        <v>0</v>
      </c>
      <c r="EF731" s="1538"/>
      <c r="EG731" s="1538"/>
      <c r="EH731" s="1538"/>
      <c r="EI731" s="1538"/>
      <c r="EJ731" s="1538">
        <f t="shared" si="56"/>
        <v>0</v>
      </c>
      <c r="EK731" s="1538"/>
      <c r="EL731" s="1538"/>
      <c r="EM731" s="1538"/>
      <c r="EN731" s="1538"/>
      <c r="EO731" s="1538">
        <f t="shared" si="57"/>
        <v>0</v>
      </c>
      <c r="EP731" s="1538"/>
      <c r="EQ731" s="1538"/>
      <c r="ER731" s="1538"/>
      <c r="ES731" s="1538"/>
      <c r="ET731" s="1538">
        <f t="shared" si="58"/>
        <v>0</v>
      </c>
      <c r="EU731" s="1538"/>
      <c r="EV731" s="1538"/>
      <c r="EW731" s="1538"/>
      <c r="EX731" s="1538"/>
      <c r="EZ731" s="1551" t="str">
        <f t="shared" si="59"/>
        <v/>
      </c>
      <c r="FA731" s="1552"/>
      <c r="FB731" s="1552"/>
      <c r="FC731" s="1552"/>
      <c r="FD731" s="1553"/>
      <c r="FE731" s="1551" t="str">
        <f t="shared" si="60"/>
        <v/>
      </c>
      <c r="FF731" s="1552"/>
      <c r="FG731" s="1552"/>
      <c r="FH731" s="1552"/>
      <c r="FI731" s="1553"/>
      <c r="FJ731" s="1551">
        <f t="shared" si="61"/>
        <v>2492</v>
      </c>
      <c r="FK731" s="1552"/>
      <c r="FL731" s="1552"/>
      <c r="FM731" s="1552"/>
      <c r="FN731" s="1553"/>
      <c r="FO731" s="1551" t="str">
        <f t="shared" si="62"/>
        <v/>
      </c>
      <c r="FP731" s="1552"/>
      <c r="FQ731" s="1552"/>
      <c r="FR731" s="1552"/>
      <c r="FS731" s="1553"/>
      <c r="FT731" s="1551" t="str">
        <f t="shared" si="63"/>
        <v/>
      </c>
      <c r="FU731" s="1552"/>
      <c r="FV731" s="1552"/>
      <c r="FW731" s="1552"/>
      <c r="FX731" s="1553"/>
      <c r="FY731" s="1551" t="str">
        <f t="shared" si="64"/>
        <v/>
      </c>
      <c r="FZ731" s="1552"/>
      <c r="GA731" s="1552"/>
      <c r="GB731" s="1552"/>
      <c r="GC731" s="1553"/>
    </row>
    <row r="732" spans="1:185" ht="12.9" customHeight="1">
      <c r="B732" s="1365" t="s">
        <v>163</v>
      </c>
      <c r="C732" s="1366"/>
      <c r="D732" s="1366"/>
      <c r="E732" s="1366"/>
      <c r="F732" s="1367"/>
      <c r="G732" s="1359">
        <v>2</v>
      </c>
      <c r="H732" s="1360"/>
      <c r="I732" s="1360"/>
      <c r="J732" s="1361"/>
      <c r="K732" s="1362">
        <v>771</v>
      </c>
      <c r="L732" s="1363"/>
      <c r="M732" s="1363"/>
      <c r="N732" s="1364"/>
      <c r="O732" s="1411">
        <v>2057</v>
      </c>
      <c r="P732" s="1412"/>
      <c r="Q732" s="1412"/>
      <c r="R732" s="1412"/>
      <c r="S732" s="1413"/>
      <c r="T732" s="1411">
        <v>119</v>
      </c>
      <c r="U732" s="1412"/>
      <c r="V732" s="1412"/>
      <c r="W732" s="1413"/>
      <c r="X732" s="1414">
        <f t="shared" si="41"/>
        <v>2176</v>
      </c>
      <c r="Y732" s="1410"/>
      <c r="Z732" s="1410"/>
      <c r="AA732" s="1410"/>
      <c r="AB732" s="1415"/>
      <c r="AC732" s="1416">
        <v>0.5</v>
      </c>
      <c r="AD732" s="1417"/>
      <c r="AE732" s="1417"/>
      <c r="AF732" s="1417"/>
      <c r="AG732" s="1418"/>
      <c r="AH732" s="1443">
        <f t="shared" si="38"/>
        <v>0.5</v>
      </c>
      <c r="AI732" s="1444"/>
      <c r="AJ732" s="1445"/>
      <c r="AK732" s="1365" t="s">
        <v>591</v>
      </c>
      <c r="AL732" s="1366"/>
      <c r="AM732" s="1366"/>
      <c r="AN732" s="1366"/>
      <c r="AO732" s="1367"/>
      <c r="AP732" s="3"/>
      <c r="AQ732" s="3"/>
      <c r="AR732" s="3"/>
      <c r="AS732" s="3"/>
      <c r="AY732" s="116"/>
      <c r="AZ732" s="118">
        <f t="shared" si="42"/>
        <v>4352</v>
      </c>
      <c r="BA732" s="3"/>
      <c r="BB732" s="3"/>
      <c r="BC732" s="3"/>
      <c r="BD732" s="3"/>
      <c r="BE732" s="204"/>
      <c r="BF732" s="294">
        <f t="shared" si="43"/>
        <v>2</v>
      </c>
      <c r="BG732" s="297">
        <f t="shared" si="13"/>
        <v>3.2258064516129031E-2</v>
      </c>
      <c r="BH732" s="298">
        <f t="shared" si="14"/>
        <v>1.6129032258064516E-2</v>
      </c>
      <c r="BI732" s="3"/>
      <c r="BJ732" s="3"/>
      <c r="BK732" s="3"/>
      <c r="BL732" s="3"/>
      <c r="BM732" s="3"/>
      <c r="BN732" s="3"/>
      <c r="BS732" s="294">
        <f t="shared" si="44"/>
        <v>2</v>
      </c>
      <c r="BT732" s="297">
        <f t="shared" si="16"/>
        <v>3.2258064516129031E-2</v>
      </c>
      <c r="BU732" s="298">
        <f t="shared" si="17"/>
        <v>1.6129032258064516E-2</v>
      </c>
      <c r="CC732" s="3"/>
      <c r="CE732" s="3"/>
      <c r="CF732" s="3"/>
      <c r="CG732" s="1551">
        <f t="shared" si="39"/>
        <v>1</v>
      </c>
      <c r="CH732" s="1553"/>
      <c r="CI732" s="1554">
        <f t="shared" si="45"/>
        <v>2</v>
      </c>
      <c r="CJ732" s="1555"/>
      <c r="CK732" s="1551">
        <f t="shared" si="18"/>
        <v>0</v>
      </c>
      <c r="CL732" s="1553"/>
      <c r="CM732" s="1554">
        <f t="shared" si="46"/>
        <v>0</v>
      </c>
      <c r="CN732" s="1555"/>
      <c r="CO732" s="3"/>
      <c r="CP732" s="1544">
        <f t="shared" si="47"/>
        <v>0</v>
      </c>
      <c r="CQ732" s="1545"/>
      <c r="CR732" s="1545"/>
      <c r="CS732" s="1545"/>
      <c r="CT732" s="1546"/>
      <c r="CU732" s="1540">
        <f t="shared" si="48"/>
        <v>0</v>
      </c>
      <c r="CV732" s="1540"/>
      <c r="CW732" s="1540"/>
      <c r="CX732" s="1540"/>
      <c r="CY732" s="1540"/>
      <c r="CZ732" s="1540">
        <f t="shared" si="49"/>
        <v>2</v>
      </c>
      <c r="DA732" s="1540"/>
      <c r="DB732" s="1540"/>
      <c r="DC732" s="1540"/>
      <c r="DD732" s="1540"/>
      <c r="DE732" s="1540">
        <f t="shared" si="50"/>
        <v>0</v>
      </c>
      <c r="DF732" s="1540"/>
      <c r="DG732" s="1540"/>
      <c r="DH732" s="1540"/>
      <c r="DI732" s="1540"/>
      <c r="DJ732" s="1540">
        <f t="shared" si="51"/>
        <v>0</v>
      </c>
      <c r="DK732" s="1540"/>
      <c r="DL732" s="1540"/>
      <c r="DM732" s="1540"/>
      <c r="DN732" s="1540"/>
      <c r="DO732" s="1540">
        <f t="shared" si="52"/>
        <v>0</v>
      </c>
      <c r="DP732" s="1540"/>
      <c r="DQ732" s="1540"/>
      <c r="DR732" s="1540"/>
      <c r="DS732" s="1540"/>
      <c r="DT732" s="6"/>
      <c r="DU732" s="1538">
        <f t="shared" si="53"/>
        <v>0</v>
      </c>
      <c r="DV732" s="1538"/>
      <c r="DW732" s="1538"/>
      <c r="DX732" s="1538"/>
      <c r="DY732" s="1538"/>
      <c r="DZ732" s="1538">
        <f t="shared" si="54"/>
        <v>0</v>
      </c>
      <c r="EA732" s="1538"/>
      <c r="EB732" s="1538"/>
      <c r="EC732" s="1538"/>
      <c r="ED732" s="1538"/>
      <c r="EE732" s="1538">
        <f t="shared" si="55"/>
        <v>0</v>
      </c>
      <c r="EF732" s="1538"/>
      <c r="EG732" s="1538"/>
      <c r="EH732" s="1538"/>
      <c r="EI732" s="1538"/>
      <c r="EJ732" s="1538">
        <f t="shared" si="56"/>
        <v>0</v>
      </c>
      <c r="EK732" s="1538"/>
      <c r="EL732" s="1538"/>
      <c r="EM732" s="1538"/>
      <c r="EN732" s="1538"/>
      <c r="EO732" s="1538">
        <f t="shared" si="57"/>
        <v>0</v>
      </c>
      <c r="EP732" s="1538"/>
      <c r="EQ732" s="1538"/>
      <c r="ER732" s="1538"/>
      <c r="ES732" s="1538"/>
      <c r="ET732" s="1538">
        <f t="shared" si="58"/>
        <v>0</v>
      </c>
      <c r="EU732" s="1538"/>
      <c r="EV732" s="1538"/>
      <c r="EW732" s="1538"/>
      <c r="EX732" s="1538"/>
      <c r="EZ732" s="1551" t="str">
        <f t="shared" si="59"/>
        <v/>
      </c>
      <c r="FA732" s="1552"/>
      <c r="FB732" s="1552"/>
      <c r="FC732" s="1552"/>
      <c r="FD732" s="1553"/>
      <c r="FE732" s="1551" t="str">
        <f t="shared" si="60"/>
        <v/>
      </c>
      <c r="FF732" s="1552"/>
      <c r="FG732" s="1552"/>
      <c r="FH732" s="1552"/>
      <c r="FI732" s="1553"/>
      <c r="FJ732" s="1551">
        <f t="shared" si="61"/>
        <v>2057</v>
      </c>
      <c r="FK732" s="1552"/>
      <c r="FL732" s="1552"/>
      <c r="FM732" s="1552"/>
      <c r="FN732" s="1553"/>
      <c r="FO732" s="1551" t="str">
        <f t="shared" si="62"/>
        <v/>
      </c>
      <c r="FP732" s="1552"/>
      <c r="FQ732" s="1552"/>
      <c r="FR732" s="1552"/>
      <c r="FS732" s="1553"/>
      <c r="FT732" s="1551" t="str">
        <f t="shared" si="63"/>
        <v/>
      </c>
      <c r="FU732" s="1552"/>
      <c r="FV732" s="1552"/>
      <c r="FW732" s="1552"/>
      <c r="FX732" s="1553"/>
      <c r="FY732" s="1551" t="str">
        <f t="shared" si="64"/>
        <v/>
      </c>
      <c r="FZ732" s="1552"/>
      <c r="GA732" s="1552"/>
      <c r="GB732" s="1552"/>
      <c r="GC732" s="1553"/>
    </row>
    <row r="733" spans="1:185" ht="12.9" customHeight="1">
      <c r="B733" s="1365" t="s">
        <v>163</v>
      </c>
      <c r="C733" s="1366"/>
      <c r="D733" s="1366"/>
      <c r="E733" s="1366"/>
      <c r="F733" s="1367"/>
      <c r="G733" s="1359">
        <v>3</v>
      </c>
      <c r="H733" s="1360"/>
      <c r="I733" s="1360"/>
      <c r="J733" s="1361"/>
      <c r="K733" s="1362">
        <v>771</v>
      </c>
      <c r="L733" s="1363"/>
      <c r="M733" s="1363"/>
      <c r="N733" s="1364"/>
      <c r="O733" s="1411">
        <v>1186</v>
      </c>
      <c r="P733" s="1412"/>
      <c r="Q733" s="1412"/>
      <c r="R733" s="1412"/>
      <c r="S733" s="1413"/>
      <c r="T733" s="1411">
        <v>119</v>
      </c>
      <c r="U733" s="1412"/>
      <c r="V733" s="1412"/>
      <c r="W733" s="1413"/>
      <c r="X733" s="1414">
        <f t="shared" si="41"/>
        <v>1305</v>
      </c>
      <c r="Y733" s="1410"/>
      <c r="Z733" s="1410"/>
      <c r="AA733" s="1410"/>
      <c r="AB733" s="1415"/>
      <c r="AC733" s="1416">
        <v>0.3</v>
      </c>
      <c r="AD733" s="1417"/>
      <c r="AE733" s="1417"/>
      <c r="AF733" s="1417"/>
      <c r="AG733" s="1418"/>
      <c r="AH733" s="1443">
        <f t="shared" si="38"/>
        <v>0.29986213235294118</v>
      </c>
      <c r="AI733" s="1444"/>
      <c r="AJ733" s="1445"/>
      <c r="AK733" s="1365" t="s">
        <v>591</v>
      </c>
      <c r="AL733" s="1366"/>
      <c r="AM733" s="1366"/>
      <c r="AN733" s="1366"/>
      <c r="AO733" s="1367"/>
      <c r="AP733" s="3"/>
      <c r="AQ733" s="3"/>
      <c r="AR733" s="3"/>
      <c r="AS733" s="3"/>
      <c r="AY733" s="1080"/>
      <c r="AZ733" s="118">
        <f t="shared" si="42"/>
        <v>4352</v>
      </c>
      <c r="BA733" s="3"/>
      <c r="BB733" s="3"/>
      <c r="BC733" s="3"/>
      <c r="BD733" s="3"/>
      <c r="BE733" s="204"/>
      <c r="BF733" s="294">
        <f t="shared" si="43"/>
        <v>3</v>
      </c>
      <c r="BG733" s="297">
        <f t="shared" si="13"/>
        <v>4.8387096774193547E-2</v>
      </c>
      <c r="BH733" s="298">
        <f t="shared" si="14"/>
        <v>1.4516129032258063E-2</v>
      </c>
      <c r="BI733" s="3"/>
      <c r="BJ733" s="3"/>
      <c r="BK733" s="3"/>
      <c r="BL733" s="3"/>
      <c r="BM733" s="3"/>
      <c r="BN733" s="3"/>
      <c r="BS733" s="294">
        <f t="shared" si="44"/>
        <v>3</v>
      </c>
      <c r="BT733" s="297">
        <f t="shared" si="16"/>
        <v>4.8387096774193547E-2</v>
      </c>
      <c r="BU733" s="298">
        <f t="shared" si="17"/>
        <v>1.4509458017077799E-2</v>
      </c>
      <c r="BV733" s="292"/>
      <c r="BW733" s="3"/>
      <c r="BX733" s="3"/>
      <c r="BY733" s="3"/>
      <c r="BZ733" s="3"/>
      <c r="CA733" s="3"/>
      <c r="CB733" s="3"/>
      <c r="CC733" s="3"/>
      <c r="CE733" s="3"/>
      <c r="CF733" s="3"/>
      <c r="CG733" s="1551">
        <f t="shared" si="39"/>
        <v>0</v>
      </c>
      <c r="CH733" s="1553"/>
      <c r="CI733" s="1554">
        <f t="shared" si="45"/>
        <v>0</v>
      </c>
      <c r="CJ733" s="1555"/>
      <c r="CK733" s="1551">
        <f t="shared" si="18"/>
        <v>1</v>
      </c>
      <c r="CL733" s="1553"/>
      <c r="CM733" s="1554">
        <f t="shared" si="46"/>
        <v>3</v>
      </c>
      <c r="CN733" s="1555"/>
      <c r="CO733" s="3"/>
      <c r="CP733" s="1544">
        <f t="shared" si="47"/>
        <v>0</v>
      </c>
      <c r="CQ733" s="1545"/>
      <c r="CR733" s="1545"/>
      <c r="CS733" s="1545"/>
      <c r="CT733" s="1546"/>
      <c r="CU733" s="1540">
        <f t="shared" si="48"/>
        <v>0</v>
      </c>
      <c r="CV733" s="1540"/>
      <c r="CW733" s="1540"/>
      <c r="CX733" s="1540"/>
      <c r="CY733" s="1540"/>
      <c r="CZ733" s="1540">
        <f t="shared" si="49"/>
        <v>3</v>
      </c>
      <c r="DA733" s="1540"/>
      <c r="DB733" s="1540"/>
      <c r="DC733" s="1540"/>
      <c r="DD733" s="1540"/>
      <c r="DE733" s="1540">
        <f t="shared" si="50"/>
        <v>0</v>
      </c>
      <c r="DF733" s="1540"/>
      <c r="DG733" s="1540"/>
      <c r="DH733" s="1540"/>
      <c r="DI733" s="1540"/>
      <c r="DJ733" s="1540">
        <f t="shared" si="51"/>
        <v>0</v>
      </c>
      <c r="DK733" s="1540"/>
      <c r="DL733" s="1540"/>
      <c r="DM733" s="1540"/>
      <c r="DN733" s="1540"/>
      <c r="DO733" s="1540">
        <f t="shared" si="52"/>
        <v>0</v>
      </c>
      <c r="DP733" s="1540"/>
      <c r="DQ733" s="1540"/>
      <c r="DR733" s="1540"/>
      <c r="DS733" s="1540"/>
      <c r="DT733" s="6"/>
      <c r="DU733" s="1538">
        <f t="shared" si="53"/>
        <v>0</v>
      </c>
      <c r="DV733" s="1538"/>
      <c r="DW733" s="1538"/>
      <c r="DX733" s="1538"/>
      <c r="DY733" s="1538"/>
      <c r="DZ733" s="1538">
        <f t="shared" si="54"/>
        <v>0</v>
      </c>
      <c r="EA733" s="1538"/>
      <c r="EB733" s="1538"/>
      <c r="EC733" s="1538"/>
      <c r="ED733" s="1538"/>
      <c r="EE733" s="1538">
        <f t="shared" si="55"/>
        <v>3</v>
      </c>
      <c r="EF733" s="1538"/>
      <c r="EG733" s="1538"/>
      <c r="EH733" s="1538"/>
      <c r="EI733" s="1538"/>
      <c r="EJ733" s="1538">
        <f t="shared" si="56"/>
        <v>0</v>
      </c>
      <c r="EK733" s="1538"/>
      <c r="EL733" s="1538"/>
      <c r="EM733" s="1538"/>
      <c r="EN733" s="1538"/>
      <c r="EO733" s="1538">
        <f t="shared" si="57"/>
        <v>0</v>
      </c>
      <c r="EP733" s="1538"/>
      <c r="EQ733" s="1538"/>
      <c r="ER733" s="1538"/>
      <c r="ES733" s="1538"/>
      <c r="ET733" s="1538">
        <f t="shared" si="58"/>
        <v>0</v>
      </c>
      <c r="EU733" s="1538"/>
      <c r="EV733" s="1538"/>
      <c r="EW733" s="1538"/>
      <c r="EX733" s="1538"/>
      <c r="EZ733" s="1551" t="str">
        <f t="shared" si="59"/>
        <v/>
      </c>
      <c r="FA733" s="1552"/>
      <c r="FB733" s="1552"/>
      <c r="FC733" s="1552"/>
      <c r="FD733" s="1553"/>
      <c r="FE733" s="1551" t="str">
        <f t="shared" si="60"/>
        <v/>
      </c>
      <c r="FF733" s="1552"/>
      <c r="FG733" s="1552"/>
      <c r="FH733" s="1552"/>
      <c r="FI733" s="1553"/>
      <c r="FJ733" s="1551">
        <f t="shared" si="61"/>
        <v>1186</v>
      </c>
      <c r="FK733" s="1552"/>
      <c r="FL733" s="1552"/>
      <c r="FM733" s="1552"/>
      <c r="FN733" s="1553"/>
      <c r="FO733" s="1551" t="str">
        <f t="shared" si="62"/>
        <v/>
      </c>
      <c r="FP733" s="1552"/>
      <c r="FQ733" s="1552"/>
      <c r="FR733" s="1552"/>
      <c r="FS733" s="1553"/>
      <c r="FT733" s="1551" t="str">
        <f t="shared" si="63"/>
        <v/>
      </c>
      <c r="FU733" s="1552"/>
      <c r="FV733" s="1552"/>
      <c r="FW733" s="1552"/>
      <c r="FX733" s="1553"/>
      <c r="FY733" s="1551" t="str">
        <f t="shared" si="64"/>
        <v/>
      </c>
      <c r="FZ733" s="1552"/>
      <c r="GA733" s="1552"/>
      <c r="GB733" s="1552"/>
      <c r="GC733" s="1553"/>
    </row>
    <row r="734" spans="1:185" ht="12.9" customHeight="1">
      <c r="B734" s="1365" t="s">
        <v>164</v>
      </c>
      <c r="C734" s="1366"/>
      <c r="D734" s="1366"/>
      <c r="E734" s="1366"/>
      <c r="F734" s="1367"/>
      <c r="G734" s="1359">
        <v>12</v>
      </c>
      <c r="H734" s="1360"/>
      <c r="I734" s="1360"/>
      <c r="J734" s="1361"/>
      <c r="K734" s="1362">
        <v>992</v>
      </c>
      <c r="L734" s="1363"/>
      <c r="M734" s="1363"/>
      <c r="N734" s="1364"/>
      <c r="O734" s="1411">
        <v>3363</v>
      </c>
      <c r="P734" s="1412"/>
      <c r="Q734" s="1412"/>
      <c r="R734" s="1412"/>
      <c r="S734" s="1413"/>
      <c r="T734" s="1411">
        <v>157</v>
      </c>
      <c r="U734" s="1412"/>
      <c r="V734" s="1412"/>
      <c r="W734" s="1413"/>
      <c r="X734" s="1414">
        <f t="shared" si="41"/>
        <v>3520</v>
      </c>
      <c r="Y734" s="1410"/>
      <c r="Z734" s="1410"/>
      <c r="AA734" s="1410"/>
      <c r="AB734" s="1415"/>
      <c r="AC734" s="1416">
        <v>0.7</v>
      </c>
      <c r="AD734" s="1417"/>
      <c r="AE734" s="1417"/>
      <c r="AF734" s="1417"/>
      <c r="AG734" s="1418"/>
      <c r="AH734" s="1443">
        <f t="shared" si="38"/>
        <v>0.70007955449482895</v>
      </c>
      <c r="AI734" s="1444"/>
      <c r="AJ734" s="1445"/>
      <c r="AK734" s="1365" t="s">
        <v>591</v>
      </c>
      <c r="AL734" s="1366"/>
      <c r="AM734" s="1366"/>
      <c r="AN734" s="1366"/>
      <c r="AO734" s="1367"/>
      <c r="AP734" s="3"/>
      <c r="AQ734" s="3"/>
      <c r="AR734" s="3"/>
      <c r="AS734" s="3"/>
      <c r="AY734" s="1080"/>
      <c r="AZ734" s="118">
        <f t="shared" si="42"/>
        <v>5028</v>
      </c>
      <c r="BA734" s="3"/>
      <c r="BB734" s="3"/>
      <c r="BC734" s="3"/>
      <c r="BD734" s="3"/>
      <c r="BE734" s="204"/>
      <c r="BF734" s="294">
        <f t="shared" si="43"/>
        <v>12</v>
      </c>
      <c r="BG734" s="297">
        <f t="shared" si="13"/>
        <v>0.19354838709677419</v>
      </c>
      <c r="BH734" s="298">
        <f t="shared" si="14"/>
        <v>0.13548387096774192</v>
      </c>
      <c r="BI734" s="3"/>
      <c r="BJ734" s="3"/>
      <c r="BK734" s="3"/>
      <c r="BL734" s="3"/>
      <c r="BM734" s="3"/>
      <c r="BN734" s="3"/>
      <c r="BS734" s="294">
        <f t="shared" si="44"/>
        <v>12</v>
      </c>
      <c r="BT734" s="297">
        <f t="shared" si="16"/>
        <v>0.19354838709677419</v>
      </c>
      <c r="BU734" s="298">
        <f t="shared" si="17"/>
        <v>0.13549926861190237</v>
      </c>
      <c r="BV734" s="3"/>
      <c r="BW734" s="3"/>
      <c r="BX734" s="3"/>
      <c r="BY734" s="3"/>
      <c r="BZ734" s="3"/>
      <c r="CA734" s="3"/>
      <c r="CB734" s="3"/>
      <c r="CC734" s="3"/>
      <c r="CE734" s="3"/>
      <c r="CF734" s="3"/>
      <c r="CG734" s="1551">
        <f t="shared" si="39"/>
        <v>0</v>
      </c>
      <c r="CH734" s="1553"/>
      <c r="CI734" s="1554">
        <f t="shared" si="45"/>
        <v>0</v>
      </c>
      <c r="CJ734" s="1555"/>
      <c r="CK734" s="1551">
        <f t="shared" si="18"/>
        <v>0</v>
      </c>
      <c r="CL734" s="1553"/>
      <c r="CM734" s="1554">
        <f t="shared" si="46"/>
        <v>0</v>
      </c>
      <c r="CN734" s="1555"/>
      <c r="CO734" s="3"/>
      <c r="CP734" s="1544">
        <f t="shared" si="47"/>
        <v>0</v>
      </c>
      <c r="CQ734" s="1545"/>
      <c r="CR734" s="1545"/>
      <c r="CS734" s="1545"/>
      <c r="CT734" s="1546"/>
      <c r="CU734" s="1540">
        <f t="shared" si="48"/>
        <v>0</v>
      </c>
      <c r="CV734" s="1540"/>
      <c r="CW734" s="1540"/>
      <c r="CX734" s="1540"/>
      <c r="CY734" s="1540"/>
      <c r="CZ734" s="1540">
        <f t="shared" si="49"/>
        <v>0</v>
      </c>
      <c r="DA734" s="1540"/>
      <c r="DB734" s="1540"/>
      <c r="DC734" s="1540"/>
      <c r="DD734" s="1540"/>
      <c r="DE734" s="1540">
        <f t="shared" si="50"/>
        <v>12</v>
      </c>
      <c r="DF734" s="1540"/>
      <c r="DG734" s="1540"/>
      <c r="DH734" s="1540"/>
      <c r="DI734" s="1540"/>
      <c r="DJ734" s="1540">
        <f t="shared" si="51"/>
        <v>0</v>
      </c>
      <c r="DK734" s="1540"/>
      <c r="DL734" s="1540"/>
      <c r="DM734" s="1540"/>
      <c r="DN734" s="1540"/>
      <c r="DO734" s="1540">
        <f t="shared" si="52"/>
        <v>0</v>
      </c>
      <c r="DP734" s="1540"/>
      <c r="DQ734" s="1540"/>
      <c r="DR734" s="1540"/>
      <c r="DS734" s="1540"/>
      <c r="DT734" s="6"/>
      <c r="DU734" s="1538">
        <f t="shared" si="53"/>
        <v>0</v>
      </c>
      <c r="DV734" s="1538"/>
      <c r="DW734" s="1538"/>
      <c r="DX734" s="1538"/>
      <c r="DY734" s="1538"/>
      <c r="DZ734" s="1538">
        <f t="shared" si="54"/>
        <v>0</v>
      </c>
      <c r="EA734" s="1538"/>
      <c r="EB734" s="1538"/>
      <c r="EC734" s="1538"/>
      <c r="ED734" s="1538"/>
      <c r="EE734" s="1538">
        <f t="shared" si="55"/>
        <v>0</v>
      </c>
      <c r="EF734" s="1538"/>
      <c r="EG734" s="1538"/>
      <c r="EH734" s="1538"/>
      <c r="EI734" s="1538"/>
      <c r="EJ734" s="1538">
        <f t="shared" si="56"/>
        <v>0</v>
      </c>
      <c r="EK734" s="1538"/>
      <c r="EL734" s="1538"/>
      <c r="EM734" s="1538"/>
      <c r="EN734" s="1538"/>
      <c r="EO734" s="1538">
        <f t="shared" si="57"/>
        <v>0</v>
      </c>
      <c r="EP734" s="1538"/>
      <c r="EQ734" s="1538"/>
      <c r="ER734" s="1538"/>
      <c r="ES734" s="1538"/>
      <c r="ET734" s="1538">
        <f t="shared" si="58"/>
        <v>0</v>
      </c>
      <c r="EU734" s="1538"/>
      <c r="EV734" s="1538"/>
      <c r="EW734" s="1538"/>
      <c r="EX734" s="1538"/>
      <c r="EY734" s="4"/>
      <c r="EZ734" s="1551" t="str">
        <f t="shared" si="59"/>
        <v/>
      </c>
      <c r="FA734" s="1552"/>
      <c r="FB734" s="1552"/>
      <c r="FC734" s="1552"/>
      <c r="FD734" s="1553"/>
      <c r="FE734" s="1551" t="str">
        <f t="shared" si="60"/>
        <v/>
      </c>
      <c r="FF734" s="1552"/>
      <c r="FG734" s="1552"/>
      <c r="FH734" s="1552"/>
      <c r="FI734" s="1553"/>
      <c r="FJ734" s="1551" t="str">
        <f t="shared" si="61"/>
        <v/>
      </c>
      <c r="FK734" s="1552"/>
      <c r="FL734" s="1552"/>
      <c r="FM734" s="1552"/>
      <c r="FN734" s="1553"/>
      <c r="FO734" s="1551">
        <f t="shared" si="62"/>
        <v>3363</v>
      </c>
      <c r="FP734" s="1552"/>
      <c r="FQ734" s="1552"/>
      <c r="FR734" s="1552"/>
      <c r="FS734" s="1553"/>
      <c r="FT734" s="1551" t="str">
        <f t="shared" si="63"/>
        <v/>
      </c>
      <c r="FU734" s="1552"/>
      <c r="FV734" s="1552"/>
      <c r="FW734" s="1552"/>
      <c r="FX734" s="1553"/>
      <c r="FY734" s="1551" t="str">
        <f t="shared" si="64"/>
        <v/>
      </c>
      <c r="FZ734" s="1552"/>
      <c r="GA734" s="1552"/>
      <c r="GB734" s="1552"/>
      <c r="GC734" s="1553"/>
    </row>
    <row r="735" spans="1:185" ht="12.9" customHeight="1">
      <c r="A735" s="4"/>
      <c r="B735" s="1365" t="s">
        <v>164</v>
      </c>
      <c r="C735" s="1366"/>
      <c r="D735" s="1366"/>
      <c r="E735" s="1366"/>
      <c r="F735" s="1367"/>
      <c r="G735" s="1359">
        <v>3</v>
      </c>
      <c r="H735" s="1360"/>
      <c r="I735" s="1360"/>
      <c r="J735" s="1361"/>
      <c r="K735" s="1362">
        <v>992</v>
      </c>
      <c r="L735" s="1363"/>
      <c r="M735" s="1363"/>
      <c r="N735" s="1364"/>
      <c r="O735" s="1411">
        <v>2860</v>
      </c>
      <c r="P735" s="1412"/>
      <c r="Q735" s="1412"/>
      <c r="R735" s="1412"/>
      <c r="S735" s="1413"/>
      <c r="T735" s="1411">
        <v>157</v>
      </c>
      <c r="U735" s="1412"/>
      <c r="V735" s="1412"/>
      <c r="W735" s="1413"/>
      <c r="X735" s="1414">
        <f t="shared" si="41"/>
        <v>3017</v>
      </c>
      <c r="Y735" s="1410"/>
      <c r="Z735" s="1410"/>
      <c r="AA735" s="1410"/>
      <c r="AB735" s="1415"/>
      <c r="AC735" s="1416">
        <v>0.6</v>
      </c>
      <c r="AD735" s="1417"/>
      <c r="AE735" s="1417"/>
      <c r="AF735" s="1417"/>
      <c r="AG735" s="1418"/>
      <c r="AH735" s="1443">
        <f t="shared" si="38"/>
        <v>0.60003977724741453</v>
      </c>
      <c r="AI735" s="1444"/>
      <c r="AJ735" s="1445"/>
      <c r="AK735" s="1365" t="s">
        <v>591</v>
      </c>
      <c r="AL735" s="1366"/>
      <c r="AM735" s="1366"/>
      <c r="AN735" s="1366"/>
      <c r="AO735" s="1367"/>
      <c r="AP735" s="3"/>
      <c r="AQ735" s="3"/>
      <c r="AR735" s="3"/>
      <c r="AS735" s="3"/>
      <c r="AY735" s="1080"/>
      <c r="AZ735" s="118">
        <f t="shared" si="42"/>
        <v>5028</v>
      </c>
      <c r="BA735" s="3"/>
      <c r="BB735" s="3"/>
      <c r="BC735" s="3"/>
      <c r="BD735" s="3"/>
      <c r="BE735" s="204"/>
      <c r="BF735" s="294">
        <f t="shared" si="43"/>
        <v>3</v>
      </c>
      <c r="BG735" s="297">
        <f t="shared" si="13"/>
        <v>4.8387096774193547E-2</v>
      </c>
      <c r="BH735" s="298">
        <f t="shared" si="14"/>
        <v>2.9032258064516127E-2</v>
      </c>
      <c r="BI735" s="3"/>
      <c r="BJ735" s="3"/>
      <c r="BK735" s="3"/>
      <c r="BL735" s="3"/>
      <c r="BM735" s="3"/>
      <c r="BN735" s="3"/>
      <c r="BS735" s="294">
        <f t="shared" si="44"/>
        <v>3</v>
      </c>
      <c r="BT735" s="297">
        <f t="shared" si="16"/>
        <v>4.8387096774193547E-2</v>
      </c>
      <c r="BU735" s="298">
        <f t="shared" si="17"/>
        <v>2.9034182770036186E-2</v>
      </c>
      <c r="BV735" s="3"/>
      <c r="BW735" s="3"/>
      <c r="BX735" s="3"/>
      <c r="BY735" s="3"/>
      <c r="BZ735" s="3"/>
      <c r="CA735" s="3"/>
      <c r="CB735" s="3"/>
      <c r="CC735" s="3"/>
      <c r="CE735" s="3"/>
      <c r="CF735" s="3"/>
      <c r="CG735" s="1551">
        <f t="shared" si="39"/>
        <v>0</v>
      </c>
      <c r="CH735" s="1553"/>
      <c r="CI735" s="1554">
        <f t="shared" si="45"/>
        <v>0</v>
      </c>
      <c r="CJ735" s="1555"/>
      <c r="CK735" s="1551">
        <f t="shared" si="18"/>
        <v>0</v>
      </c>
      <c r="CL735" s="1553"/>
      <c r="CM735" s="1554">
        <f t="shared" si="46"/>
        <v>0</v>
      </c>
      <c r="CN735" s="1555"/>
      <c r="CO735" s="3"/>
      <c r="CP735" s="1544">
        <f t="shared" si="47"/>
        <v>0</v>
      </c>
      <c r="CQ735" s="1545"/>
      <c r="CR735" s="1545"/>
      <c r="CS735" s="1545"/>
      <c r="CT735" s="1546"/>
      <c r="CU735" s="1540">
        <f t="shared" si="48"/>
        <v>0</v>
      </c>
      <c r="CV735" s="1540"/>
      <c r="CW735" s="1540"/>
      <c r="CX735" s="1540"/>
      <c r="CY735" s="1540"/>
      <c r="CZ735" s="1540">
        <f t="shared" si="49"/>
        <v>0</v>
      </c>
      <c r="DA735" s="1540"/>
      <c r="DB735" s="1540"/>
      <c r="DC735" s="1540"/>
      <c r="DD735" s="1540"/>
      <c r="DE735" s="1540">
        <f t="shared" si="50"/>
        <v>3</v>
      </c>
      <c r="DF735" s="1540"/>
      <c r="DG735" s="1540"/>
      <c r="DH735" s="1540"/>
      <c r="DI735" s="1540"/>
      <c r="DJ735" s="1540">
        <f t="shared" si="51"/>
        <v>0</v>
      </c>
      <c r="DK735" s="1540"/>
      <c r="DL735" s="1540"/>
      <c r="DM735" s="1540"/>
      <c r="DN735" s="1540"/>
      <c r="DO735" s="1540">
        <f t="shared" si="52"/>
        <v>0</v>
      </c>
      <c r="DP735" s="1540"/>
      <c r="DQ735" s="1540"/>
      <c r="DR735" s="1540"/>
      <c r="DS735" s="1540"/>
      <c r="DT735" s="6"/>
      <c r="DU735" s="1538">
        <f t="shared" si="53"/>
        <v>0</v>
      </c>
      <c r="DV735" s="1538"/>
      <c r="DW735" s="1538"/>
      <c r="DX735" s="1538"/>
      <c r="DY735" s="1538"/>
      <c r="DZ735" s="1538">
        <f t="shared" si="54"/>
        <v>0</v>
      </c>
      <c r="EA735" s="1538"/>
      <c r="EB735" s="1538"/>
      <c r="EC735" s="1538"/>
      <c r="ED735" s="1538"/>
      <c r="EE735" s="1538">
        <f t="shared" si="55"/>
        <v>0</v>
      </c>
      <c r="EF735" s="1538"/>
      <c r="EG735" s="1538"/>
      <c r="EH735" s="1538"/>
      <c r="EI735" s="1538"/>
      <c r="EJ735" s="1538">
        <f t="shared" si="56"/>
        <v>0</v>
      </c>
      <c r="EK735" s="1538"/>
      <c r="EL735" s="1538"/>
      <c r="EM735" s="1538"/>
      <c r="EN735" s="1538"/>
      <c r="EO735" s="1538">
        <f t="shared" si="57"/>
        <v>0</v>
      </c>
      <c r="EP735" s="1538"/>
      <c r="EQ735" s="1538"/>
      <c r="ER735" s="1538"/>
      <c r="ES735" s="1538"/>
      <c r="ET735" s="1538">
        <f t="shared" si="58"/>
        <v>0</v>
      </c>
      <c r="EU735" s="1538"/>
      <c r="EV735" s="1538"/>
      <c r="EW735" s="1538"/>
      <c r="EX735" s="1538"/>
      <c r="EY735" s="4"/>
      <c r="EZ735" s="1551" t="str">
        <f t="shared" si="59"/>
        <v/>
      </c>
      <c r="FA735" s="1552"/>
      <c r="FB735" s="1552"/>
      <c r="FC735" s="1552"/>
      <c r="FD735" s="1553"/>
      <c r="FE735" s="1551" t="str">
        <f t="shared" si="60"/>
        <v/>
      </c>
      <c r="FF735" s="1552"/>
      <c r="FG735" s="1552"/>
      <c r="FH735" s="1552"/>
      <c r="FI735" s="1553"/>
      <c r="FJ735" s="1551" t="str">
        <f t="shared" si="61"/>
        <v/>
      </c>
      <c r="FK735" s="1552"/>
      <c r="FL735" s="1552"/>
      <c r="FM735" s="1552"/>
      <c r="FN735" s="1553"/>
      <c r="FO735" s="1551">
        <f t="shared" si="62"/>
        <v>2860</v>
      </c>
      <c r="FP735" s="1552"/>
      <c r="FQ735" s="1552"/>
      <c r="FR735" s="1552"/>
      <c r="FS735" s="1553"/>
      <c r="FT735" s="1551" t="str">
        <f t="shared" si="63"/>
        <v/>
      </c>
      <c r="FU735" s="1552"/>
      <c r="FV735" s="1552"/>
      <c r="FW735" s="1552"/>
      <c r="FX735" s="1553"/>
      <c r="FY735" s="1551" t="str">
        <f t="shared" si="64"/>
        <v/>
      </c>
      <c r="FZ735" s="1552"/>
      <c r="GA735" s="1552"/>
      <c r="GB735" s="1552"/>
      <c r="GC735" s="1553"/>
    </row>
    <row r="736" spans="1:185" ht="12.9" customHeight="1">
      <c r="A736" s="4"/>
      <c r="B736" s="1365" t="s">
        <v>164</v>
      </c>
      <c r="C736" s="1366"/>
      <c r="D736" s="1366"/>
      <c r="E736" s="1366"/>
      <c r="F736" s="1367"/>
      <c r="G736" s="1359">
        <v>2</v>
      </c>
      <c r="H736" s="1360"/>
      <c r="I736" s="1360"/>
      <c r="J736" s="1361"/>
      <c r="K736" s="1362">
        <v>992</v>
      </c>
      <c r="L736" s="1363"/>
      <c r="M736" s="1363"/>
      <c r="N736" s="1364"/>
      <c r="O736" s="1411">
        <v>2357</v>
      </c>
      <c r="P736" s="1412"/>
      <c r="Q736" s="1412"/>
      <c r="R736" s="1412"/>
      <c r="S736" s="1413"/>
      <c r="T736" s="1411">
        <v>157</v>
      </c>
      <c r="U736" s="1412"/>
      <c r="V736" s="1412"/>
      <c r="W736" s="1413"/>
      <c r="X736" s="1414">
        <f t="shared" si="41"/>
        <v>2514</v>
      </c>
      <c r="Y736" s="1410"/>
      <c r="Z736" s="1410"/>
      <c r="AA736" s="1410"/>
      <c r="AB736" s="1415"/>
      <c r="AC736" s="1416">
        <v>0.5</v>
      </c>
      <c r="AD736" s="1417"/>
      <c r="AE736" s="1417"/>
      <c r="AF736" s="1417"/>
      <c r="AG736" s="1418"/>
      <c r="AH736" s="1443">
        <f t="shared" si="38"/>
        <v>0.5</v>
      </c>
      <c r="AI736" s="1444"/>
      <c r="AJ736" s="1445"/>
      <c r="AK736" s="1365" t="s">
        <v>591</v>
      </c>
      <c r="AL736" s="1366"/>
      <c r="AM736" s="1366"/>
      <c r="AN736" s="1366"/>
      <c r="AO736" s="1367"/>
      <c r="AP736" s="3"/>
      <c r="AQ736" s="3"/>
      <c r="AR736" s="3"/>
      <c r="AS736" s="3"/>
      <c r="AY736" s="1080"/>
      <c r="AZ736" s="118">
        <f t="shared" si="42"/>
        <v>5028</v>
      </c>
      <c r="BA736" s="3"/>
      <c r="BB736" s="3"/>
      <c r="BC736" s="3"/>
      <c r="BD736" s="3"/>
      <c r="BE736" s="204"/>
      <c r="BF736" s="294">
        <f t="shared" si="43"/>
        <v>2</v>
      </c>
      <c r="BG736" s="297">
        <f t="shared" si="13"/>
        <v>3.2258064516129031E-2</v>
      </c>
      <c r="BH736" s="298">
        <f t="shared" si="14"/>
        <v>1.6129032258064516E-2</v>
      </c>
      <c r="BI736" s="3"/>
      <c r="BJ736" s="3"/>
      <c r="BK736" s="3"/>
      <c r="BL736" s="3"/>
      <c r="BM736" s="3"/>
      <c r="BN736" s="3"/>
      <c r="BS736" s="294">
        <f t="shared" si="44"/>
        <v>2</v>
      </c>
      <c r="BT736" s="297">
        <f t="shared" si="16"/>
        <v>3.2258064516129031E-2</v>
      </c>
      <c r="BU736" s="298">
        <f t="shared" si="17"/>
        <v>1.6129032258064516E-2</v>
      </c>
      <c r="BV736" s="3"/>
      <c r="BW736" s="3"/>
      <c r="BX736" s="3"/>
      <c r="BY736" s="3"/>
      <c r="BZ736" s="3"/>
      <c r="CA736" s="3"/>
      <c r="CB736" s="3"/>
      <c r="CC736" s="3"/>
      <c r="CE736" s="3"/>
      <c r="CF736" s="3"/>
      <c r="CG736" s="1551">
        <f t="shared" si="39"/>
        <v>1</v>
      </c>
      <c r="CH736" s="1553"/>
      <c r="CI736" s="1554">
        <f t="shared" si="45"/>
        <v>2</v>
      </c>
      <c r="CJ736" s="1555"/>
      <c r="CK736" s="1551">
        <f t="shared" si="18"/>
        <v>0</v>
      </c>
      <c r="CL736" s="1553"/>
      <c r="CM736" s="1554">
        <f t="shared" si="46"/>
        <v>0</v>
      </c>
      <c r="CN736" s="1555"/>
      <c r="CO736" s="3"/>
      <c r="CP736" s="1544">
        <f t="shared" si="47"/>
        <v>0</v>
      </c>
      <c r="CQ736" s="1545"/>
      <c r="CR736" s="1545"/>
      <c r="CS736" s="1545"/>
      <c r="CT736" s="1546"/>
      <c r="CU736" s="1540">
        <f t="shared" si="48"/>
        <v>0</v>
      </c>
      <c r="CV736" s="1540"/>
      <c r="CW736" s="1540"/>
      <c r="CX736" s="1540"/>
      <c r="CY736" s="1540"/>
      <c r="CZ736" s="1540">
        <f t="shared" si="49"/>
        <v>0</v>
      </c>
      <c r="DA736" s="1540"/>
      <c r="DB736" s="1540"/>
      <c r="DC736" s="1540"/>
      <c r="DD736" s="1540"/>
      <c r="DE736" s="1540">
        <f t="shared" si="50"/>
        <v>2</v>
      </c>
      <c r="DF736" s="1540"/>
      <c r="DG736" s="1540"/>
      <c r="DH736" s="1540"/>
      <c r="DI736" s="1540"/>
      <c r="DJ736" s="1540">
        <f t="shared" si="51"/>
        <v>0</v>
      </c>
      <c r="DK736" s="1540"/>
      <c r="DL736" s="1540"/>
      <c r="DM736" s="1540"/>
      <c r="DN736" s="1540"/>
      <c r="DO736" s="1540">
        <f t="shared" si="52"/>
        <v>0</v>
      </c>
      <c r="DP736" s="1540"/>
      <c r="DQ736" s="1540"/>
      <c r="DR736" s="1540"/>
      <c r="DS736" s="1540"/>
      <c r="DT736" s="6"/>
      <c r="DU736" s="1538">
        <f t="shared" si="53"/>
        <v>0</v>
      </c>
      <c r="DV736" s="1538"/>
      <c r="DW736" s="1538"/>
      <c r="DX736" s="1538"/>
      <c r="DY736" s="1538"/>
      <c r="DZ736" s="1538">
        <f t="shared" si="54"/>
        <v>0</v>
      </c>
      <c r="EA736" s="1538"/>
      <c r="EB736" s="1538"/>
      <c r="EC736" s="1538"/>
      <c r="ED736" s="1538"/>
      <c r="EE736" s="1538">
        <f t="shared" si="55"/>
        <v>0</v>
      </c>
      <c r="EF736" s="1538"/>
      <c r="EG736" s="1538"/>
      <c r="EH736" s="1538"/>
      <c r="EI736" s="1538"/>
      <c r="EJ736" s="1538">
        <f t="shared" si="56"/>
        <v>0</v>
      </c>
      <c r="EK736" s="1538"/>
      <c r="EL736" s="1538"/>
      <c r="EM736" s="1538"/>
      <c r="EN736" s="1538"/>
      <c r="EO736" s="1538">
        <f t="shared" si="57"/>
        <v>0</v>
      </c>
      <c r="EP736" s="1538"/>
      <c r="EQ736" s="1538"/>
      <c r="ER736" s="1538"/>
      <c r="ES736" s="1538"/>
      <c r="ET736" s="1538">
        <f t="shared" si="58"/>
        <v>0</v>
      </c>
      <c r="EU736" s="1538"/>
      <c r="EV736" s="1538"/>
      <c r="EW736" s="1538"/>
      <c r="EX736" s="1538"/>
      <c r="EY736" s="4"/>
      <c r="EZ736" s="1551" t="str">
        <f t="shared" si="59"/>
        <v/>
      </c>
      <c r="FA736" s="1552"/>
      <c r="FB736" s="1552"/>
      <c r="FC736" s="1552"/>
      <c r="FD736" s="1553"/>
      <c r="FE736" s="1551" t="str">
        <f t="shared" si="60"/>
        <v/>
      </c>
      <c r="FF736" s="1552"/>
      <c r="FG736" s="1552"/>
      <c r="FH736" s="1552"/>
      <c r="FI736" s="1553"/>
      <c r="FJ736" s="1551" t="str">
        <f t="shared" si="61"/>
        <v/>
      </c>
      <c r="FK736" s="1552"/>
      <c r="FL736" s="1552"/>
      <c r="FM736" s="1552"/>
      <c r="FN736" s="1553"/>
      <c r="FO736" s="1551">
        <f t="shared" si="62"/>
        <v>2357</v>
      </c>
      <c r="FP736" s="1552"/>
      <c r="FQ736" s="1552"/>
      <c r="FR736" s="1552"/>
      <c r="FS736" s="1553"/>
      <c r="FT736" s="1551" t="str">
        <f t="shared" si="63"/>
        <v/>
      </c>
      <c r="FU736" s="1552"/>
      <c r="FV736" s="1552"/>
      <c r="FW736" s="1552"/>
      <c r="FX736" s="1553"/>
      <c r="FY736" s="1551" t="str">
        <f t="shared" si="64"/>
        <v/>
      </c>
      <c r="FZ736" s="1552"/>
      <c r="GA736" s="1552"/>
      <c r="GB736" s="1552"/>
      <c r="GC736" s="1553"/>
    </row>
    <row r="737" spans="1:185" ht="12.9" customHeight="1">
      <c r="A737" s="4"/>
      <c r="B737" s="1365" t="s">
        <v>164</v>
      </c>
      <c r="C737" s="1366"/>
      <c r="D737" s="1366"/>
      <c r="E737" s="1366"/>
      <c r="F737" s="1367"/>
      <c r="G737" s="1359">
        <v>3</v>
      </c>
      <c r="H737" s="1360"/>
      <c r="I737" s="1360"/>
      <c r="J737" s="1361"/>
      <c r="K737" s="1362">
        <v>992</v>
      </c>
      <c r="L737" s="1363"/>
      <c r="M737" s="1363"/>
      <c r="N737" s="1364"/>
      <c r="O737" s="1411">
        <v>1351</v>
      </c>
      <c r="P737" s="1412"/>
      <c r="Q737" s="1412"/>
      <c r="R737" s="1412"/>
      <c r="S737" s="1413"/>
      <c r="T737" s="1411">
        <v>157</v>
      </c>
      <c r="U737" s="1412"/>
      <c r="V737" s="1412"/>
      <c r="W737" s="1413"/>
      <c r="X737" s="1414">
        <f t="shared" si="41"/>
        <v>1508</v>
      </c>
      <c r="Y737" s="1410"/>
      <c r="Z737" s="1410"/>
      <c r="AA737" s="1410"/>
      <c r="AB737" s="1415"/>
      <c r="AC737" s="1416">
        <v>0.3</v>
      </c>
      <c r="AD737" s="1417"/>
      <c r="AE737" s="1417"/>
      <c r="AF737" s="1417"/>
      <c r="AG737" s="1418"/>
      <c r="AH737" s="1443">
        <f t="shared" si="38"/>
        <v>0.29992044550517105</v>
      </c>
      <c r="AI737" s="1444"/>
      <c r="AJ737" s="1445"/>
      <c r="AK737" s="1365" t="s">
        <v>591</v>
      </c>
      <c r="AL737" s="1366"/>
      <c r="AM737" s="1366"/>
      <c r="AN737" s="1366"/>
      <c r="AO737" s="1367"/>
      <c r="AP737" s="3"/>
      <c r="AQ737" s="3"/>
      <c r="AR737" s="3"/>
      <c r="AS737" s="3"/>
      <c r="AY737" s="1080"/>
      <c r="AZ737" s="118">
        <f t="shared" si="42"/>
        <v>5028</v>
      </c>
      <c r="BA737" s="3"/>
      <c r="BB737" s="3"/>
      <c r="BC737" s="3"/>
      <c r="BD737" s="3"/>
      <c r="BE737" s="204"/>
      <c r="BF737" s="294">
        <f t="shared" si="43"/>
        <v>3</v>
      </c>
      <c r="BG737" s="297">
        <f t="shared" si="13"/>
        <v>4.8387096774193547E-2</v>
      </c>
      <c r="BH737" s="298">
        <f t="shared" si="14"/>
        <v>1.4516129032258063E-2</v>
      </c>
      <c r="BI737" s="3"/>
      <c r="BJ737" s="3"/>
      <c r="BK737" s="3"/>
      <c r="BL737" s="3"/>
      <c r="BM737" s="3"/>
      <c r="BN737" s="3"/>
      <c r="BS737" s="294">
        <f t="shared" si="44"/>
        <v>3</v>
      </c>
      <c r="BT737" s="297">
        <f t="shared" si="16"/>
        <v>4.8387096774193547E-2</v>
      </c>
      <c r="BU737" s="298">
        <f t="shared" si="17"/>
        <v>1.4512279621217953E-2</v>
      </c>
      <c r="BV737" s="3"/>
      <c r="BW737" s="3"/>
      <c r="BX737" s="3"/>
      <c r="BY737" s="3"/>
      <c r="BZ737" s="3"/>
      <c r="CA737" s="3"/>
      <c r="CB737" s="3"/>
      <c r="CC737" s="3"/>
      <c r="CE737" s="3"/>
      <c r="CF737" s="3"/>
      <c r="CG737" s="1551">
        <f t="shared" si="39"/>
        <v>0</v>
      </c>
      <c r="CH737" s="1553"/>
      <c r="CI737" s="1554">
        <f t="shared" si="45"/>
        <v>0</v>
      </c>
      <c r="CJ737" s="1555"/>
      <c r="CK737" s="1551">
        <f t="shared" si="18"/>
        <v>1</v>
      </c>
      <c r="CL737" s="1553"/>
      <c r="CM737" s="1554">
        <f t="shared" si="46"/>
        <v>3</v>
      </c>
      <c r="CN737" s="1555"/>
      <c r="CO737" s="3"/>
      <c r="CP737" s="1544">
        <f t="shared" si="47"/>
        <v>0</v>
      </c>
      <c r="CQ737" s="1545"/>
      <c r="CR737" s="1545"/>
      <c r="CS737" s="1545"/>
      <c r="CT737" s="1546"/>
      <c r="CU737" s="1540">
        <f t="shared" si="48"/>
        <v>0</v>
      </c>
      <c r="CV737" s="1540"/>
      <c r="CW737" s="1540"/>
      <c r="CX737" s="1540"/>
      <c r="CY737" s="1540"/>
      <c r="CZ737" s="1540">
        <f t="shared" si="49"/>
        <v>0</v>
      </c>
      <c r="DA737" s="1540"/>
      <c r="DB737" s="1540"/>
      <c r="DC737" s="1540"/>
      <c r="DD737" s="1540"/>
      <c r="DE737" s="1540">
        <f t="shared" si="50"/>
        <v>3</v>
      </c>
      <c r="DF737" s="1540"/>
      <c r="DG737" s="1540"/>
      <c r="DH737" s="1540"/>
      <c r="DI737" s="1540"/>
      <c r="DJ737" s="1540">
        <f t="shared" si="51"/>
        <v>0</v>
      </c>
      <c r="DK737" s="1540"/>
      <c r="DL737" s="1540"/>
      <c r="DM737" s="1540"/>
      <c r="DN737" s="1540"/>
      <c r="DO737" s="1540">
        <f t="shared" si="52"/>
        <v>0</v>
      </c>
      <c r="DP737" s="1540"/>
      <c r="DQ737" s="1540"/>
      <c r="DR737" s="1540"/>
      <c r="DS737" s="1540"/>
      <c r="DT737" s="6"/>
      <c r="DU737" s="1538">
        <f t="shared" si="53"/>
        <v>0</v>
      </c>
      <c r="DV737" s="1538"/>
      <c r="DW737" s="1538"/>
      <c r="DX737" s="1538"/>
      <c r="DY737" s="1538"/>
      <c r="DZ737" s="1538">
        <f t="shared" si="54"/>
        <v>0</v>
      </c>
      <c r="EA737" s="1538"/>
      <c r="EB737" s="1538"/>
      <c r="EC737" s="1538"/>
      <c r="ED737" s="1538"/>
      <c r="EE737" s="1538">
        <f t="shared" si="55"/>
        <v>0</v>
      </c>
      <c r="EF737" s="1538"/>
      <c r="EG737" s="1538"/>
      <c r="EH737" s="1538"/>
      <c r="EI737" s="1538"/>
      <c r="EJ737" s="1538">
        <f t="shared" si="56"/>
        <v>3</v>
      </c>
      <c r="EK737" s="1538"/>
      <c r="EL737" s="1538"/>
      <c r="EM737" s="1538"/>
      <c r="EN737" s="1538"/>
      <c r="EO737" s="1538">
        <f t="shared" si="57"/>
        <v>0</v>
      </c>
      <c r="EP737" s="1538"/>
      <c r="EQ737" s="1538"/>
      <c r="ER737" s="1538"/>
      <c r="ES737" s="1538"/>
      <c r="ET737" s="1538">
        <f t="shared" si="58"/>
        <v>0</v>
      </c>
      <c r="EU737" s="1538"/>
      <c r="EV737" s="1538"/>
      <c r="EW737" s="1538"/>
      <c r="EX737" s="1538"/>
      <c r="EZ737" s="1551" t="str">
        <f t="shared" si="59"/>
        <v/>
      </c>
      <c r="FA737" s="1552"/>
      <c r="FB737" s="1552"/>
      <c r="FC737" s="1552"/>
      <c r="FD737" s="1553"/>
      <c r="FE737" s="1551" t="str">
        <f t="shared" si="60"/>
        <v/>
      </c>
      <c r="FF737" s="1552"/>
      <c r="FG737" s="1552"/>
      <c r="FH737" s="1552"/>
      <c r="FI737" s="1553"/>
      <c r="FJ737" s="1551" t="str">
        <f t="shared" si="61"/>
        <v/>
      </c>
      <c r="FK737" s="1552"/>
      <c r="FL737" s="1552"/>
      <c r="FM737" s="1552"/>
      <c r="FN737" s="1553"/>
      <c r="FO737" s="1551">
        <f t="shared" si="62"/>
        <v>1351</v>
      </c>
      <c r="FP737" s="1552"/>
      <c r="FQ737" s="1552"/>
      <c r="FR737" s="1552"/>
      <c r="FS737" s="1553"/>
      <c r="FT737" s="1551" t="str">
        <f t="shared" si="63"/>
        <v/>
      </c>
      <c r="FU737" s="1552"/>
      <c r="FV737" s="1552"/>
      <c r="FW737" s="1552"/>
      <c r="FX737" s="1553"/>
      <c r="FY737" s="1551" t="str">
        <f t="shared" si="64"/>
        <v/>
      </c>
      <c r="FZ737" s="1552"/>
      <c r="GA737" s="1552"/>
      <c r="GB737" s="1552"/>
      <c r="GC737" s="1553"/>
    </row>
    <row r="738" spans="1:185" ht="12.9" customHeight="1">
      <c r="B738" s="1365"/>
      <c r="C738" s="1366"/>
      <c r="D738" s="1366"/>
      <c r="E738" s="1366"/>
      <c r="F738" s="1367"/>
      <c r="G738" s="1359"/>
      <c r="H738" s="1360"/>
      <c r="I738" s="1360"/>
      <c r="J738" s="1361"/>
      <c r="K738" s="1362"/>
      <c r="L738" s="1363"/>
      <c r="M738" s="1363"/>
      <c r="N738" s="1364"/>
      <c r="O738" s="1411"/>
      <c r="P738" s="1412"/>
      <c r="Q738" s="1412"/>
      <c r="R738" s="1412"/>
      <c r="S738" s="1413"/>
      <c r="T738" s="1411"/>
      <c r="U738" s="1412"/>
      <c r="V738" s="1412"/>
      <c r="W738" s="1413"/>
      <c r="X738" s="1414">
        <f t="shared" si="41"/>
        <v>0</v>
      </c>
      <c r="Y738" s="1410"/>
      <c r="Z738" s="1410"/>
      <c r="AA738" s="1410"/>
      <c r="AB738" s="1415"/>
      <c r="AC738" s="1416"/>
      <c r="AD738" s="1417"/>
      <c r="AE738" s="1417"/>
      <c r="AF738" s="1417"/>
      <c r="AG738" s="1418"/>
      <c r="AH738" s="1443" t="str">
        <f t="shared" si="38"/>
        <v/>
      </c>
      <c r="AI738" s="1444"/>
      <c r="AJ738" s="1445"/>
      <c r="AK738" s="1365" t="s">
        <v>591</v>
      </c>
      <c r="AL738" s="1366"/>
      <c r="AM738" s="1366"/>
      <c r="AN738" s="1366"/>
      <c r="AO738" s="1367"/>
      <c r="AP738" s="3"/>
      <c r="AQ738" s="3"/>
      <c r="AR738" s="3"/>
      <c r="AS738" s="3"/>
      <c r="AY738" s="1080"/>
      <c r="AZ738" s="118" t="str">
        <f t="shared" si="42"/>
        <v>N/A</v>
      </c>
      <c r="BA738" s="3"/>
      <c r="BB738" s="3"/>
      <c r="BC738" s="3"/>
      <c r="BD738" s="3"/>
      <c r="BE738" s="204"/>
      <c r="BF738" s="294">
        <f t="shared" si="43"/>
        <v>0</v>
      </c>
      <c r="BG738" s="297">
        <f t="shared" si="13"/>
        <v>0</v>
      </c>
      <c r="BH738" s="298" t="str">
        <f t="shared" si="14"/>
        <v/>
      </c>
      <c r="BI738" s="3"/>
      <c r="BJ738" s="3"/>
      <c r="BK738" s="3"/>
      <c r="BL738" s="3"/>
      <c r="BM738" s="3"/>
      <c r="BN738" s="3"/>
      <c r="BS738" s="294">
        <f t="shared" si="44"/>
        <v>0</v>
      </c>
      <c r="BT738" s="297">
        <f t="shared" si="16"/>
        <v>0</v>
      </c>
      <c r="BU738" s="298" t="str">
        <f t="shared" si="17"/>
        <v/>
      </c>
      <c r="BV738" s="3"/>
      <c r="BW738" s="3"/>
      <c r="BX738" s="3"/>
      <c r="BY738" s="3"/>
      <c r="BZ738" s="3"/>
      <c r="CA738" s="3"/>
      <c r="CB738" s="3"/>
      <c r="CC738" s="3"/>
      <c r="CE738" s="3"/>
      <c r="CF738" s="3"/>
      <c r="CG738" s="1551">
        <f t="shared" si="39"/>
        <v>0</v>
      </c>
      <c r="CH738" s="1553"/>
      <c r="CI738" s="1554">
        <f t="shared" si="45"/>
        <v>0</v>
      </c>
      <c r="CJ738" s="1555"/>
      <c r="CK738" s="1551">
        <f t="shared" si="18"/>
        <v>0</v>
      </c>
      <c r="CL738" s="1553"/>
      <c r="CM738" s="1554">
        <f t="shared" si="46"/>
        <v>0</v>
      </c>
      <c r="CN738" s="1555"/>
      <c r="CO738" s="3"/>
      <c r="CP738" s="1544">
        <f t="shared" si="47"/>
        <v>0</v>
      </c>
      <c r="CQ738" s="1545"/>
      <c r="CR738" s="1545"/>
      <c r="CS738" s="1545"/>
      <c r="CT738" s="1546"/>
      <c r="CU738" s="1540">
        <f t="shared" si="48"/>
        <v>0</v>
      </c>
      <c r="CV738" s="1540"/>
      <c r="CW738" s="1540"/>
      <c r="CX738" s="1540"/>
      <c r="CY738" s="1540"/>
      <c r="CZ738" s="1540">
        <f t="shared" si="49"/>
        <v>0</v>
      </c>
      <c r="DA738" s="1540"/>
      <c r="DB738" s="1540"/>
      <c r="DC738" s="1540"/>
      <c r="DD738" s="1540"/>
      <c r="DE738" s="1540">
        <f t="shared" si="50"/>
        <v>0</v>
      </c>
      <c r="DF738" s="1540"/>
      <c r="DG738" s="1540"/>
      <c r="DH738" s="1540"/>
      <c r="DI738" s="1540"/>
      <c r="DJ738" s="1540">
        <f t="shared" si="51"/>
        <v>0</v>
      </c>
      <c r="DK738" s="1540"/>
      <c r="DL738" s="1540"/>
      <c r="DM738" s="1540"/>
      <c r="DN738" s="1540"/>
      <c r="DO738" s="1540">
        <f t="shared" si="52"/>
        <v>0</v>
      </c>
      <c r="DP738" s="1540"/>
      <c r="DQ738" s="1540"/>
      <c r="DR738" s="1540"/>
      <c r="DS738" s="1540"/>
      <c r="DT738" s="6"/>
      <c r="DU738" s="1538">
        <f t="shared" si="53"/>
        <v>0</v>
      </c>
      <c r="DV738" s="1538"/>
      <c r="DW738" s="1538"/>
      <c r="DX738" s="1538"/>
      <c r="DY738" s="1538"/>
      <c r="DZ738" s="1538">
        <f t="shared" si="54"/>
        <v>0</v>
      </c>
      <c r="EA738" s="1538"/>
      <c r="EB738" s="1538"/>
      <c r="EC738" s="1538"/>
      <c r="ED738" s="1538"/>
      <c r="EE738" s="1538">
        <f t="shared" si="55"/>
        <v>0</v>
      </c>
      <c r="EF738" s="1538"/>
      <c r="EG738" s="1538"/>
      <c r="EH738" s="1538"/>
      <c r="EI738" s="1538"/>
      <c r="EJ738" s="1538">
        <f t="shared" si="56"/>
        <v>0</v>
      </c>
      <c r="EK738" s="1538"/>
      <c r="EL738" s="1538"/>
      <c r="EM738" s="1538"/>
      <c r="EN738" s="1538"/>
      <c r="EO738" s="1538">
        <f t="shared" si="57"/>
        <v>0</v>
      </c>
      <c r="EP738" s="1538"/>
      <c r="EQ738" s="1538"/>
      <c r="ER738" s="1538"/>
      <c r="ES738" s="1538"/>
      <c r="ET738" s="1538">
        <f t="shared" si="58"/>
        <v>0</v>
      </c>
      <c r="EU738" s="1538"/>
      <c r="EV738" s="1538"/>
      <c r="EW738" s="1538"/>
      <c r="EX738" s="1538"/>
      <c r="EZ738" s="1551" t="str">
        <f t="shared" si="59"/>
        <v/>
      </c>
      <c r="FA738" s="1552"/>
      <c r="FB738" s="1552"/>
      <c r="FC738" s="1552"/>
      <c r="FD738" s="1553"/>
      <c r="FE738" s="1551" t="str">
        <f t="shared" si="60"/>
        <v/>
      </c>
      <c r="FF738" s="1552"/>
      <c r="FG738" s="1552"/>
      <c r="FH738" s="1552"/>
      <c r="FI738" s="1553"/>
      <c r="FJ738" s="1551" t="str">
        <f t="shared" si="61"/>
        <v/>
      </c>
      <c r="FK738" s="1552"/>
      <c r="FL738" s="1552"/>
      <c r="FM738" s="1552"/>
      <c r="FN738" s="1553"/>
      <c r="FO738" s="1551" t="str">
        <f t="shared" si="62"/>
        <v/>
      </c>
      <c r="FP738" s="1552"/>
      <c r="FQ738" s="1552"/>
      <c r="FR738" s="1552"/>
      <c r="FS738" s="1553"/>
      <c r="FT738" s="1551" t="str">
        <f t="shared" si="63"/>
        <v/>
      </c>
      <c r="FU738" s="1552"/>
      <c r="FV738" s="1552"/>
      <c r="FW738" s="1552"/>
      <c r="FX738" s="1553"/>
      <c r="FY738" s="1551" t="str">
        <f t="shared" si="64"/>
        <v/>
      </c>
      <c r="FZ738" s="1552"/>
      <c r="GA738" s="1552"/>
      <c r="GB738" s="1552"/>
      <c r="GC738" s="1553"/>
    </row>
    <row r="739" spans="1:185" ht="12.9" customHeight="1">
      <c r="B739" s="1365"/>
      <c r="C739" s="1366"/>
      <c r="D739" s="1366"/>
      <c r="E739" s="1366"/>
      <c r="F739" s="1367"/>
      <c r="G739" s="1359"/>
      <c r="H739" s="1360"/>
      <c r="I739" s="1360"/>
      <c r="J739" s="1361"/>
      <c r="K739" s="1362"/>
      <c r="L739" s="1363"/>
      <c r="M739" s="1363"/>
      <c r="N739" s="1364"/>
      <c r="O739" s="1411"/>
      <c r="P739" s="1412"/>
      <c r="Q739" s="1412"/>
      <c r="R739" s="1412"/>
      <c r="S739" s="1413"/>
      <c r="T739" s="1411"/>
      <c r="U739" s="1412"/>
      <c r="V739" s="1412"/>
      <c r="W739" s="1413"/>
      <c r="X739" s="1414">
        <f t="shared" si="10"/>
        <v>0</v>
      </c>
      <c r="Y739" s="1410"/>
      <c r="Z739" s="1410"/>
      <c r="AA739" s="1410"/>
      <c r="AB739" s="1415"/>
      <c r="AC739" s="1416"/>
      <c r="AD739" s="1417"/>
      <c r="AE739" s="1417"/>
      <c r="AF739" s="1417"/>
      <c r="AG739" s="1418"/>
      <c r="AH739" s="1443" t="str">
        <f t="shared" si="38"/>
        <v/>
      </c>
      <c r="AI739" s="1444"/>
      <c r="AJ739" s="1445"/>
      <c r="AK739" s="1365" t="s">
        <v>591</v>
      </c>
      <c r="AL739" s="1366"/>
      <c r="AM739" s="1366"/>
      <c r="AN739" s="1366"/>
      <c r="AO739" s="136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51">
        <f t="shared" si="39"/>
        <v>0</v>
      </c>
      <c r="CH739" s="1553"/>
      <c r="CI739" s="1554">
        <f t="shared" si="40"/>
        <v>0</v>
      </c>
      <c r="CJ739" s="1555"/>
      <c r="CK739" s="1551">
        <f t="shared" si="18"/>
        <v>0</v>
      </c>
      <c r="CL739" s="1553"/>
      <c r="CM739" s="1554">
        <f t="shared" si="19"/>
        <v>0</v>
      </c>
      <c r="CN739" s="1555"/>
      <c r="CO739" s="3"/>
      <c r="CP739" s="1544">
        <f t="shared" si="20"/>
        <v>0</v>
      </c>
      <c r="CQ739" s="1545"/>
      <c r="CR739" s="1545"/>
      <c r="CS739" s="1545"/>
      <c r="CT739" s="1546"/>
      <c r="CU739" s="1540">
        <f t="shared" si="21"/>
        <v>0</v>
      </c>
      <c r="CV739" s="1540"/>
      <c r="CW739" s="1540"/>
      <c r="CX739" s="1540"/>
      <c r="CY739" s="1540"/>
      <c r="CZ739" s="1540">
        <f t="shared" si="22"/>
        <v>0</v>
      </c>
      <c r="DA739" s="1540"/>
      <c r="DB739" s="1540"/>
      <c r="DC739" s="1540"/>
      <c r="DD739" s="1540"/>
      <c r="DE739" s="1540">
        <f t="shared" si="23"/>
        <v>0</v>
      </c>
      <c r="DF739" s="1540"/>
      <c r="DG739" s="1540"/>
      <c r="DH739" s="1540"/>
      <c r="DI739" s="1540"/>
      <c r="DJ739" s="1540">
        <f t="shared" si="24"/>
        <v>0</v>
      </c>
      <c r="DK739" s="1540"/>
      <c r="DL739" s="1540"/>
      <c r="DM739" s="1540"/>
      <c r="DN739" s="1540"/>
      <c r="DO739" s="1540">
        <f t="shared" si="25"/>
        <v>0</v>
      </c>
      <c r="DP739" s="1540"/>
      <c r="DQ739" s="1540"/>
      <c r="DR739" s="1540"/>
      <c r="DS739" s="1540"/>
      <c r="DT739" s="6"/>
      <c r="DU739" s="1538">
        <f t="shared" si="26"/>
        <v>0</v>
      </c>
      <c r="DV739" s="1538"/>
      <c r="DW739" s="1538"/>
      <c r="DX739" s="1538"/>
      <c r="DY739" s="1538"/>
      <c r="DZ739" s="1538">
        <f t="shared" si="27"/>
        <v>0</v>
      </c>
      <c r="EA739" s="1538"/>
      <c r="EB739" s="1538"/>
      <c r="EC739" s="1538"/>
      <c r="ED739" s="1538"/>
      <c r="EE739" s="1538">
        <f t="shared" si="28"/>
        <v>0</v>
      </c>
      <c r="EF739" s="1538"/>
      <c r="EG739" s="1538"/>
      <c r="EH739" s="1538"/>
      <c r="EI739" s="1538"/>
      <c r="EJ739" s="1538">
        <f t="shared" si="29"/>
        <v>0</v>
      </c>
      <c r="EK739" s="1538"/>
      <c r="EL739" s="1538"/>
      <c r="EM739" s="1538"/>
      <c r="EN739" s="1538"/>
      <c r="EO739" s="1538">
        <f t="shared" si="30"/>
        <v>0</v>
      </c>
      <c r="EP739" s="1538"/>
      <c r="EQ739" s="1538"/>
      <c r="ER739" s="1538"/>
      <c r="ES739" s="1538"/>
      <c r="ET739" s="1538">
        <f t="shared" si="31"/>
        <v>0</v>
      </c>
      <c r="EU739" s="1538"/>
      <c r="EV739" s="1538"/>
      <c r="EW739" s="1538"/>
      <c r="EX739" s="1538"/>
      <c r="EZ739" s="1551" t="str">
        <f t="shared" si="32"/>
        <v/>
      </c>
      <c r="FA739" s="1552"/>
      <c r="FB739" s="1552"/>
      <c r="FC739" s="1552"/>
      <c r="FD739" s="1553"/>
      <c r="FE739" s="1551" t="str">
        <f t="shared" si="33"/>
        <v/>
      </c>
      <c r="FF739" s="1552"/>
      <c r="FG739" s="1552"/>
      <c r="FH739" s="1552"/>
      <c r="FI739" s="1553"/>
      <c r="FJ739" s="1551" t="str">
        <f t="shared" si="34"/>
        <v/>
      </c>
      <c r="FK739" s="1552"/>
      <c r="FL739" s="1552"/>
      <c r="FM739" s="1552"/>
      <c r="FN739" s="1553"/>
      <c r="FO739" s="1551" t="str">
        <f t="shared" si="35"/>
        <v/>
      </c>
      <c r="FP739" s="1552"/>
      <c r="FQ739" s="1552"/>
      <c r="FR739" s="1552"/>
      <c r="FS739" s="1553"/>
      <c r="FT739" s="1551" t="str">
        <f t="shared" si="36"/>
        <v/>
      </c>
      <c r="FU739" s="1552"/>
      <c r="FV739" s="1552"/>
      <c r="FW739" s="1552"/>
      <c r="FX739" s="1553"/>
      <c r="FY739" s="1551" t="str">
        <f t="shared" si="37"/>
        <v/>
      </c>
      <c r="FZ739" s="1552"/>
      <c r="GA739" s="1552"/>
      <c r="GB739" s="1552"/>
      <c r="GC739" s="1553"/>
    </row>
    <row r="740" spans="1:185" ht="12.9" customHeight="1">
      <c r="B740" s="1365"/>
      <c r="C740" s="1366"/>
      <c r="D740" s="1366"/>
      <c r="E740" s="1366"/>
      <c r="F740" s="1367"/>
      <c r="G740" s="1359"/>
      <c r="H740" s="1360"/>
      <c r="I740" s="1360"/>
      <c r="J740" s="1361"/>
      <c r="K740" s="1362"/>
      <c r="L740" s="1363"/>
      <c r="M740" s="1363"/>
      <c r="N740" s="1364"/>
      <c r="O740" s="1411"/>
      <c r="P740" s="1412"/>
      <c r="Q740" s="1412"/>
      <c r="R740" s="1412"/>
      <c r="S740" s="1413"/>
      <c r="T740" s="1411"/>
      <c r="U740" s="1412"/>
      <c r="V740" s="1412"/>
      <c r="W740" s="1413"/>
      <c r="X740" s="1414">
        <f t="shared" si="10"/>
        <v>0</v>
      </c>
      <c r="Y740" s="1410"/>
      <c r="Z740" s="1410"/>
      <c r="AA740" s="1410"/>
      <c r="AB740" s="1415"/>
      <c r="AC740" s="1416"/>
      <c r="AD740" s="1417"/>
      <c r="AE740" s="1417"/>
      <c r="AF740" s="1417"/>
      <c r="AG740" s="1418"/>
      <c r="AH740" s="1443" t="str">
        <f t="shared" si="38"/>
        <v/>
      </c>
      <c r="AI740" s="1444"/>
      <c r="AJ740" s="1445"/>
      <c r="AK740" s="1365" t="s">
        <v>591</v>
      </c>
      <c r="AL740" s="1366"/>
      <c r="AM740" s="1366"/>
      <c r="AN740" s="1366"/>
      <c r="AO740" s="136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51">
        <f t="shared" si="39"/>
        <v>0</v>
      </c>
      <c r="CH740" s="1553"/>
      <c r="CI740" s="1554">
        <f t="shared" si="40"/>
        <v>0</v>
      </c>
      <c r="CJ740" s="1555"/>
      <c r="CK740" s="1551">
        <f t="shared" si="18"/>
        <v>0</v>
      </c>
      <c r="CL740" s="1553"/>
      <c r="CM740" s="1554">
        <f t="shared" si="19"/>
        <v>0</v>
      </c>
      <c r="CN740" s="1555"/>
      <c r="CO740" s="3"/>
      <c r="CP740" s="1544">
        <f t="shared" si="20"/>
        <v>0</v>
      </c>
      <c r="CQ740" s="1545"/>
      <c r="CR740" s="1545"/>
      <c r="CS740" s="1545"/>
      <c r="CT740" s="1546"/>
      <c r="CU740" s="1540">
        <f t="shared" si="21"/>
        <v>0</v>
      </c>
      <c r="CV740" s="1540"/>
      <c r="CW740" s="1540"/>
      <c r="CX740" s="1540"/>
      <c r="CY740" s="1540"/>
      <c r="CZ740" s="1540">
        <f t="shared" si="22"/>
        <v>0</v>
      </c>
      <c r="DA740" s="1540"/>
      <c r="DB740" s="1540"/>
      <c r="DC740" s="1540"/>
      <c r="DD740" s="1540"/>
      <c r="DE740" s="1540">
        <f t="shared" si="23"/>
        <v>0</v>
      </c>
      <c r="DF740" s="1540"/>
      <c r="DG740" s="1540"/>
      <c r="DH740" s="1540"/>
      <c r="DI740" s="1540"/>
      <c r="DJ740" s="1540">
        <f t="shared" si="24"/>
        <v>0</v>
      </c>
      <c r="DK740" s="1540"/>
      <c r="DL740" s="1540"/>
      <c r="DM740" s="1540"/>
      <c r="DN740" s="1540"/>
      <c r="DO740" s="1540">
        <f t="shared" si="25"/>
        <v>0</v>
      </c>
      <c r="DP740" s="1540"/>
      <c r="DQ740" s="1540"/>
      <c r="DR740" s="1540"/>
      <c r="DS740" s="1540"/>
      <c r="DT740" s="6"/>
      <c r="DU740" s="1538">
        <f t="shared" si="26"/>
        <v>0</v>
      </c>
      <c r="DV740" s="1538"/>
      <c r="DW740" s="1538"/>
      <c r="DX740" s="1538"/>
      <c r="DY740" s="1538"/>
      <c r="DZ740" s="1538">
        <f t="shared" si="27"/>
        <v>0</v>
      </c>
      <c r="EA740" s="1538"/>
      <c r="EB740" s="1538"/>
      <c r="EC740" s="1538"/>
      <c r="ED740" s="1538"/>
      <c r="EE740" s="1538">
        <f t="shared" si="28"/>
        <v>0</v>
      </c>
      <c r="EF740" s="1538"/>
      <c r="EG740" s="1538"/>
      <c r="EH740" s="1538"/>
      <c r="EI740" s="1538"/>
      <c r="EJ740" s="1538">
        <f t="shared" si="29"/>
        <v>0</v>
      </c>
      <c r="EK740" s="1538"/>
      <c r="EL740" s="1538"/>
      <c r="EM740" s="1538"/>
      <c r="EN740" s="1538"/>
      <c r="EO740" s="1538">
        <f t="shared" si="30"/>
        <v>0</v>
      </c>
      <c r="EP740" s="1538"/>
      <c r="EQ740" s="1538"/>
      <c r="ER740" s="1538"/>
      <c r="ES740" s="1538"/>
      <c r="ET740" s="1538">
        <f t="shared" si="31"/>
        <v>0</v>
      </c>
      <c r="EU740" s="1538"/>
      <c r="EV740" s="1538"/>
      <c r="EW740" s="1538"/>
      <c r="EX740" s="1538"/>
      <c r="EZ740" s="1551" t="str">
        <f t="shared" si="32"/>
        <v/>
      </c>
      <c r="FA740" s="1552"/>
      <c r="FB740" s="1552"/>
      <c r="FC740" s="1552"/>
      <c r="FD740" s="1553"/>
      <c r="FE740" s="1551" t="str">
        <f t="shared" si="33"/>
        <v/>
      </c>
      <c r="FF740" s="1552"/>
      <c r="FG740" s="1552"/>
      <c r="FH740" s="1552"/>
      <c r="FI740" s="1553"/>
      <c r="FJ740" s="1551" t="str">
        <f t="shared" si="34"/>
        <v/>
      </c>
      <c r="FK740" s="1552"/>
      <c r="FL740" s="1552"/>
      <c r="FM740" s="1552"/>
      <c r="FN740" s="1553"/>
      <c r="FO740" s="1551" t="str">
        <f t="shared" si="35"/>
        <v/>
      </c>
      <c r="FP740" s="1552"/>
      <c r="FQ740" s="1552"/>
      <c r="FR740" s="1552"/>
      <c r="FS740" s="1553"/>
      <c r="FT740" s="1551" t="str">
        <f t="shared" si="36"/>
        <v/>
      </c>
      <c r="FU740" s="1552"/>
      <c r="FV740" s="1552"/>
      <c r="FW740" s="1552"/>
      <c r="FX740" s="1553"/>
      <c r="FY740" s="1551" t="str">
        <f t="shared" si="37"/>
        <v/>
      </c>
      <c r="FZ740" s="1552"/>
      <c r="GA740" s="1552"/>
      <c r="GB740" s="1552"/>
      <c r="GC740" s="1553"/>
    </row>
    <row r="741" spans="1:185" ht="12.9" customHeight="1">
      <c r="B741" s="1365"/>
      <c r="C741" s="1366"/>
      <c r="D741" s="1366"/>
      <c r="E741" s="1366"/>
      <c r="F741" s="1367"/>
      <c r="G741" s="1359"/>
      <c r="H741" s="1360"/>
      <c r="I741" s="1360"/>
      <c r="J741" s="1361"/>
      <c r="K741" s="1362"/>
      <c r="L741" s="1363"/>
      <c r="M741" s="1363"/>
      <c r="N741" s="1364"/>
      <c r="O741" s="1411"/>
      <c r="P741" s="1412"/>
      <c r="Q741" s="1412"/>
      <c r="R741" s="1412"/>
      <c r="S741" s="1413"/>
      <c r="T741" s="1411"/>
      <c r="U741" s="1412"/>
      <c r="V741" s="1412"/>
      <c r="W741" s="1413"/>
      <c r="X741" s="1414">
        <f t="shared" si="10"/>
        <v>0</v>
      </c>
      <c r="Y741" s="1410"/>
      <c r="Z741" s="1410"/>
      <c r="AA741" s="1410"/>
      <c r="AB741" s="1415"/>
      <c r="AC741" s="1416"/>
      <c r="AD741" s="1417"/>
      <c r="AE741" s="1417"/>
      <c r="AF741" s="1417"/>
      <c r="AG741" s="1418"/>
      <c r="AH741" s="1443" t="str">
        <f t="shared" si="38"/>
        <v/>
      </c>
      <c r="AI741" s="1444"/>
      <c r="AJ741" s="1445"/>
      <c r="AK741" s="1365" t="s">
        <v>591</v>
      </c>
      <c r="AL741" s="1366"/>
      <c r="AM741" s="1366"/>
      <c r="AN741" s="1366"/>
      <c r="AO741" s="136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51">
        <f t="shared" si="39"/>
        <v>0</v>
      </c>
      <c r="CH741" s="1553"/>
      <c r="CI741" s="1554">
        <f t="shared" si="40"/>
        <v>0</v>
      </c>
      <c r="CJ741" s="1555"/>
      <c r="CK741" s="1551">
        <f t="shared" si="18"/>
        <v>0</v>
      </c>
      <c r="CL741" s="1553"/>
      <c r="CM741" s="1554">
        <f t="shared" si="19"/>
        <v>0</v>
      </c>
      <c r="CN741" s="1555"/>
      <c r="CO741" s="3"/>
      <c r="CP741" s="1544">
        <f t="shared" si="20"/>
        <v>0</v>
      </c>
      <c r="CQ741" s="1545"/>
      <c r="CR741" s="1545"/>
      <c r="CS741" s="1545"/>
      <c r="CT741" s="1546"/>
      <c r="CU741" s="1540">
        <f t="shared" si="21"/>
        <v>0</v>
      </c>
      <c r="CV741" s="1540"/>
      <c r="CW741" s="1540"/>
      <c r="CX741" s="1540"/>
      <c r="CY741" s="1540"/>
      <c r="CZ741" s="1540">
        <f t="shared" si="22"/>
        <v>0</v>
      </c>
      <c r="DA741" s="1540"/>
      <c r="DB741" s="1540"/>
      <c r="DC741" s="1540"/>
      <c r="DD741" s="1540"/>
      <c r="DE741" s="1540">
        <f t="shared" si="23"/>
        <v>0</v>
      </c>
      <c r="DF741" s="1540"/>
      <c r="DG741" s="1540"/>
      <c r="DH741" s="1540"/>
      <c r="DI741" s="1540"/>
      <c r="DJ741" s="1540">
        <f t="shared" si="24"/>
        <v>0</v>
      </c>
      <c r="DK741" s="1540"/>
      <c r="DL741" s="1540"/>
      <c r="DM741" s="1540"/>
      <c r="DN741" s="1540"/>
      <c r="DO741" s="1540">
        <f t="shared" si="25"/>
        <v>0</v>
      </c>
      <c r="DP741" s="1540"/>
      <c r="DQ741" s="1540"/>
      <c r="DR741" s="1540"/>
      <c r="DS741" s="1540"/>
      <c r="DT741" s="6"/>
      <c r="DU741" s="1538">
        <f t="shared" si="26"/>
        <v>0</v>
      </c>
      <c r="DV741" s="1538"/>
      <c r="DW741" s="1538"/>
      <c r="DX741" s="1538"/>
      <c r="DY741" s="1538"/>
      <c r="DZ741" s="1538">
        <f t="shared" si="27"/>
        <v>0</v>
      </c>
      <c r="EA741" s="1538"/>
      <c r="EB741" s="1538"/>
      <c r="EC741" s="1538"/>
      <c r="ED741" s="1538"/>
      <c r="EE741" s="1538">
        <f t="shared" si="28"/>
        <v>0</v>
      </c>
      <c r="EF741" s="1538"/>
      <c r="EG741" s="1538"/>
      <c r="EH741" s="1538"/>
      <c r="EI741" s="1538"/>
      <c r="EJ741" s="1538">
        <f t="shared" si="29"/>
        <v>0</v>
      </c>
      <c r="EK741" s="1538"/>
      <c r="EL741" s="1538"/>
      <c r="EM741" s="1538"/>
      <c r="EN741" s="1538"/>
      <c r="EO741" s="1538">
        <f t="shared" si="30"/>
        <v>0</v>
      </c>
      <c r="EP741" s="1538"/>
      <c r="EQ741" s="1538"/>
      <c r="ER741" s="1538"/>
      <c r="ES741" s="1538"/>
      <c r="ET741" s="1538">
        <f t="shared" si="31"/>
        <v>0</v>
      </c>
      <c r="EU741" s="1538"/>
      <c r="EV741" s="1538"/>
      <c r="EW741" s="1538"/>
      <c r="EX741" s="1538"/>
      <c r="EZ741" s="1551" t="str">
        <f t="shared" si="32"/>
        <v/>
      </c>
      <c r="FA741" s="1552"/>
      <c r="FB741" s="1552"/>
      <c r="FC741" s="1552"/>
      <c r="FD741" s="1553"/>
      <c r="FE741" s="1551" t="str">
        <f t="shared" si="33"/>
        <v/>
      </c>
      <c r="FF741" s="1552"/>
      <c r="FG741" s="1552"/>
      <c r="FH741" s="1552"/>
      <c r="FI741" s="1553"/>
      <c r="FJ741" s="1551" t="str">
        <f t="shared" si="34"/>
        <v/>
      </c>
      <c r="FK741" s="1552"/>
      <c r="FL741" s="1552"/>
      <c r="FM741" s="1552"/>
      <c r="FN741" s="1553"/>
      <c r="FO741" s="1551" t="str">
        <f t="shared" si="35"/>
        <v/>
      </c>
      <c r="FP741" s="1552"/>
      <c r="FQ741" s="1552"/>
      <c r="FR741" s="1552"/>
      <c r="FS741" s="1553"/>
      <c r="FT741" s="1551" t="str">
        <f t="shared" si="36"/>
        <v/>
      </c>
      <c r="FU741" s="1552"/>
      <c r="FV741" s="1552"/>
      <c r="FW741" s="1552"/>
      <c r="FX741" s="1553"/>
      <c r="FY741" s="1551" t="str">
        <f t="shared" si="37"/>
        <v/>
      </c>
      <c r="FZ741" s="1552"/>
      <c r="GA741" s="1552"/>
      <c r="GB741" s="1552"/>
      <c r="GC741" s="1553"/>
    </row>
    <row r="742" spans="1:185" ht="12.9" customHeight="1">
      <c r="B742" s="1365"/>
      <c r="C742" s="1366"/>
      <c r="D742" s="1366"/>
      <c r="E742" s="1366"/>
      <c r="F742" s="1367"/>
      <c r="G742" s="1359"/>
      <c r="H742" s="1360"/>
      <c r="I742" s="1360"/>
      <c r="J742" s="1361"/>
      <c r="K742" s="1362"/>
      <c r="L742" s="1363"/>
      <c r="M742" s="1363"/>
      <c r="N742" s="1364"/>
      <c r="O742" s="1411"/>
      <c r="P742" s="1412"/>
      <c r="Q742" s="1412"/>
      <c r="R742" s="1412"/>
      <c r="S742" s="1413"/>
      <c r="T742" s="1411"/>
      <c r="U742" s="1412"/>
      <c r="V742" s="1412"/>
      <c r="W742" s="1413"/>
      <c r="X742" s="1414">
        <f t="shared" si="10"/>
        <v>0</v>
      </c>
      <c r="Y742" s="1410"/>
      <c r="Z742" s="1410"/>
      <c r="AA742" s="1410"/>
      <c r="AB742" s="1415"/>
      <c r="AC742" s="1416"/>
      <c r="AD742" s="1417"/>
      <c r="AE742" s="1417"/>
      <c r="AF742" s="1417"/>
      <c r="AG742" s="1418"/>
      <c r="AH742" s="1443" t="str">
        <f t="shared" si="38"/>
        <v/>
      </c>
      <c r="AI742" s="1444"/>
      <c r="AJ742" s="1445"/>
      <c r="AK742" s="1365" t="s">
        <v>591</v>
      </c>
      <c r="AL742" s="1366"/>
      <c r="AM742" s="1366"/>
      <c r="AN742" s="1366"/>
      <c r="AO742" s="136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51">
        <f t="shared" si="39"/>
        <v>0</v>
      </c>
      <c r="CH742" s="1553"/>
      <c r="CI742" s="1554">
        <f t="shared" si="40"/>
        <v>0</v>
      </c>
      <c r="CJ742" s="1555"/>
      <c r="CK742" s="1551">
        <f t="shared" si="18"/>
        <v>0</v>
      </c>
      <c r="CL742" s="1553"/>
      <c r="CM742" s="1554">
        <f t="shared" si="19"/>
        <v>0</v>
      </c>
      <c r="CN742" s="1555"/>
      <c r="CO742" s="3"/>
      <c r="CP742" s="1544">
        <f t="shared" si="20"/>
        <v>0</v>
      </c>
      <c r="CQ742" s="1545"/>
      <c r="CR742" s="1545"/>
      <c r="CS742" s="1545"/>
      <c r="CT742" s="1546"/>
      <c r="CU742" s="1540">
        <f t="shared" si="21"/>
        <v>0</v>
      </c>
      <c r="CV742" s="1540"/>
      <c r="CW742" s="1540"/>
      <c r="CX742" s="1540"/>
      <c r="CY742" s="1540"/>
      <c r="CZ742" s="1540">
        <f t="shared" si="22"/>
        <v>0</v>
      </c>
      <c r="DA742" s="1540"/>
      <c r="DB742" s="1540"/>
      <c r="DC742" s="1540"/>
      <c r="DD742" s="1540"/>
      <c r="DE742" s="1540">
        <f t="shared" si="23"/>
        <v>0</v>
      </c>
      <c r="DF742" s="1540"/>
      <c r="DG742" s="1540"/>
      <c r="DH742" s="1540"/>
      <c r="DI742" s="1540"/>
      <c r="DJ742" s="1540">
        <f t="shared" si="24"/>
        <v>0</v>
      </c>
      <c r="DK742" s="1540"/>
      <c r="DL742" s="1540"/>
      <c r="DM742" s="1540"/>
      <c r="DN742" s="1540"/>
      <c r="DO742" s="1540">
        <f t="shared" si="25"/>
        <v>0</v>
      </c>
      <c r="DP742" s="1540"/>
      <c r="DQ742" s="1540"/>
      <c r="DR742" s="1540"/>
      <c r="DS742" s="1540"/>
      <c r="DT742" s="6"/>
      <c r="DU742" s="1538">
        <f t="shared" si="26"/>
        <v>0</v>
      </c>
      <c r="DV742" s="1538"/>
      <c r="DW742" s="1538"/>
      <c r="DX742" s="1538"/>
      <c r="DY742" s="1538"/>
      <c r="DZ742" s="1538">
        <f t="shared" si="27"/>
        <v>0</v>
      </c>
      <c r="EA742" s="1538"/>
      <c r="EB742" s="1538"/>
      <c r="EC742" s="1538"/>
      <c r="ED742" s="1538"/>
      <c r="EE742" s="1538">
        <f t="shared" si="28"/>
        <v>0</v>
      </c>
      <c r="EF742" s="1538"/>
      <c r="EG742" s="1538"/>
      <c r="EH742" s="1538"/>
      <c r="EI742" s="1538"/>
      <c r="EJ742" s="1538">
        <f t="shared" si="29"/>
        <v>0</v>
      </c>
      <c r="EK742" s="1538"/>
      <c r="EL742" s="1538"/>
      <c r="EM742" s="1538"/>
      <c r="EN742" s="1538"/>
      <c r="EO742" s="1538">
        <f t="shared" si="30"/>
        <v>0</v>
      </c>
      <c r="EP742" s="1538"/>
      <c r="EQ742" s="1538"/>
      <c r="ER742" s="1538"/>
      <c r="ES742" s="1538"/>
      <c r="ET742" s="1538">
        <f t="shared" si="31"/>
        <v>0</v>
      </c>
      <c r="EU742" s="1538"/>
      <c r="EV742" s="1538"/>
      <c r="EW742" s="1538"/>
      <c r="EX742" s="1538"/>
      <c r="EZ742" s="1551" t="str">
        <f t="shared" si="32"/>
        <v/>
      </c>
      <c r="FA742" s="1552"/>
      <c r="FB742" s="1552"/>
      <c r="FC742" s="1552"/>
      <c r="FD742" s="1553"/>
      <c r="FE742" s="1551" t="str">
        <f t="shared" si="33"/>
        <v/>
      </c>
      <c r="FF742" s="1552"/>
      <c r="FG742" s="1552"/>
      <c r="FH742" s="1552"/>
      <c r="FI742" s="1553"/>
      <c r="FJ742" s="1551" t="str">
        <f t="shared" si="34"/>
        <v/>
      </c>
      <c r="FK742" s="1552"/>
      <c r="FL742" s="1552"/>
      <c r="FM742" s="1552"/>
      <c r="FN742" s="1553"/>
      <c r="FO742" s="1551" t="str">
        <f t="shared" si="35"/>
        <v/>
      </c>
      <c r="FP742" s="1552"/>
      <c r="FQ742" s="1552"/>
      <c r="FR742" s="1552"/>
      <c r="FS742" s="1553"/>
      <c r="FT742" s="1551" t="str">
        <f t="shared" si="36"/>
        <v/>
      </c>
      <c r="FU742" s="1552"/>
      <c r="FV742" s="1552"/>
      <c r="FW742" s="1552"/>
      <c r="FX742" s="1553"/>
      <c r="FY742" s="1551" t="str">
        <f t="shared" si="37"/>
        <v/>
      </c>
      <c r="FZ742" s="1552"/>
      <c r="GA742" s="1552"/>
      <c r="GB742" s="1552"/>
      <c r="GC742" s="1553"/>
    </row>
    <row r="743" spans="1:185" ht="12.9" customHeight="1">
      <c r="B743" s="1365"/>
      <c r="C743" s="1366"/>
      <c r="D743" s="1366"/>
      <c r="E743" s="1366"/>
      <c r="F743" s="1367"/>
      <c r="G743" s="1359"/>
      <c r="H743" s="1360"/>
      <c r="I743" s="1360"/>
      <c r="J743" s="1361"/>
      <c r="K743" s="1362"/>
      <c r="L743" s="1363"/>
      <c r="M743" s="1363"/>
      <c r="N743" s="1364"/>
      <c r="O743" s="1411"/>
      <c r="P743" s="1412"/>
      <c r="Q743" s="1412"/>
      <c r="R743" s="1412"/>
      <c r="S743" s="1413"/>
      <c r="T743" s="1411"/>
      <c r="U743" s="1412"/>
      <c r="V743" s="1412"/>
      <c r="W743" s="1413"/>
      <c r="X743" s="1414">
        <f t="shared" si="10"/>
        <v>0</v>
      </c>
      <c r="Y743" s="1410"/>
      <c r="Z743" s="1410"/>
      <c r="AA743" s="1410"/>
      <c r="AB743" s="1415"/>
      <c r="AC743" s="1416"/>
      <c r="AD743" s="1417"/>
      <c r="AE743" s="1417"/>
      <c r="AF743" s="1417"/>
      <c r="AG743" s="1418"/>
      <c r="AH743" s="1443" t="str">
        <f t="shared" si="38"/>
        <v/>
      </c>
      <c r="AI743" s="1444"/>
      <c r="AJ743" s="1445"/>
      <c r="AK743" s="1365" t="s">
        <v>591</v>
      </c>
      <c r="AL743" s="1366"/>
      <c r="AM743" s="1366"/>
      <c r="AN743" s="1366"/>
      <c r="AO743" s="136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51">
        <f t="shared" si="39"/>
        <v>0</v>
      </c>
      <c r="CH743" s="1553"/>
      <c r="CI743" s="1554">
        <f t="shared" si="40"/>
        <v>0</v>
      </c>
      <c r="CJ743" s="1555"/>
      <c r="CK743" s="1551">
        <f t="shared" si="18"/>
        <v>0</v>
      </c>
      <c r="CL743" s="1553"/>
      <c r="CM743" s="1554">
        <f t="shared" si="19"/>
        <v>0</v>
      </c>
      <c r="CN743" s="1555"/>
      <c r="CO743" s="3"/>
      <c r="CP743" s="1544">
        <f t="shared" si="20"/>
        <v>0</v>
      </c>
      <c r="CQ743" s="1545"/>
      <c r="CR743" s="1545"/>
      <c r="CS743" s="1545"/>
      <c r="CT743" s="1546"/>
      <c r="CU743" s="1540">
        <f t="shared" si="21"/>
        <v>0</v>
      </c>
      <c r="CV743" s="1540"/>
      <c r="CW743" s="1540"/>
      <c r="CX743" s="1540"/>
      <c r="CY743" s="1540"/>
      <c r="CZ743" s="1540">
        <f t="shared" si="22"/>
        <v>0</v>
      </c>
      <c r="DA743" s="1540"/>
      <c r="DB743" s="1540"/>
      <c r="DC743" s="1540"/>
      <c r="DD743" s="1540"/>
      <c r="DE743" s="1540">
        <f t="shared" si="23"/>
        <v>0</v>
      </c>
      <c r="DF743" s="1540"/>
      <c r="DG743" s="1540"/>
      <c r="DH743" s="1540"/>
      <c r="DI743" s="1540"/>
      <c r="DJ743" s="1540">
        <f t="shared" si="24"/>
        <v>0</v>
      </c>
      <c r="DK743" s="1540"/>
      <c r="DL743" s="1540"/>
      <c r="DM743" s="1540"/>
      <c r="DN743" s="1540"/>
      <c r="DO743" s="1540">
        <f t="shared" si="25"/>
        <v>0</v>
      </c>
      <c r="DP743" s="1540"/>
      <c r="DQ743" s="1540"/>
      <c r="DR743" s="1540"/>
      <c r="DS743" s="1540"/>
      <c r="DT743" s="6"/>
      <c r="DU743" s="1538">
        <f t="shared" si="26"/>
        <v>0</v>
      </c>
      <c r="DV743" s="1538"/>
      <c r="DW743" s="1538"/>
      <c r="DX743" s="1538"/>
      <c r="DY743" s="1538"/>
      <c r="DZ743" s="1538">
        <f t="shared" si="27"/>
        <v>0</v>
      </c>
      <c r="EA743" s="1538"/>
      <c r="EB743" s="1538"/>
      <c r="EC743" s="1538"/>
      <c r="ED743" s="1538"/>
      <c r="EE743" s="1538">
        <f t="shared" si="28"/>
        <v>0</v>
      </c>
      <c r="EF743" s="1538"/>
      <c r="EG743" s="1538"/>
      <c r="EH743" s="1538"/>
      <c r="EI743" s="1538"/>
      <c r="EJ743" s="1538">
        <f t="shared" si="29"/>
        <v>0</v>
      </c>
      <c r="EK743" s="1538"/>
      <c r="EL743" s="1538"/>
      <c r="EM743" s="1538"/>
      <c r="EN743" s="1538"/>
      <c r="EO743" s="1538">
        <f t="shared" si="30"/>
        <v>0</v>
      </c>
      <c r="EP743" s="1538"/>
      <c r="EQ743" s="1538"/>
      <c r="ER743" s="1538"/>
      <c r="ES743" s="1538"/>
      <c r="ET743" s="1538">
        <f t="shared" si="31"/>
        <v>0</v>
      </c>
      <c r="EU743" s="1538"/>
      <c r="EV743" s="1538"/>
      <c r="EW743" s="1538"/>
      <c r="EX743" s="1538"/>
      <c r="EZ743" s="1551" t="str">
        <f t="shared" si="32"/>
        <v/>
      </c>
      <c r="FA743" s="1552"/>
      <c r="FB743" s="1552"/>
      <c r="FC743" s="1552"/>
      <c r="FD743" s="1553"/>
      <c r="FE743" s="1551" t="str">
        <f t="shared" si="33"/>
        <v/>
      </c>
      <c r="FF743" s="1552"/>
      <c r="FG743" s="1552"/>
      <c r="FH743" s="1552"/>
      <c r="FI743" s="1553"/>
      <c r="FJ743" s="1551" t="str">
        <f t="shared" si="34"/>
        <v/>
      </c>
      <c r="FK743" s="1552"/>
      <c r="FL743" s="1552"/>
      <c r="FM743" s="1552"/>
      <c r="FN743" s="1553"/>
      <c r="FO743" s="1551" t="str">
        <f t="shared" si="35"/>
        <v/>
      </c>
      <c r="FP743" s="1552"/>
      <c r="FQ743" s="1552"/>
      <c r="FR743" s="1552"/>
      <c r="FS743" s="1553"/>
      <c r="FT743" s="1551" t="str">
        <f t="shared" si="36"/>
        <v/>
      </c>
      <c r="FU743" s="1552"/>
      <c r="FV743" s="1552"/>
      <c r="FW743" s="1552"/>
      <c r="FX743" s="1553"/>
      <c r="FY743" s="1551" t="str">
        <f t="shared" si="37"/>
        <v/>
      </c>
      <c r="FZ743" s="1552"/>
      <c r="GA743" s="1552"/>
      <c r="GB743" s="1552"/>
      <c r="GC743" s="1553"/>
    </row>
    <row r="744" spans="1:185" ht="12.9" customHeight="1">
      <c r="B744" s="1365"/>
      <c r="C744" s="1366"/>
      <c r="D744" s="1366"/>
      <c r="E744" s="1366"/>
      <c r="F744" s="1367"/>
      <c r="G744" s="1359"/>
      <c r="H744" s="1360"/>
      <c r="I744" s="1360"/>
      <c r="J744" s="1361"/>
      <c r="K744" s="1362"/>
      <c r="L744" s="1363"/>
      <c r="M744" s="1363"/>
      <c r="N744" s="1364"/>
      <c r="O744" s="1411"/>
      <c r="P744" s="1412"/>
      <c r="Q744" s="1412"/>
      <c r="R744" s="1412"/>
      <c r="S744" s="1413"/>
      <c r="T744" s="1411"/>
      <c r="U744" s="1412"/>
      <c r="V744" s="1412"/>
      <c r="W744" s="1413"/>
      <c r="X744" s="1414">
        <f t="shared" si="10"/>
        <v>0</v>
      </c>
      <c r="Y744" s="1410"/>
      <c r="Z744" s="1410"/>
      <c r="AA744" s="1410"/>
      <c r="AB744" s="1415"/>
      <c r="AC744" s="1416"/>
      <c r="AD744" s="1417"/>
      <c r="AE744" s="1417"/>
      <c r="AF744" s="1417"/>
      <c r="AG744" s="1418"/>
      <c r="AH744" s="1443" t="str">
        <f t="shared" si="38"/>
        <v/>
      </c>
      <c r="AI744" s="1444"/>
      <c r="AJ744" s="1445"/>
      <c r="AK744" s="1365" t="s">
        <v>591</v>
      </c>
      <c r="AL744" s="1366"/>
      <c r="AM744" s="1366"/>
      <c r="AN744" s="1366"/>
      <c r="AO744" s="136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51">
        <f t="shared" si="39"/>
        <v>0</v>
      </c>
      <c r="CH744" s="1553"/>
      <c r="CI744" s="1554">
        <f t="shared" si="40"/>
        <v>0</v>
      </c>
      <c r="CJ744" s="1555"/>
      <c r="CK744" s="1551">
        <f t="shared" si="18"/>
        <v>0</v>
      </c>
      <c r="CL744" s="1553"/>
      <c r="CM744" s="1554">
        <f t="shared" si="19"/>
        <v>0</v>
      </c>
      <c r="CN744" s="1555"/>
      <c r="CO744" s="3"/>
      <c r="CP744" s="1544">
        <f t="shared" si="20"/>
        <v>0</v>
      </c>
      <c r="CQ744" s="1545"/>
      <c r="CR744" s="1545"/>
      <c r="CS744" s="1545"/>
      <c r="CT744" s="1546"/>
      <c r="CU744" s="1540">
        <f t="shared" si="21"/>
        <v>0</v>
      </c>
      <c r="CV744" s="1540"/>
      <c r="CW744" s="1540"/>
      <c r="CX744" s="1540"/>
      <c r="CY744" s="1540"/>
      <c r="CZ744" s="1540">
        <f t="shared" si="22"/>
        <v>0</v>
      </c>
      <c r="DA744" s="1540"/>
      <c r="DB744" s="1540"/>
      <c r="DC744" s="1540"/>
      <c r="DD744" s="1540"/>
      <c r="DE744" s="1540">
        <f t="shared" si="23"/>
        <v>0</v>
      </c>
      <c r="DF744" s="1540"/>
      <c r="DG744" s="1540"/>
      <c r="DH744" s="1540"/>
      <c r="DI744" s="1540"/>
      <c r="DJ744" s="1540">
        <f t="shared" si="24"/>
        <v>0</v>
      </c>
      <c r="DK744" s="1540"/>
      <c r="DL744" s="1540"/>
      <c r="DM744" s="1540"/>
      <c r="DN744" s="1540"/>
      <c r="DO744" s="1540">
        <f t="shared" si="25"/>
        <v>0</v>
      </c>
      <c r="DP744" s="1540"/>
      <c r="DQ744" s="1540"/>
      <c r="DR744" s="1540"/>
      <c r="DS744" s="1540"/>
      <c r="DT744" s="6"/>
      <c r="DU744" s="1538">
        <f t="shared" si="26"/>
        <v>0</v>
      </c>
      <c r="DV744" s="1538"/>
      <c r="DW744" s="1538"/>
      <c r="DX744" s="1538"/>
      <c r="DY744" s="1538"/>
      <c r="DZ744" s="1538">
        <f t="shared" si="27"/>
        <v>0</v>
      </c>
      <c r="EA744" s="1538"/>
      <c r="EB744" s="1538"/>
      <c r="EC744" s="1538"/>
      <c r="ED744" s="1538"/>
      <c r="EE744" s="1538">
        <f t="shared" si="28"/>
        <v>0</v>
      </c>
      <c r="EF744" s="1538"/>
      <c r="EG744" s="1538"/>
      <c r="EH744" s="1538"/>
      <c r="EI744" s="1538"/>
      <c r="EJ744" s="1538">
        <f t="shared" si="29"/>
        <v>0</v>
      </c>
      <c r="EK744" s="1538"/>
      <c r="EL744" s="1538"/>
      <c r="EM744" s="1538"/>
      <c r="EN744" s="1538"/>
      <c r="EO744" s="1538">
        <f t="shared" si="30"/>
        <v>0</v>
      </c>
      <c r="EP744" s="1538"/>
      <c r="EQ744" s="1538"/>
      <c r="ER744" s="1538"/>
      <c r="ES744" s="1538"/>
      <c r="ET744" s="1538">
        <f t="shared" si="31"/>
        <v>0</v>
      </c>
      <c r="EU744" s="1538"/>
      <c r="EV744" s="1538"/>
      <c r="EW744" s="1538"/>
      <c r="EX744" s="1538"/>
      <c r="EZ744" s="1551" t="str">
        <f t="shared" si="32"/>
        <v/>
      </c>
      <c r="FA744" s="1552"/>
      <c r="FB744" s="1552"/>
      <c r="FC744" s="1552"/>
      <c r="FD744" s="1553"/>
      <c r="FE744" s="1551" t="str">
        <f t="shared" si="33"/>
        <v/>
      </c>
      <c r="FF744" s="1552"/>
      <c r="FG744" s="1552"/>
      <c r="FH744" s="1552"/>
      <c r="FI744" s="1553"/>
      <c r="FJ744" s="1551" t="str">
        <f t="shared" si="34"/>
        <v/>
      </c>
      <c r="FK744" s="1552"/>
      <c r="FL744" s="1552"/>
      <c r="FM744" s="1552"/>
      <c r="FN744" s="1553"/>
      <c r="FO744" s="1551" t="str">
        <f t="shared" si="35"/>
        <v/>
      </c>
      <c r="FP744" s="1552"/>
      <c r="FQ744" s="1552"/>
      <c r="FR744" s="1552"/>
      <c r="FS744" s="1553"/>
      <c r="FT744" s="1551" t="str">
        <f t="shared" si="36"/>
        <v/>
      </c>
      <c r="FU744" s="1552"/>
      <c r="FV744" s="1552"/>
      <c r="FW744" s="1552"/>
      <c r="FX744" s="1553"/>
      <c r="FY744" s="1551" t="str">
        <f t="shared" si="37"/>
        <v/>
      </c>
      <c r="FZ744" s="1552"/>
      <c r="GA744" s="1552"/>
      <c r="GB744" s="1552"/>
      <c r="GC744" s="1553"/>
    </row>
    <row r="745" spans="1:185" ht="12.9" customHeight="1">
      <c r="B745" s="1365"/>
      <c r="C745" s="1366"/>
      <c r="D745" s="1366"/>
      <c r="E745" s="1366"/>
      <c r="F745" s="1367"/>
      <c r="G745" s="1359"/>
      <c r="H745" s="1360"/>
      <c r="I745" s="1360"/>
      <c r="J745" s="1361"/>
      <c r="K745" s="1362"/>
      <c r="L745" s="1363"/>
      <c r="M745" s="1363"/>
      <c r="N745" s="1364"/>
      <c r="O745" s="1411"/>
      <c r="P745" s="1412"/>
      <c r="Q745" s="1412"/>
      <c r="R745" s="1412"/>
      <c r="S745" s="1413"/>
      <c r="T745" s="1411"/>
      <c r="U745" s="1412"/>
      <c r="V745" s="1412"/>
      <c r="W745" s="1413"/>
      <c r="X745" s="1414">
        <f t="shared" si="10"/>
        <v>0</v>
      </c>
      <c r="Y745" s="1410"/>
      <c r="Z745" s="1410"/>
      <c r="AA745" s="1410"/>
      <c r="AB745" s="1415"/>
      <c r="AC745" s="1416"/>
      <c r="AD745" s="1417"/>
      <c r="AE745" s="1417"/>
      <c r="AF745" s="1417"/>
      <c r="AG745" s="1418"/>
      <c r="AH745" s="1443" t="str">
        <f t="shared" si="38"/>
        <v/>
      </c>
      <c r="AI745" s="1444"/>
      <c r="AJ745" s="1445"/>
      <c r="AK745" s="1365" t="s">
        <v>591</v>
      </c>
      <c r="AL745" s="1366"/>
      <c r="AM745" s="1366"/>
      <c r="AN745" s="1366"/>
      <c r="AO745" s="136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51">
        <f t="shared" si="39"/>
        <v>0</v>
      </c>
      <c r="CH745" s="1553"/>
      <c r="CI745" s="1554">
        <f t="shared" si="40"/>
        <v>0</v>
      </c>
      <c r="CJ745" s="1555"/>
      <c r="CK745" s="1551">
        <f t="shared" si="18"/>
        <v>0</v>
      </c>
      <c r="CL745" s="1553"/>
      <c r="CM745" s="1554">
        <f t="shared" si="19"/>
        <v>0</v>
      </c>
      <c r="CN745" s="1555"/>
      <c r="CO745" s="3"/>
      <c r="CP745" s="1544">
        <f t="shared" si="20"/>
        <v>0</v>
      </c>
      <c r="CQ745" s="1545"/>
      <c r="CR745" s="1545"/>
      <c r="CS745" s="1545"/>
      <c r="CT745" s="1546"/>
      <c r="CU745" s="1540">
        <f t="shared" si="21"/>
        <v>0</v>
      </c>
      <c r="CV745" s="1540"/>
      <c r="CW745" s="1540"/>
      <c r="CX745" s="1540"/>
      <c r="CY745" s="1540"/>
      <c r="CZ745" s="1540">
        <f t="shared" si="22"/>
        <v>0</v>
      </c>
      <c r="DA745" s="1540"/>
      <c r="DB745" s="1540"/>
      <c r="DC745" s="1540"/>
      <c r="DD745" s="1540"/>
      <c r="DE745" s="1540">
        <f t="shared" si="23"/>
        <v>0</v>
      </c>
      <c r="DF745" s="1540"/>
      <c r="DG745" s="1540"/>
      <c r="DH745" s="1540"/>
      <c r="DI745" s="1540"/>
      <c r="DJ745" s="1540">
        <f t="shared" si="24"/>
        <v>0</v>
      </c>
      <c r="DK745" s="1540"/>
      <c r="DL745" s="1540"/>
      <c r="DM745" s="1540"/>
      <c r="DN745" s="1540"/>
      <c r="DO745" s="1540">
        <f t="shared" si="25"/>
        <v>0</v>
      </c>
      <c r="DP745" s="1540"/>
      <c r="DQ745" s="1540"/>
      <c r="DR745" s="1540"/>
      <c r="DS745" s="1540"/>
      <c r="DT745" s="6"/>
      <c r="DU745" s="1538">
        <f t="shared" si="26"/>
        <v>0</v>
      </c>
      <c r="DV745" s="1538"/>
      <c r="DW745" s="1538"/>
      <c r="DX745" s="1538"/>
      <c r="DY745" s="1538"/>
      <c r="DZ745" s="1538">
        <f t="shared" si="27"/>
        <v>0</v>
      </c>
      <c r="EA745" s="1538"/>
      <c r="EB745" s="1538"/>
      <c r="EC745" s="1538"/>
      <c r="ED745" s="1538"/>
      <c r="EE745" s="1538">
        <f t="shared" si="28"/>
        <v>0</v>
      </c>
      <c r="EF745" s="1538"/>
      <c r="EG745" s="1538"/>
      <c r="EH745" s="1538"/>
      <c r="EI745" s="1538"/>
      <c r="EJ745" s="1538">
        <f t="shared" si="29"/>
        <v>0</v>
      </c>
      <c r="EK745" s="1538"/>
      <c r="EL745" s="1538"/>
      <c r="EM745" s="1538"/>
      <c r="EN745" s="1538"/>
      <c r="EO745" s="1538">
        <f t="shared" si="30"/>
        <v>0</v>
      </c>
      <c r="EP745" s="1538"/>
      <c r="EQ745" s="1538"/>
      <c r="ER745" s="1538"/>
      <c r="ES745" s="1538"/>
      <c r="ET745" s="1538">
        <f t="shared" si="31"/>
        <v>0</v>
      </c>
      <c r="EU745" s="1538"/>
      <c r="EV745" s="1538"/>
      <c r="EW745" s="1538"/>
      <c r="EX745" s="1538"/>
      <c r="EZ745" s="1551" t="str">
        <f t="shared" si="32"/>
        <v/>
      </c>
      <c r="FA745" s="1552"/>
      <c r="FB745" s="1552"/>
      <c r="FC745" s="1552"/>
      <c r="FD745" s="1553"/>
      <c r="FE745" s="1551" t="str">
        <f t="shared" si="33"/>
        <v/>
      </c>
      <c r="FF745" s="1552"/>
      <c r="FG745" s="1552"/>
      <c r="FH745" s="1552"/>
      <c r="FI745" s="1553"/>
      <c r="FJ745" s="1551" t="str">
        <f t="shared" si="34"/>
        <v/>
      </c>
      <c r="FK745" s="1552"/>
      <c r="FL745" s="1552"/>
      <c r="FM745" s="1552"/>
      <c r="FN745" s="1553"/>
      <c r="FO745" s="1551" t="str">
        <f t="shared" si="35"/>
        <v/>
      </c>
      <c r="FP745" s="1552"/>
      <c r="FQ745" s="1552"/>
      <c r="FR745" s="1552"/>
      <c r="FS745" s="1553"/>
      <c r="FT745" s="1551" t="str">
        <f t="shared" si="36"/>
        <v/>
      </c>
      <c r="FU745" s="1552"/>
      <c r="FV745" s="1552"/>
      <c r="FW745" s="1552"/>
      <c r="FX745" s="1553"/>
      <c r="FY745" s="1551" t="str">
        <f t="shared" si="37"/>
        <v/>
      </c>
      <c r="FZ745" s="1552"/>
      <c r="GA745" s="1552"/>
      <c r="GB745" s="1552"/>
      <c r="GC745" s="1553"/>
    </row>
    <row r="746" spans="1:185" ht="12.9" customHeight="1">
      <c r="B746" s="1365"/>
      <c r="C746" s="1366"/>
      <c r="D746" s="1366"/>
      <c r="E746" s="1366"/>
      <c r="F746" s="1367"/>
      <c r="G746" s="1359"/>
      <c r="H746" s="1360"/>
      <c r="I746" s="1360"/>
      <c r="J746" s="1361"/>
      <c r="K746" s="1362"/>
      <c r="L746" s="1363"/>
      <c r="M746" s="1363"/>
      <c r="N746" s="1364"/>
      <c r="O746" s="1411"/>
      <c r="P746" s="1412"/>
      <c r="Q746" s="1412"/>
      <c r="R746" s="1412"/>
      <c r="S746" s="1413"/>
      <c r="T746" s="1411"/>
      <c r="U746" s="1412"/>
      <c r="V746" s="1412"/>
      <c r="W746" s="1413"/>
      <c r="X746" s="1414">
        <f t="shared" si="10"/>
        <v>0</v>
      </c>
      <c r="Y746" s="1410"/>
      <c r="Z746" s="1410"/>
      <c r="AA746" s="1410"/>
      <c r="AB746" s="1415"/>
      <c r="AC746" s="1416"/>
      <c r="AD746" s="1417"/>
      <c r="AE746" s="1417"/>
      <c r="AF746" s="1417"/>
      <c r="AG746" s="1418"/>
      <c r="AH746" s="1443" t="str">
        <f t="shared" si="38"/>
        <v/>
      </c>
      <c r="AI746" s="1444"/>
      <c r="AJ746" s="1445"/>
      <c r="AK746" s="1365" t="s">
        <v>591</v>
      </c>
      <c r="AL746" s="1366"/>
      <c r="AM746" s="1366"/>
      <c r="AN746" s="1366"/>
      <c r="AO746" s="136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51">
        <f t="shared" si="39"/>
        <v>0</v>
      </c>
      <c r="CH746" s="1553"/>
      <c r="CI746" s="1554">
        <f t="shared" si="40"/>
        <v>0</v>
      </c>
      <c r="CJ746" s="1555"/>
      <c r="CK746" s="1551">
        <f t="shared" si="18"/>
        <v>0</v>
      </c>
      <c r="CL746" s="1553"/>
      <c r="CM746" s="1554">
        <f t="shared" si="19"/>
        <v>0</v>
      </c>
      <c r="CN746" s="1555"/>
      <c r="CO746" s="3"/>
      <c r="CP746" s="1544">
        <f t="shared" si="20"/>
        <v>0</v>
      </c>
      <c r="CQ746" s="1545"/>
      <c r="CR746" s="1545"/>
      <c r="CS746" s="1545"/>
      <c r="CT746" s="1546"/>
      <c r="CU746" s="1540">
        <f t="shared" si="21"/>
        <v>0</v>
      </c>
      <c r="CV746" s="1540"/>
      <c r="CW746" s="1540"/>
      <c r="CX746" s="1540"/>
      <c r="CY746" s="1540"/>
      <c r="CZ746" s="1540">
        <f t="shared" si="22"/>
        <v>0</v>
      </c>
      <c r="DA746" s="1540"/>
      <c r="DB746" s="1540"/>
      <c r="DC746" s="1540"/>
      <c r="DD746" s="1540"/>
      <c r="DE746" s="1540">
        <f t="shared" si="23"/>
        <v>0</v>
      </c>
      <c r="DF746" s="1540"/>
      <c r="DG746" s="1540"/>
      <c r="DH746" s="1540"/>
      <c r="DI746" s="1540"/>
      <c r="DJ746" s="1540">
        <f t="shared" si="24"/>
        <v>0</v>
      </c>
      <c r="DK746" s="1540"/>
      <c r="DL746" s="1540"/>
      <c r="DM746" s="1540"/>
      <c r="DN746" s="1540"/>
      <c r="DO746" s="1540">
        <f t="shared" si="25"/>
        <v>0</v>
      </c>
      <c r="DP746" s="1540"/>
      <c r="DQ746" s="1540"/>
      <c r="DR746" s="1540"/>
      <c r="DS746" s="1540"/>
      <c r="DT746" s="6"/>
      <c r="DU746" s="1538">
        <f t="shared" si="26"/>
        <v>0</v>
      </c>
      <c r="DV746" s="1538"/>
      <c r="DW746" s="1538"/>
      <c r="DX746" s="1538"/>
      <c r="DY746" s="1538"/>
      <c r="DZ746" s="1538">
        <f t="shared" si="27"/>
        <v>0</v>
      </c>
      <c r="EA746" s="1538"/>
      <c r="EB746" s="1538"/>
      <c r="EC746" s="1538"/>
      <c r="ED746" s="1538"/>
      <c r="EE746" s="1538">
        <f t="shared" si="28"/>
        <v>0</v>
      </c>
      <c r="EF746" s="1538"/>
      <c r="EG746" s="1538"/>
      <c r="EH746" s="1538"/>
      <c r="EI746" s="1538"/>
      <c r="EJ746" s="1538">
        <f t="shared" si="29"/>
        <v>0</v>
      </c>
      <c r="EK746" s="1538"/>
      <c r="EL746" s="1538"/>
      <c r="EM746" s="1538"/>
      <c r="EN746" s="1538"/>
      <c r="EO746" s="1538">
        <f t="shared" si="30"/>
        <v>0</v>
      </c>
      <c r="EP746" s="1538"/>
      <c r="EQ746" s="1538"/>
      <c r="ER746" s="1538"/>
      <c r="ES746" s="1538"/>
      <c r="ET746" s="1538">
        <f t="shared" si="31"/>
        <v>0</v>
      </c>
      <c r="EU746" s="1538"/>
      <c r="EV746" s="1538"/>
      <c r="EW746" s="1538"/>
      <c r="EX746" s="1538"/>
      <c r="EZ746" s="1551" t="str">
        <f t="shared" si="32"/>
        <v/>
      </c>
      <c r="FA746" s="1552"/>
      <c r="FB746" s="1552"/>
      <c r="FC746" s="1552"/>
      <c r="FD746" s="1553"/>
      <c r="FE746" s="1551" t="str">
        <f t="shared" si="33"/>
        <v/>
      </c>
      <c r="FF746" s="1552"/>
      <c r="FG746" s="1552"/>
      <c r="FH746" s="1552"/>
      <c r="FI746" s="1553"/>
      <c r="FJ746" s="1551" t="str">
        <f t="shared" si="34"/>
        <v/>
      </c>
      <c r="FK746" s="1552"/>
      <c r="FL746" s="1552"/>
      <c r="FM746" s="1552"/>
      <c r="FN746" s="1553"/>
      <c r="FO746" s="1551" t="str">
        <f t="shared" si="35"/>
        <v/>
      </c>
      <c r="FP746" s="1552"/>
      <c r="FQ746" s="1552"/>
      <c r="FR746" s="1552"/>
      <c r="FS746" s="1553"/>
      <c r="FT746" s="1551" t="str">
        <f t="shared" si="36"/>
        <v/>
      </c>
      <c r="FU746" s="1552"/>
      <c r="FV746" s="1552"/>
      <c r="FW746" s="1552"/>
      <c r="FX746" s="1553"/>
      <c r="FY746" s="1551" t="str">
        <f t="shared" si="37"/>
        <v/>
      </c>
      <c r="FZ746" s="1552"/>
      <c r="GA746" s="1552"/>
      <c r="GB746" s="1552"/>
      <c r="GC746" s="1553"/>
    </row>
    <row r="747" spans="1:185" ht="12.9" customHeight="1">
      <c r="B747" s="1365"/>
      <c r="C747" s="1366"/>
      <c r="D747" s="1366"/>
      <c r="E747" s="1366"/>
      <c r="F747" s="1367"/>
      <c r="G747" s="1359"/>
      <c r="H747" s="1360"/>
      <c r="I747" s="1360"/>
      <c r="J747" s="1361"/>
      <c r="K747" s="1362"/>
      <c r="L747" s="1363"/>
      <c r="M747" s="1363"/>
      <c r="N747" s="1364"/>
      <c r="O747" s="1411"/>
      <c r="P747" s="1412"/>
      <c r="Q747" s="1412"/>
      <c r="R747" s="1412"/>
      <c r="S747" s="1413"/>
      <c r="T747" s="1411"/>
      <c r="U747" s="1412"/>
      <c r="V747" s="1412"/>
      <c r="W747" s="1413"/>
      <c r="X747" s="1414">
        <f t="shared" si="10"/>
        <v>0</v>
      </c>
      <c r="Y747" s="1410"/>
      <c r="Z747" s="1410"/>
      <c r="AA747" s="1410"/>
      <c r="AB747" s="1415"/>
      <c r="AC747" s="1416"/>
      <c r="AD747" s="1417"/>
      <c r="AE747" s="1417"/>
      <c r="AF747" s="1417"/>
      <c r="AG747" s="1418"/>
      <c r="AH747" s="1443" t="str">
        <f t="shared" si="38"/>
        <v/>
      </c>
      <c r="AI747" s="1444"/>
      <c r="AJ747" s="1445"/>
      <c r="AK747" s="1365" t="s">
        <v>591</v>
      </c>
      <c r="AL747" s="1366"/>
      <c r="AM747" s="1366"/>
      <c r="AN747" s="1366"/>
      <c r="AO747" s="136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51">
        <f t="shared" si="39"/>
        <v>0</v>
      </c>
      <c r="CH747" s="1553"/>
      <c r="CI747" s="1554">
        <f t="shared" si="40"/>
        <v>0</v>
      </c>
      <c r="CJ747" s="1555"/>
      <c r="CK747" s="1551">
        <f t="shared" si="18"/>
        <v>0</v>
      </c>
      <c r="CL747" s="1553"/>
      <c r="CM747" s="1554">
        <f t="shared" si="19"/>
        <v>0</v>
      </c>
      <c r="CN747" s="1555"/>
      <c r="CO747" s="3"/>
      <c r="CP747" s="1544">
        <f t="shared" si="20"/>
        <v>0</v>
      </c>
      <c r="CQ747" s="1545"/>
      <c r="CR747" s="1545"/>
      <c r="CS747" s="1545"/>
      <c r="CT747" s="1546"/>
      <c r="CU747" s="1540">
        <f t="shared" si="21"/>
        <v>0</v>
      </c>
      <c r="CV747" s="1540"/>
      <c r="CW747" s="1540"/>
      <c r="CX747" s="1540"/>
      <c r="CY747" s="1540"/>
      <c r="CZ747" s="1540">
        <f t="shared" si="22"/>
        <v>0</v>
      </c>
      <c r="DA747" s="1540"/>
      <c r="DB747" s="1540"/>
      <c r="DC747" s="1540"/>
      <c r="DD747" s="1540"/>
      <c r="DE747" s="1540">
        <f t="shared" si="23"/>
        <v>0</v>
      </c>
      <c r="DF747" s="1540"/>
      <c r="DG747" s="1540"/>
      <c r="DH747" s="1540"/>
      <c r="DI747" s="1540"/>
      <c r="DJ747" s="1540">
        <f t="shared" si="24"/>
        <v>0</v>
      </c>
      <c r="DK747" s="1540"/>
      <c r="DL747" s="1540"/>
      <c r="DM747" s="1540"/>
      <c r="DN747" s="1540"/>
      <c r="DO747" s="1540">
        <f t="shared" si="25"/>
        <v>0</v>
      </c>
      <c r="DP747" s="1540"/>
      <c r="DQ747" s="1540"/>
      <c r="DR747" s="1540"/>
      <c r="DS747" s="1540"/>
      <c r="DT747" s="6"/>
      <c r="DU747" s="1538">
        <f t="shared" si="26"/>
        <v>0</v>
      </c>
      <c r="DV747" s="1538"/>
      <c r="DW747" s="1538"/>
      <c r="DX747" s="1538"/>
      <c r="DY747" s="1538"/>
      <c r="DZ747" s="1538">
        <f t="shared" si="27"/>
        <v>0</v>
      </c>
      <c r="EA747" s="1538"/>
      <c r="EB747" s="1538"/>
      <c r="EC747" s="1538"/>
      <c r="ED747" s="1538"/>
      <c r="EE747" s="1538">
        <f t="shared" si="28"/>
        <v>0</v>
      </c>
      <c r="EF747" s="1538"/>
      <c r="EG747" s="1538"/>
      <c r="EH747" s="1538"/>
      <c r="EI747" s="1538"/>
      <c r="EJ747" s="1538">
        <f t="shared" si="29"/>
        <v>0</v>
      </c>
      <c r="EK747" s="1538"/>
      <c r="EL747" s="1538"/>
      <c r="EM747" s="1538"/>
      <c r="EN747" s="1538"/>
      <c r="EO747" s="1538">
        <f t="shared" si="30"/>
        <v>0</v>
      </c>
      <c r="EP747" s="1538"/>
      <c r="EQ747" s="1538"/>
      <c r="ER747" s="1538"/>
      <c r="ES747" s="1538"/>
      <c r="ET747" s="1538">
        <f t="shared" si="31"/>
        <v>0</v>
      </c>
      <c r="EU747" s="1538"/>
      <c r="EV747" s="1538"/>
      <c r="EW747" s="1538"/>
      <c r="EX747" s="1538"/>
      <c r="EZ747" s="1551" t="str">
        <f t="shared" si="32"/>
        <v/>
      </c>
      <c r="FA747" s="1552"/>
      <c r="FB747" s="1552"/>
      <c r="FC747" s="1552"/>
      <c r="FD747" s="1553"/>
      <c r="FE747" s="1551" t="str">
        <f t="shared" si="33"/>
        <v/>
      </c>
      <c r="FF747" s="1552"/>
      <c r="FG747" s="1552"/>
      <c r="FH747" s="1552"/>
      <c r="FI747" s="1553"/>
      <c r="FJ747" s="1551" t="str">
        <f t="shared" si="34"/>
        <v/>
      </c>
      <c r="FK747" s="1552"/>
      <c r="FL747" s="1552"/>
      <c r="FM747" s="1552"/>
      <c r="FN747" s="1553"/>
      <c r="FO747" s="1551" t="str">
        <f t="shared" si="35"/>
        <v/>
      </c>
      <c r="FP747" s="1552"/>
      <c r="FQ747" s="1552"/>
      <c r="FR747" s="1552"/>
      <c r="FS747" s="1553"/>
      <c r="FT747" s="1551" t="str">
        <f t="shared" si="36"/>
        <v/>
      </c>
      <c r="FU747" s="1552"/>
      <c r="FV747" s="1552"/>
      <c r="FW747" s="1552"/>
      <c r="FX747" s="1553"/>
      <c r="FY747" s="1551" t="str">
        <f t="shared" si="37"/>
        <v/>
      </c>
      <c r="FZ747" s="1552"/>
      <c r="GA747" s="1552"/>
      <c r="GB747" s="1552"/>
      <c r="GC747" s="1553"/>
    </row>
    <row r="748" spans="1:185" ht="12.9" customHeight="1">
      <c r="B748" s="1365"/>
      <c r="C748" s="1366"/>
      <c r="D748" s="1366"/>
      <c r="E748" s="1366"/>
      <c r="F748" s="1367"/>
      <c r="G748" s="1359"/>
      <c r="H748" s="1360"/>
      <c r="I748" s="1360"/>
      <c r="J748" s="1361"/>
      <c r="K748" s="1362"/>
      <c r="L748" s="1363"/>
      <c r="M748" s="1363"/>
      <c r="N748" s="1364"/>
      <c r="O748" s="1411"/>
      <c r="P748" s="1412"/>
      <c r="Q748" s="1412"/>
      <c r="R748" s="1412"/>
      <c r="S748" s="1413"/>
      <c r="T748" s="1411"/>
      <c r="U748" s="1412"/>
      <c r="V748" s="1412"/>
      <c r="W748" s="1413"/>
      <c r="X748" s="1414">
        <f t="shared" si="10"/>
        <v>0</v>
      </c>
      <c r="Y748" s="1410"/>
      <c r="Z748" s="1410"/>
      <c r="AA748" s="1410"/>
      <c r="AB748" s="1415"/>
      <c r="AC748" s="1416"/>
      <c r="AD748" s="1417"/>
      <c r="AE748" s="1417"/>
      <c r="AF748" s="1417"/>
      <c r="AG748" s="1418"/>
      <c r="AH748" s="1443" t="str">
        <f t="shared" si="38"/>
        <v/>
      </c>
      <c r="AI748" s="1444"/>
      <c r="AJ748" s="1445"/>
      <c r="AK748" s="1365" t="s">
        <v>591</v>
      </c>
      <c r="AL748" s="1366"/>
      <c r="AM748" s="1366"/>
      <c r="AN748" s="1366"/>
      <c r="AO748" s="136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51">
        <f t="shared" si="39"/>
        <v>0</v>
      </c>
      <c r="CH748" s="1553"/>
      <c r="CI748" s="1554">
        <f t="shared" si="40"/>
        <v>0</v>
      </c>
      <c r="CJ748" s="1555"/>
      <c r="CK748" s="1551">
        <f t="shared" si="18"/>
        <v>0</v>
      </c>
      <c r="CL748" s="1553"/>
      <c r="CM748" s="1554">
        <f t="shared" si="19"/>
        <v>0</v>
      </c>
      <c r="CN748" s="1555"/>
      <c r="CO748" s="3"/>
      <c r="CP748" s="1544">
        <f t="shared" si="20"/>
        <v>0</v>
      </c>
      <c r="CQ748" s="1545"/>
      <c r="CR748" s="1545"/>
      <c r="CS748" s="1545"/>
      <c r="CT748" s="1546"/>
      <c r="CU748" s="1540">
        <f t="shared" si="21"/>
        <v>0</v>
      </c>
      <c r="CV748" s="1540"/>
      <c r="CW748" s="1540"/>
      <c r="CX748" s="1540"/>
      <c r="CY748" s="1540"/>
      <c r="CZ748" s="1540">
        <f t="shared" si="22"/>
        <v>0</v>
      </c>
      <c r="DA748" s="1540"/>
      <c r="DB748" s="1540"/>
      <c r="DC748" s="1540"/>
      <c r="DD748" s="1540"/>
      <c r="DE748" s="1540">
        <f t="shared" si="23"/>
        <v>0</v>
      </c>
      <c r="DF748" s="1540"/>
      <c r="DG748" s="1540"/>
      <c r="DH748" s="1540"/>
      <c r="DI748" s="1540"/>
      <c r="DJ748" s="1540">
        <f t="shared" si="24"/>
        <v>0</v>
      </c>
      <c r="DK748" s="1540"/>
      <c r="DL748" s="1540"/>
      <c r="DM748" s="1540"/>
      <c r="DN748" s="1540"/>
      <c r="DO748" s="1540">
        <f t="shared" si="25"/>
        <v>0</v>
      </c>
      <c r="DP748" s="1540"/>
      <c r="DQ748" s="1540"/>
      <c r="DR748" s="1540"/>
      <c r="DS748" s="1540"/>
      <c r="DT748" s="6"/>
      <c r="DU748" s="1538">
        <f t="shared" si="26"/>
        <v>0</v>
      </c>
      <c r="DV748" s="1538"/>
      <c r="DW748" s="1538"/>
      <c r="DX748" s="1538"/>
      <c r="DY748" s="1538"/>
      <c r="DZ748" s="1538">
        <f t="shared" si="27"/>
        <v>0</v>
      </c>
      <c r="EA748" s="1538"/>
      <c r="EB748" s="1538"/>
      <c r="EC748" s="1538"/>
      <c r="ED748" s="1538"/>
      <c r="EE748" s="1538">
        <f t="shared" si="28"/>
        <v>0</v>
      </c>
      <c r="EF748" s="1538"/>
      <c r="EG748" s="1538"/>
      <c r="EH748" s="1538"/>
      <c r="EI748" s="1538"/>
      <c r="EJ748" s="1538">
        <f t="shared" si="29"/>
        <v>0</v>
      </c>
      <c r="EK748" s="1538"/>
      <c r="EL748" s="1538"/>
      <c r="EM748" s="1538"/>
      <c r="EN748" s="1538"/>
      <c r="EO748" s="1538">
        <f t="shared" si="30"/>
        <v>0</v>
      </c>
      <c r="EP748" s="1538"/>
      <c r="EQ748" s="1538"/>
      <c r="ER748" s="1538"/>
      <c r="ES748" s="1538"/>
      <c r="ET748" s="1538">
        <f t="shared" si="31"/>
        <v>0</v>
      </c>
      <c r="EU748" s="1538"/>
      <c r="EV748" s="1538"/>
      <c r="EW748" s="1538"/>
      <c r="EX748" s="1538"/>
      <c r="EZ748" s="1551" t="str">
        <f t="shared" si="32"/>
        <v/>
      </c>
      <c r="FA748" s="1552"/>
      <c r="FB748" s="1552"/>
      <c r="FC748" s="1552"/>
      <c r="FD748" s="1553"/>
      <c r="FE748" s="1551" t="str">
        <f t="shared" si="33"/>
        <v/>
      </c>
      <c r="FF748" s="1552"/>
      <c r="FG748" s="1552"/>
      <c r="FH748" s="1552"/>
      <c r="FI748" s="1553"/>
      <c r="FJ748" s="1551" t="str">
        <f t="shared" si="34"/>
        <v/>
      </c>
      <c r="FK748" s="1552"/>
      <c r="FL748" s="1552"/>
      <c r="FM748" s="1552"/>
      <c r="FN748" s="1553"/>
      <c r="FO748" s="1551" t="str">
        <f t="shared" si="35"/>
        <v/>
      </c>
      <c r="FP748" s="1552"/>
      <c r="FQ748" s="1552"/>
      <c r="FR748" s="1552"/>
      <c r="FS748" s="1553"/>
      <c r="FT748" s="1551" t="str">
        <f t="shared" si="36"/>
        <v/>
      </c>
      <c r="FU748" s="1552"/>
      <c r="FV748" s="1552"/>
      <c r="FW748" s="1552"/>
      <c r="FX748" s="1553"/>
      <c r="FY748" s="1551" t="str">
        <f t="shared" si="37"/>
        <v/>
      </c>
      <c r="FZ748" s="1552"/>
      <c r="GA748" s="1552"/>
      <c r="GB748" s="1552"/>
      <c r="GC748" s="1553"/>
    </row>
    <row r="749" spans="1:185" ht="12.9" customHeight="1">
      <c r="B749" s="1365"/>
      <c r="C749" s="1366"/>
      <c r="D749" s="1366"/>
      <c r="E749" s="1366"/>
      <c r="F749" s="1367"/>
      <c r="G749" s="1359"/>
      <c r="H749" s="1360"/>
      <c r="I749" s="1360"/>
      <c r="J749" s="1361"/>
      <c r="K749" s="1362"/>
      <c r="L749" s="1363"/>
      <c r="M749" s="1363"/>
      <c r="N749" s="1364"/>
      <c r="O749" s="1411"/>
      <c r="P749" s="1412"/>
      <c r="Q749" s="1412"/>
      <c r="R749" s="1412"/>
      <c r="S749" s="1413"/>
      <c r="T749" s="1411"/>
      <c r="U749" s="1412"/>
      <c r="V749" s="1412"/>
      <c r="W749" s="1413"/>
      <c r="X749" s="1414">
        <f t="shared" si="10"/>
        <v>0</v>
      </c>
      <c r="Y749" s="1410"/>
      <c r="Z749" s="1410"/>
      <c r="AA749" s="1410"/>
      <c r="AB749" s="1415"/>
      <c r="AC749" s="1416"/>
      <c r="AD749" s="1417"/>
      <c r="AE749" s="1417"/>
      <c r="AF749" s="1417"/>
      <c r="AG749" s="1418"/>
      <c r="AH749" s="1443" t="str">
        <f t="shared" si="38"/>
        <v/>
      </c>
      <c r="AI749" s="1444"/>
      <c r="AJ749" s="1445"/>
      <c r="AK749" s="1365" t="s">
        <v>591</v>
      </c>
      <c r="AL749" s="1366"/>
      <c r="AM749" s="1366"/>
      <c r="AN749" s="1366"/>
      <c r="AO749" s="136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51">
        <f t="shared" si="39"/>
        <v>0</v>
      </c>
      <c r="CH749" s="1553"/>
      <c r="CI749" s="1554">
        <f t="shared" si="40"/>
        <v>0</v>
      </c>
      <c r="CJ749" s="1555"/>
      <c r="CK749" s="1551">
        <f t="shared" si="18"/>
        <v>0</v>
      </c>
      <c r="CL749" s="1553"/>
      <c r="CM749" s="1554">
        <f t="shared" si="19"/>
        <v>0</v>
      </c>
      <c r="CN749" s="1555"/>
      <c r="CO749" s="3"/>
      <c r="CP749" s="1544">
        <f t="shared" si="20"/>
        <v>0</v>
      </c>
      <c r="CQ749" s="1545"/>
      <c r="CR749" s="1545"/>
      <c r="CS749" s="1545"/>
      <c r="CT749" s="1546"/>
      <c r="CU749" s="1540">
        <f t="shared" si="21"/>
        <v>0</v>
      </c>
      <c r="CV749" s="1540"/>
      <c r="CW749" s="1540"/>
      <c r="CX749" s="1540"/>
      <c r="CY749" s="1540"/>
      <c r="CZ749" s="1540">
        <f t="shared" si="22"/>
        <v>0</v>
      </c>
      <c r="DA749" s="1540"/>
      <c r="DB749" s="1540"/>
      <c r="DC749" s="1540"/>
      <c r="DD749" s="1540"/>
      <c r="DE749" s="1540">
        <f t="shared" si="23"/>
        <v>0</v>
      </c>
      <c r="DF749" s="1540"/>
      <c r="DG749" s="1540"/>
      <c r="DH749" s="1540"/>
      <c r="DI749" s="1540"/>
      <c r="DJ749" s="1540">
        <f t="shared" si="24"/>
        <v>0</v>
      </c>
      <c r="DK749" s="1540"/>
      <c r="DL749" s="1540"/>
      <c r="DM749" s="1540"/>
      <c r="DN749" s="1540"/>
      <c r="DO749" s="1540">
        <f t="shared" si="25"/>
        <v>0</v>
      </c>
      <c r="DP749" s="1540"/>
      <c r="DQ749" s="1540"/>
      <c r="DR749" s="1540"/>
      <c r="DS749" s="1540"/>
      <c r="DT749" s="6"/>
      <c r="DU749" s="1538">
        <f t="shared" si="26"/>
        <v>0</v>
      </c>
      <c r="DV749" s="1538"/>
      <c r="DW749" s="1538"/>
      <c r="DX749" s="1538"/>
      <c r="DY749" s="1538"/>
      <c r="DZ749" s="1538">
        <f t="shared" si="27"/>
        <v>0</v>
      </c>
      <c r="EA749" s="1538"/>
      <c r="EB749" s="1538"/>
      <c r="EC749" s="1538"/>
      <c r="ED749" s="1538"/>
      <c r="EE749" s="1538">
        <f t="shared" si="28"/>
        <v>0</v>
      </c>
      <c r="EF749" s="1538"/>
      <c r="EG749" s="1538"/>
      <c r="EH749" s="1538"/>
      <c r="EI749" s="1538"/>
      <c r="EJ749" s="1538">
        <f t="shared" si="29"/>
        <v>0</v>
      </c>
      <c r="EK749" s="1538"/>
      <c r="EL749" s="1538"/>
      <c r="EM749" s="1538"/>
      <c r="EN749" s="1538"/>
      <c r="EO749" s="1538">
        <f t="shared" si="30"/>
        <v>0</v>
      </c>
      <c r="EP749" s="1538"/>
      <c r="EQ749" s="1538"/>
      <c r="ER749" s="1538"/>
      <c r="ES749" s="1538"/>
      <c r="ET749" s="1538">
        <f t="shared" si="31"/>
        <v>0</v>
      </c>
      <c r="EU749" s="1538"/>
      <c r="EV749" s="1538"/>
      <c r="EW749" s="1538"/>
      <c r="EX749" s="1538"/>
      <c r="EZ749" s="1551" t="str">
        <f t="shared" si="32"/>
        <v/>
      </c>
      <c r="FA749" s="1552"/>
      <c r="FB749" s="1552"/>
      <c r="FC749" s="1552"/>
      <c r="FD749" s="1553"/>
      <c r="FE749" s="1551" t="str">
        <f t="shared" si="33"/>
        <v/>
      </c>
      <c r="FF749" s="1552"/>
      <c r="FG749" s="1552"/>
      <c r="FH749" s="1552"/>
      <c r="FI749" s="1553"/>
      <c r="FJ749" s="1551" t="str">
        <f t="shared" si="34"/>
        <v/>
      </c>
      <c r="FK749" s="1552"/>
      <c r="FL749" s="1552"/>
      <c r="FM749" s="1552"/>
      <c r="FN749" s="1553"/>
      <c r="FO749" s="1551" t="str">
        <f t="shared" si="35"/>
        <v/>
      </c>
      <c r="FP749" s="1552"/>
      <c r="FQ749" s="1552"/>
      <c r="FR749" s="1552"/>
      <c r="FS749" s="1553"/>
      <c r="FT749" s="1551" t="str">
        <f t="shared" si="36"/>
        <v/>
      </c>
      <c r="FU749" s="1552"/>
      <c r="FV749" s="1552"/>
      <c r="FW749" s="1552"/>
      <c r="FX749" s="1553"/>
      <c r="FY749" s="1551" t="str">
        <f t="shared" si="37"/>
        <v/>
      </c>
      <c r="FZ749" s="1552"/>
      <c r="GA749" s="1552"/>
      <c r="GB749" s="1552"/>
      <c r="GC749" s="1553"/>
    </row>
    <row r="750" spans="1:185" ht="12.9" customHeight="1">
      <c r="B750" s="1365"/>
      <c r="C750" s="1366"/>
      <c r="D750" s="1366"/>
      <c r="E750" s="1366"/>
      <c r="F750" s="1367"/>
      <c r="G750" s="1359"/>
      <c r="H750" s="1360"/>
      <c r="I750" s="1360"/>
      <c r="J750" s="1361"/>
      <c r="K750" s="1362"/>
      <c r="L750" s="1363"/>
      <c r="M750" s="1363"/>
      <c r="N750" s="1364"/>
      <c r="O750" s="1411"/>
      <c r="P750" s="1412"/>
      <c r="Q750" s="1412"/>
      <c r="R750" s="1412"/>
      <c r="S750" s="1413"/>
      <c r="T750" s="1411"/>
      <c r="U750" s="1412"/>
      <c r="V750" s="1412"/>
      <c r="W750" s="1413"/>
      <c r="X750" s="1414">
        <f t="shared" ref="X750:X759" si="65">O750+T750</f>
        <v>0</v>
      </c>
      <c r="Y750" s="1410"/>
      <c r="Z750" s="1410"/>
      <c r="AA750" s="1410"/>
      <c r="AB750" s="1415"/>
      <c r="AC750" s="1416"/>
      <c r="AD750" s="1417"/>
      <c r="AE750" s="1417"/>
      <c r="AF750" s="1417"/>
      <c r="AG750" s="1418"/>
      <c r="AH750" s="1443" t="str">
        <f t="shared" si="38"/>
        <v/>
      </c>
      <c r="AI750" s="1444"/>
      <c r="AJ750" s="1445"/>
      <c r="AK750" s="1365" t="s">
        <v>591</v>
      </c>
      <c r="AL750" s="1366"/>
      <c r="AM750" s="1366"/>
      <c r="AN750" s="1366"/>
      <c r="AO750" s="136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51">
        <f t="shared" si="39"/>
        <v>0</v>
      </c>
      <c r="CH750" s="1553"/>
      <c r="CI750" s="1554">
        <f t="shared" si="40"/>
        <v>0</v>
      </c>
      <c r="CJ750" s="1555"/>
      <c r="CK750" s="1551">
        <f t="shared" si="18"/>
        <v>0</v>
      </c>
      <c r="CL750" s="1553"/>
      <c r="CM750" s="1554">
        <f t="shared" si="19"/>
        <v>0</v>
      </c>
      <c r="CN750" s="1555"/>
      <c r="CO750" s="3"/>
      <c r="CP750" s="1544">
        <f t="shared" si="20"/>
        <v>0</v>
      </c>
      <c r="CQ750" s="1545"/>
      <c r="CR750" s="1545"/>
      <c r="CS750" s="1545"/>
      <c r="CT750" s="1546"/>
      <c r="CU750" s="1540">
        <f t="shared" si="21"/>
        <v>0</v>
      </c>
      <c r="CV750" s="1540"/>
      <c r="CW750" s="1540"/>
      <c r="CX750" s="1540"/>
      <c r="CY750" s="1540"/>
      <c r="CZ750" s="1540">
        <f t="shared" si="22"/>
        <v>0</v>
      </c>
      <c r="DA750" s="1540"/>
      <c r="DB750" s="1540"/>
      <c r="DC750" s="1540"/>
      <c r="DD750" s="1540"/>
      <c r="DE750" s="1540">
        <f t="shared" si="23"/>
        <v>0</v>
      </c>
      <c r="DF750" s="1540"/>
      <c r="DG750" s="1540"/>
      <c r="DH750" s="1540"/>
      <c r="DI750" s="1540"/>
      <c r="DJ750" s="1540">
        <f t="shared" si="24"/>
        <v>0</v>
      </c>
      <c r="DK750" s="1540"/>
      <c r="DL750" s="1540"/>
      <c r="DM750" s="1540"/>
      <c r="DN750" s="1540"/>
      <c r="DO750" s="1540">
        <f t="shared" si="25"/>
        <v>0</v>
      </c>
      <c r="DP750" s="1540"/>
      <c r="DQ750" s="1540"/>
      <c r="DR750" s="1540"/>
      <c r="DS750" s="1540"/>
      <c r="DT750" s="6"/>
      <c r="DU750" s="1538">
        <f t="shared" si="26"/>
        <v>0</v>
      </c>
      <c r="DV750" s="1538"/>
      <c r="DW750" s="1538"/>
      <c r="DX750" s="1538"/>
      <c r="DY750" s="1538"/>
      <c r="DZ750" s="1538">
        <f t="shared" si="27"/>
        <v>0</v>
      </c>
      <c r="EA750" s="1538"/>
      <c r="EB750" s="1538"/>
      <c r="EC750" s="1538"/>
      <c r="ED750" s="1538"/>
      <c r="EE750" s="1538">
        <f t="shared" si="28"/>
        <v>0</v>
      </c>
      <c r="EF750" s="1538"/>
      <c r="EG750" s="1538"/>
      <c r="EH750" s="1538"/>
      <c r="EI750" s="1538"/>
      <c r="EJ750" s="1538">
        <f t="shared" si="29"/>
        <v>0</v>
      </c>
      <c r="EK750" s="1538"/>
      <c r="EL750" s="1538"/>
      <c r="EM750" s="1538"/>
      <c r="EN750" s="1538"/>
      <c r="EO750" s="1538">
        <f t="shared" si="30"/>
        <v>0</v>
      </c>
      <c r="EP750" s="1538"/>
      <c r="EQ750" s="1538"/>
      <c r="ER750" s="1538"/>
      <c r="ES750" s="1538"/>
      <c r="ET750" s="1538">
        <f t="shared" si="31"/>
        <v>0</v>
      </c>
      <c r="EU750" s="1538"/>
      <c r="EV750" s="1538"/>
      <c r="EW750" s="1538"/>
      <c r="EX750" s="1538"/>
      <c r="EZ750" s="1551" t="str">
        <f t="shared" si="32"/>
        <v/>
      </c>
      <c r="FA750" s="1552"/>
      <c r="FB750" s="1552"/>
      <c r="FC750" s="1552"/>
      <c r="FD750" s="1553"/>
      <c r="FE750" s="1551" t="str">
        <f t="shared" si="33"/>
        <v/>
      </c>
      <c r="FF750" s="1552"/>
      <c r="FG750" s="1552"/>
      <c r="FH750" s="1552"/>
      <c r="FI750" s="1553"/>
      <c r="FJ750" s="1551" t="str">
        <f t="shared" si="34"/>
        <v/>
      </c>
      <c r="FK750" s="1552"/>
      <c r="FL750" s="1552"/>
      <c r="FM750" s="1552"/>
      <c r="FN750" s="1553"/>
      <c r="FO750" s="1551" t="str">
        <f t="shared" si="35"/>
        <v/>
      </c>
      <c r="FP750" s="1552"/>
      <c r="FQ750" s="1552"/>
      <c r="FR750" s="1552"/>
      <c r="FS750" s="1553"/>
      <c r="FT750" s="1551" t="str">
        <f t="shared" si="36"/>
        <v/>
      </c>
      <c r="FU750" s="1552"/>
      <c r="FV750" s="1552"/>
      <c r="FW750" s="1552"/>
      <c r="FX750" s="1553"/>
      <c r="FY750" s="1551" t="str">
        <f t="shared" si="37"/>
        <v/>
      </c>
      <c r="FZ750" s="1552"/>
      <c r="GA750" s="1552"/>
      <c r="GB750" s="1552"/>
      <c r="GC750" s="1553"/>
    </row>
    <row r="751" spans="1:185" s="3" customFormat="1" ht="12.9" customHeight="1">
      <c r="A751"/>
      <c r="B751" s="1365"/>
      <c r="C751" s="1366"/>
      <c r="D751" s="1366"/>
      <c r="E751" s="1366"/>
      <c r="F751" s="1367"/>
      <c r="G751" s="1359"/>
      <c r="H751" s="1360"/>
      <c r="I751" s="1360"/>
      <c r="J751" s="1361"/>
      <c r="K751" s="1362"/>
      <c r="L751" s="1363"/>
      <c r="M751" s="1363"/>
      <c r="N751" s="1364"/>
      <c r="O751" s="1411"/>
      <c r="P751" s="1412"/>
      <c r="Q751" s="1412"/>
      <c r="R751" s="1412"/>
      <c r="S751" s="1413"/>
      <c r="T751" s="1411"/>
      <c r="U751" s="1412"/>
      <c r="V751" s="1412"/>
      <c r="W751" s="1413"/>
      <c r="X751" s="1414">
        <f t="shared" si="65"/>
        <v>0</v>
      </c>
      <c r="Y751" s="1410"/>
      <c r="Z751" s="1410"/>
      <c r="AA751" s="1410"/>
      <c r="AB751" s="1415"/>
      <c r="AC751" s="1416"/>
      <c r="AD751" s="1417"/>
      <c r="AE751" s="1417"/>
      <c r="AF751" s="1417"/>
      <c r="AG751" s="1418"/>
      <c r="AH751" s="1443" t="str">
        <f t="shared" si="38"/>
        <v/>
      </c>
      <c r="AI751" s="1444"/>
      <c r="AJ751" s="1445"/>
      <c r="AK751" s="1365" t="s">
        <v>591</v>
      </c>
      <c r="AL751" s="1366"/>
      <c r="AM751" s="1366"/>
      <c r="AN751" s="1366"/>
      <c r="AO751" s="136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51">
        <f t="shared" si="39"/>
        <v>0</v>
      </c>
      <c r="CH751" s="1553"/>
      <c r="CI751" s="1554">
        <f t="shared" si="40"/>
        <v>0</v>
      </c>
      <c r="CJ751" s="1555"/>
      <c r="CK751" s="1551">
        <f t="shared" si="18"/>
        <v>0</v>
      </c>
      <c r="CL751" s="1553"/>
      <c r="CM751" s="1554">
        <f t="shared" si="19"/>
        <v>0</v>
      </c>
      <c r="CN751" s="1555"/>
      <c r="CP751" s="1544">
        <f t="shared" si="20"/>
        <v>0</v>
      </c>
      <c r="CQ751" s="1545"/>
      <c r="CR751" s="1545"/>
      <c r="CS751" s="1545"/>
      <c r="CT751" s="1546"/>
      <c r="CU751" s="1540">
        <f t="shared" si="21"/>
        <v>0</v>
      </c>
      <c r="CV751" s="1540"/>
      <c r="CW751" s="1540"/>
      <c r="CX751" s="1540"/>
      <c r="CY751" s="1540"/>
      <c r="CZ751" s="1540">
        <f t="shared" si="22"/>
        <v>0</v>
      </c>
      <c r="DA751" s="1540"/>
      <c r="DB751" s="1540"/>
      <c r="DC751" s="1540"/>
      <c r="DD751" s="1540"/>
      <c r="DE751" s="1540">
        <f t="shared" si="23"/>
        <v>0</v>
      </c>
      <c r="DF751" s="1540"/>
      <c r="DG751" s="1540"/>
      <c r="DH751" s="1540"/>
      <c r="DI751" s="1540"/>
      <c r="DJ751" s="1540">
        <f t="shared" si="24"/>
        <v>0</v>
      </c>
      <c r="DK751" s="1540"/>
      <c r="DL751" s="1540"/>
      <c r="DM751" s="1540"/>
      <c r="DN751" s="1540"/>
      <c r="DO751" s="1540">
        <f t="shared" si="25"/>
        <v>0</v>
      </c>
      <c r="DP751" s="1540"/>
      <c r="DQ751" s="1540"/>
      <c r="DR751" s="1540"/>
      <c r="DS751" s="1540"/>
      <c r="DT751" s="6"/>
      <c r="DU751" s="1538">
        <f t="shared" si="26"/>
        <v>0</v>
      </c>
      <c r="DV751" s="1538"/>
      <c r="DW751" s="1538"/>
      <c r="DX751" s="1538"/>
      <c r="DY751" s="1538"/>
      <c r="DZ751" s="1538">
        <f t="shared" si="27"/>
        <v>0</v>
      </c>
      <c r="EA751" s="1538"/>
      <c r="EB751" s="1538"/>
      <c r="EC751" s="1538"/>
      <c r="ED751" s="1538"/>
      <c r="EE751" s="1538">
        <f t="shared" si="28"/>
        <v>0</v>
      </c>
      <c r="EF751" s="1538"/>
      <c r="EG751" s="1538"/>
      <c r="EH751" s="1538"/>
      <c r="EI751" s="1538"/>
      <c r="EJ751" s="1538">
        <f t="shared" si="29"/>
        <v>0</v>
      </c>
      <c r="EK751" s="1538"/>
      <c r="EL751" s="1538"/>
      <c r="EM751" s="1538"/>
      <c r="EN751" s="1538"/>
      <c r="EO751" s="1538">
        <f t="shared" si="30"/>
        <v>0</v>
      </c>
      <c r="EP751" s="1538"/>
      <c r="EQ751" s="1538"/>
      <c r="ER751" s="1538"/>
      <c r="ES751" s="1538"/>
      <c r="ET751" s="1538">
        <f t="shared" si="31"/>
        <v>0</v>
      </c>
      <c r="EU751" s="1538"/>
      <c r="EV751" s="1538"/>
      <c r="EW751" s="1538"/>
      <c r="EX751" s="1538"/>
      <c r="EY751"/>
      <c r="EZ751" s="1551" t="str">
        <f t="shared" si="32"/>
        <v/>
      </c>
      <c r="FA751" s="1552"/>
      <c r="FB751" s="1552"/>
      <c r="FC751" s="1552"/>
      <c r="FD751" s="1553"/>
      <c r="FE751" s="1551" t="str">
        <f t="shared" si="33"/>
        <v/>
      </c>
      <c r="FF751" s="1552"/>
      <c r="FG751" s="1552"/>
      <c r="FH751" s="1552"/>
      <c r="FI751" s="1553"/>
      <c r="FJ751" s="1551" t="str">
        <f t="shared" si="34"/>
        <v/>
      </c>
      <c r="FK751" s="1552"/>
      <c r="FL751" s="1552"/>
      <c r="FM751" s="1552"/>
      <c r="FN751" s="1553"/>
      <c r="FO751" s="1551" t="str">
        <f t="shared" si="35"/>
        <v/>
      </c>
      <c r="FP751" s="1552"/>
      <c r="FQ751" s="1552"/>
      <c r="FR751" s="1552"/>
      <c r="FS751" s="1553"/>
      <c r="FT751" s="1551" t="str">
        <f t="shared" si="36"/>
        <v/>
      </c>
      <c r="FU751" s="1552"/>
      <c r="FV751" s="1552"/>
      <c r="FW751" s="1552"/>
      <c r="FX751" s="1553"/>
      <c r="FY751" s="1551" t="str">
        <f t="shared" si="37"/>
        <v/>
      </c>
      <c r="FZ751" s="1552"/>
      <c r="GA751" s="1552"/>
      <c r="GB751" s="1552"/>
      <c r="GC751" s="1553"/>
    </row>
    <row r="752" spans="1:185" ht="12.9" customHeight="1">
      <c r="B752" s="1365"/>
      <c r="C752" s="1366"/>
      <c r="D752" s="1366"/>
      <c r="E752" s="1366"/>
      <c r="F752" s="1367"/>
      <c r="G752" s="1359"/>
      <c r="H752" s="1360"/>
      <c r="I752" s="1360"/>
      <c r="J752" s="1361"/>
      <c r="K752" s="1362"/>
      <c r="L752" s="1363"/>
      <c r="M752" s="1363"/>
      <c r="N752" s="1364"/>
      <c r="O752" s="1411"/>
      <c r="P752" s="1412"/>
      <c r="Q752" s="1412"/>
      <c r="R752" s="1412"/>
      <c r="S752" s="1413"/>
      <c r="T752" s="1411"/>
      <c r="U752" s="1412"/>
      <c r="V752" s="1412"/>
      <c r="W752" s="1413"/>
      <c r="X752" s="1414">
        <f t="shared" si="65"/>
        <v>0</v>
      </c>
      <c r="Y752" s="1410"/>
      <c r="Z752" s="1410"/>
      <c r="AA752" s="1410"/>
      <c r="AB752" s="1415"/>
      <c r="AC752" s="1416"/>
      <c r="AD752" s="1417"/>
      <c r="AE752" s="1417"/>
      <c r="AF752" s="1417"/>
      <c r="AG752" s="1418"/>
      <c r="AH752" s="1443" t="str">
        <f t="shared" si="38"/>
        <v/>
      </c>
      <c r="AI752" s="1444"/>
      <c r="AJ752" s="1445"/>
      <c r="AK752" s="1365" t="s">
        <v>591</v>
      </c>
      <c r="AL752" s="1366"/>
      <c r="AM752" s="1366"/>
      <c r="AN752" s="1366"/>
      <c r="AO752" s="136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51">
        <f t="shared" si="39"/>
        <v>0</v>
      </c>
      <c r="CH752" s="1553"/>
      <c r="CI752" s="1554">
        <f t="shared" si="40"/>
        <v>0</v>
      </c>
      <c r="CJ752" s="1555"/>
      <c r="CK752" s="1551">
        <f t="shared" si="18"/>
        <v>0</v>
      </c>
      <c r="CL752" s="1553"/>
      <c r="CM752" s="1554">
        <f t="shared" si="19"/>
        <v>0</v>
      </c>
      <c r="CN752" s="1555"/>
      <c r="CO752" s="3"/>
      <c r="CP752" s="1544">
        <f t="shared" si="20"/>
        <v>0</v>
      </c>
      <c r="CQ752" s="1545"/>
      <c r="CR752" s="1545"/>
      <c r="CS752" s="1545"/>
      <c r="CT752" s="1546"/>
      <c r="CU752" s="1540">
        <f t="shared" si="21"/>
        <v>0</v>
      </c>
      <c r="CV752" s="1540"/>
      <c r="CW752" s="1540"/>
      <c r="CX752" s="1540"/>
      <c r="CY752" s="1540"/>
      <c r="CZ752" s="1540">
        <f t="shared" si="22"/>
        <v>0</v>
      </c>
      <c r="DA752" s="1540"/>
      <c r="DB752" s="1540"/>
      <c r="DC752" s="1540"/>
      <c r="DD752" s="1540"/>
      <c r="DE752" s="1540">
        <f t="shared" si="23"/>
        <v>0</v>
      </c>
      <c r="DF752" s="1540"/>
      <c r="DG752" s="1540"/>
      <c r="DH752" s="1540"/>
      <c r="DI752" s="1540"/>
      <c r="DJ752" s="1540">
        <f t="shared" si="24"/>
        <v>0</v>
      </c>
      <c r="DK752" s="1540"/>
      <c r="DL752" s="1540"/>
      <c r="DM752" s="1540"/>
      <c r="DN752" s="1540"/>
      <c r="DO752" s="1540">
        <f t="shared" si="25"/>
        <v>0</v>
      </c>
      <c r="DP752" s="1540"/>
      <c r="DQ752" s="1540"/>
      <c r="DR752" s="1540"/>
      <c r="DS752" s="1540"/>
      <c r="DT752" s="6"/>
      <c r="DU752" s="1538">
        <f t="shared" si="26"/>
        <v>0</v>
      </c>
      <c r="DV752" s="1538"/>
      <c r="DW752" s="1538"/>
      <c r="DX752" s="1538"/>
      <c r="DY752" s="1538"/>
      <c r="DZ752" s="1538">
        <f t="shared" si="27"/>
        <v>0</v>
      </c>
      <c r="EA752" s="1538"/>
      <c r="EB752" s="1538"/>
      <c r="EC752" s="1538"/>
      <c r="ED752" s="1538"/>
      <c r="EE752" s="1538">
        <f t="shared" si="28"/>
        <v>0</v>
      </c>
      <c r="EF752" s="1538"/>
      <c r="EG752" s="1538"/>
      <c r="EH752" s="1538"/>
      <c r="EI752" s="1538"/>
      <c r="EJ752" s="1538">
        <f t="shared" si="29"/>
        <v>0</v>
      </c>
      <c r="EK752" s="1538"/>
      <c r="EL752" s="1538"/>
      <c r="EM752" s="1538"/>
      <c r="EN752" s="1538"/>
      <c r="EO752" s="1538">
        <f t="shared" si="30"/>
        <v>0</v>
      </c>
      <c r="EP752" s="1538"/>
      <c r="EQ752" s="1538"/>
      <c r="ER752" s="1538"/>
      <c r="ES752" s="1538"/>
      <c r="ET752" s="1538">
        <f t="shared" si="31"/>
        <v>0</v>
      </c>
      <c r="EU752" s="1538"/>
      <c r="EV752" s="1538"/>
      <c r="EW752" s="1538"/>
      <c r="EX752" s="1538"/>
      <c r="EZ752" s="1551" t="str">
        <f t="shared" si="32"/>
        <v/>
      </c>
      <c r="FA752" s="1552"/>
      <c r="FB752" s="1552"/>
      <c r="FC752" s="1552"/>
      <c r="FD752" s="1553"/>
      <c r="FE752" s="1551" t="str">
        <f t="shared" si="33"/>
        <v/>
      </c>
      <c r="FF752" s="1552"/>
      <c r="FG752" s="1552"/>
      <c r="FH752" s="1552"/>
      <c r="FI752" s="1553"/>
      <c r="FJ752" s="1551" t="str">
        <f t="shared" si="34"/>
        <v/>
      </c>
      <c r="FK752" s="1552"/>
      <c r="FL752" s="1552"/>
      <c r="FM752" s="1552"/>
      <c r="FN752" s="1553"/>
      <c r="FO752" s="1551" t="str">
        <f t="shared" si="35"/>
        <v/>
      </c>
      <c r="FP752" s="1552"/>
      <c r="FQ752" s="1552"/>
      <c r="FR752" s="1552"/>
      <c r="FS752" s="1553"/>
      <c r="FT752" s="1551" t="str">
        <f t="shared" si="36"/>
        <v/>
      </c>
      <c r="FU752" s="1552"/>
      <c r="FV752" s="1552"/>
      <c r="FW752" s="1552"/>
      <c r="FX752" s="1553"/>
      <c r="FY752" s="1551" t="str">
        <f t="shared" si="37"/>
        <v/>
      </c>
      <c r="FZ752" s="1552"/>
      <c r="GA752" s="1552"/>
      <c r="GB752" s="1552"/>
      <c r="GC752" s="1553"/>
    </row>
    <row r="753" spans="1:185" ht="12.9" customHeight="1">
      <c r="B753" s="1365"/>
      <c r="C753" s="1366"/>
      <c r="D753" s="1366"/>
      <c r="E753" s="1366"/>
      <c r="F753" s="1367"/>
      <c r="G753" s="1359"/>
      <c r="H753" s="1360"/>
      <c r="I753" s="1360"/>
      <c r="J753" s="1361"/>
      <c r="K753" s="1362"/>
      <c r="L753" s="1363"/>
      <c r="M753" s="1363"/>
      <c r="N753" s="1364"/>
      <c r="O753" s="1411"/>
      <c r="P753" s="1412"/>
      <c r="Q753" s="1412"/>
      <c r="R753" s="1412"/>
      <c r="S753" s="1413"/>
      <c r="T753" s="1411"/>
      <c r="U753" s="1412"/>
      <c r="V753" s="1412"/>
      <c r="W753" s="1413"/>
      <c r="X753" s="1414">
        <f t="shared" si="65"/>
        <v>0</v>
      </c>
      <c r="Y753" s="1410"/>
      <c r="Z753" s="1410"/>
      <c r="AA753" s="1410"/>
      <c r="AB753" s="1415"/>
      <c r="AC753" s="1416"/>
      <c r="AD753" s="1417"/>
      <c r="AE753" s="1417"/>
      <c r="AF753" s="1417"/>
      <c r="AG753" s="1418"/>
      <c r="AH753" s="1443" t="str">
        <f t="shared" si="38"/>
        <v/>
      </c>
      <c r="AI753" s="1444"/>
      <c r="AJ753" s="1445"/>
      <c r="AK753" s="1365" t="s">
        <v>591</v>
      </c>
      <c r="AL753" s="1366"/>
      <c r="AM753" s="1366"/>
      <c r="AN753" s="1366"/>
      <c r="AO753" s="136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51">
        <f t="shared" si="39"/>
        <v>0</v>
      </c>
      <c r="CH753" s="1553"/>
      <c r="CI753" s="1554">
        <f t="shared" si="40"/>
        <v>0</v>
      </c>
      <c r="CJ753" s="1555"/>
      <c r="CK753" s="1551">
        <f t="shared" si="18"/>
        <v>0</v>
      </c>
      <c r="CL753" s="1553"/>
      <c r="CM753" s="1554">
        <f t="shared" si="19"/>
        <v>0</v>
      </c>
      <c r="CN753" s="1555"/>
      <c r="CO753" s="3"/>
      <c r="CP753" s="1544">
        <f t="shared" si="20"/>
        <v>0</v>
      </c>
      <c r="CQ753" s="1545"/>
      <c r="CR753" s="1545"/>
      <c r="CS753" s="1545"/>
      <c r="CT753" s="1546"/>
      <c r="CU753" s="1540">
        <f t="shared" si="21"/>
        <v>0</v>
      </c>
      <c r="CV753" s="1540"/>
      <c r="CW753" s="1540"/>
      <c r="CX753" s="1540"/>
      <c r="CY753" s="1540"/>
      <c r="CZ753" s="1540">
        <f t="shared" si="22"/>
        <v>0</v>
      </c>
      <c r="DA753" s="1540"/>
      <c r="DB753" s="1540"/>
      <c r="DC753" s="1540"/>
      <c r="DD753" s="1540"/>
      <c r="DE753" s="1540">
        <f t="shared" si="23"/>
        <v>0</v>
      </c>
      <c r="DF753" s="1540"/>
      <c r="DG753" s="1540"/>
      <c r="DH753" s="1540"/>
      <c r="DI753" s="1540"/>
      <c r="DJ753" s="1540">
        <f t="shared" si="24"/>
        <v>0</v>
      </c>
      <c r="DK753" s="1540"/>
      <c r="DL753" s="1540"/>
      <c r="DM753" s="1540"/>
      <c r="DN753" s="1540"/>
      <c r="DO753" s="1540">
        <f t="shared" si="25"/>
        <v>0</v>
      </c>
      <c r="DP753" s="1540"/>
      <c r="DQ753" s="1540"/>
      <c r="DR753" s="1540"/>
      <c r="DS753" s="1540"/>
      <c r="DT753" s="6"/>
      <c r="DU753" s="1538">
        <f t="shared" si="26"/>
        <v>0</v>
      </c>
      <c r="DV753" s="1538"/>
      <c r="DW753" s="1538"/>
      <c r="DX753" s="1538"/>
      <c r="DY753" s="1538"/>
      <c r="DZ753" s="1538">
        <f t="shared" si="27"/>
        <v>0</v>
      </c>
      <c r="EA753" s="1538"/>
      <c r="EB753" s="1538"/>
      <c r="EC753" s="1538"/>
      <c r="ED753" s="1538"/>
      <c r="EE753" s="1538">
        <f t="shared" si="28"/>
        <v>0</v>
      </c>
      <c r="EF753" s="1538"/>
      <c r="EG753" s="1538"/>
      <c r="EH753" s="1538"/>
      <c r="EI753" s="1538"/>
      <c r="EJ753" s="1538">
        <f t="shared" si="29"/>
        <v>0</v>
      </c>
      <c r="EK753" s="1538"/>
      <c r="EL753" s="1538"/>
      <c r="EM753" s="1538"/>
      <c r="EN753" s="1538"/>
      <c r="EO753" s="1538">
        <f t="shared" si="30"/>
        <v>0</v>
      </c>
      <c r="EP753" s="1538"/>
      <c r="EQ753" s="1538"/>
      <c r="ER753" s="1538"/>
      <c r="ES753" s="1538"/>
      <c r="ET753" s="1538">
        <f t="shared" si="31"/>
        <v>0</v>
      </c>
      <c r="EU753" s="1538"/>
      <c r="EV753" s="1538"/>
      <c r="EW753" s="1538"/>
      <c r="EX753" s="1538"/>
      <c r="EZ753" s="1551" t="str">
        <f t="shared" si="32"/>
        <v/>
      </c>
      <c r="FA753" s="1552"/>
      <c r="FB753" s="1552"/>
      <c r="FC753" s="1552"/>
      <c r="FD753" s="1553"/>
      <c r="FE753" s="1551" t="str">
        <f t="shared" si="33"/>
        <v/>
      </c>
      <c r="FF753" s="1552"/>
      <c r="FG753" s="1552"/>
      <c r="FH753" s="1552"/>
      <c r="FI753" s="1553"/>
      <c r="FJ753" s="1551" t="str">
        <f t="shared" si="34"/>
        <v/>
      </c>
      <c r="FK753" s="1552"/>
      <c r="FL753" s="1552"/>
      <c r="FM753" s="1552"/>
      <c r="FN753" s="1553"/>
      <c r="FO753" s="1551" t="str">
        <f t="shared" si="35"/>
        <v/>
      </c>
      <c r="FP753" s="1552"/>
      <c r="FQ753" s="1552"/>
      <c r="FR753" s="1552"/>
      <c r="FS753" s="1553"/>
      <c r="FT753" s="1551" t="str">
        <f t="shared" si="36"/>
        <v/>
      </c>
      <c r="FU753" s="1552"/>
      <c r="FV753" s="1552"/>
      <c r="FW753" s="1552"/>
      <c r="FX753" s="1553"/>
      <c r="FY753" s="1551" t="str">
        <f t="shared" si="37"/>
        <v/>
      </c>
      <c r="FZ753" s="1552"/>
      <c r="GA753" s="1552"/>
      <c r="GB753" s="1552"/>
      <c r="GC753" s="1553"/>
    </row>
    <row r="754" spans="1:185" ht="12.9" customHeight="1">
      <c r="B754" s="1365"/>
      <c r="C754" s="1366"/>
      <c r="D754" s="1366"/>
      <c r="E754" s="1366"/>
      <c r="F754" s="1367"/>
      <c r="G754" s="1359"/>
      <c r="H754" s="1360"/>
      <c r="I754" s="1360"/>
      <c r="J754" s="1361"/>
      <c r="K754" s="1362"/>
      <c r="L754" s="1363"/>
      <c r="M754" s="1363"/>
      <c r="N754" s="1364"/>
      <c r="O754" s="1411"/>
      <c r="P754" s="1412"/>
      <c r="Q754" s="1412"/>
      <c r="R754" s="1412"/>
      <c r="S754" s="1413"/>
      <c r="T754" s="1411"/>
      <c r="U754" s="1412"/>
      <c r="V754" s="1412"/>
      <c r="W754" s="1413"/>
      <c r="X754" s="1414">
        <f t="shared" si="65"/>
        <v>0</v>
      </c>
      <c r="Y754" s="1410"/>
      <c r="Z754" s="1410"/>
      <c r="AA754" s="1410"/>
      <c r="AB754" s="1415"/>
      <c r="AC754" s="1416"/>
      <c r="AD754" s="1417"/>
      <c r="AE754" s="1417"/>
      <c r="AF754" s="1417"/>
      <c r="AG754" s="1418"/>
      <c r="AH754" s="1443" t="str">
        <f t="shared" si="38"/>
        <v/>
      </c>
      <c r="AI754" s="1444"/>
      <c r="AJ754" s="1445"/>
      <c r="AK754" s="1365" t="s">
        <v>591</v>
      </c>
      <c r="AL754" s="1366"/>
      <c r="AM754" s="1366"/>
      <c r="AN754" s="1366"/>
      <c r="AO754" s="136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51">
        <f t="shared" si="39"/>
        <v>0</v>
      </c>
      <c r="CH754" s="1553"/>
      <c r="CI754" s="1554">
        <f t="shared" si="40"/>
        <v>0</v>
      </c>
      <c r="CJ754" s="1555"/>
      <c r="CK754" s="1551">
        <f t="shared" si="18"/>
        <v>0</v>
      </c>
      <c r="CL754" s="1553"/>
      <c r="CM754" s="1554">
        <f t="shared" si="19"/>
        <v>0</v>
      </c>
      <c r="CN754" s="1555"/>
      <c r="CO754" s="3"/>
      <c r="CP754" s="1544">
        <f t="shared" si="20"/>
        <v>0</v>
      </c>
      <c r="CQ754" s="1545"/>
      <c r="CR754" s="1545"/>
      <c r="CS754" s="1545"/>
      <c r="CT754" s="1546"/>
      <c r="CU754" s="1540">
        <f t="shared" si="21"/>
        <v>0</v>
      </c>
      <c r="CV754" s="1540"/>
      <c r="CW754" s="1540"/>
      <c r="CX754" s="1540"/>
      <c r="CY754" s="1540"/>
      <c r="CZ754" s="1540">
        <f t="shared" si="22"/>
        <v>0</v>
      </c>
      <c r="DA754" s="1540"/>
      <c r="DB754" s="1540"/>
      <c r="DC754" s="1540"/>
      <c r="DD754" s="1540"/>
      <c r="DE754" s="1540">
        <f t="shared" si="23"/>
        <v>0</v>
      </c>
      <c r="DF754" s="1540"/>
      <c r="DG754" s="1540"/>
      <c r="DH754" s="1540"/>
      <c r="DI754" s="1540"/>
      <c r="DJ754" s="1540">
        <f t="shared" si="24"/>
        <v>0</v>
      </c>
      <c r="DK754" s="1540"/>
      <c r="DL754" s="1540"/>
      <c r="DM754" s="1540"/>
      <c r="DN754" s="1540"/>
      <c r="DO754" s="1540">
        <f t="shared" si="25"/>
        <v>0</v>
      </c>
      <c r="DP754" s="1540"/>
      <c r="DQ754" s="1540"/>
      <c r="DR754" s="1540"/>
      <c r="DS754" s="1540"/>
      <c r="DT754" s="6"/>
      <c r="DU754" s="1538">
        <f t="shared" si="26"/>
        <v>0</v>
      </c>
      <c r="DV754" s="1538"/>
      <c r="DW754" s="1538"/>
      <c r="DX754" s="1538"/>
      <c r="DY754" s="1538"/>
      <c r="DZ754" s="1538">
        <f t="shared" si="27"/>
        <v>0</v>
      </c>
      <c r="EA754" s="1538"/>
      <c r="EB754" s="1538"/>
      <c r="EC754" s="1538"/>
      <c r="ED754" s="1538"/>
      <c r="EE754" s="1538">
        <f t="shared" si="28"/>
        <v>0</v>
      </c>
      <c r="EF754" s="1538"/>
      <c r="EG754" s="1538"/>
      <c r="EH754" s="1538"/>
      <c r="EI754" s="1538"/>
      <c r="EJ754" s="1538">
        <f t="shared" si="29"/>
        <v>0</v>
      </c>
      <c r="EK754" s="1538"/>
      <c r="EL754" s="1538"/>
      <c r="EM754" s="1538"/>
      <c r="EN754" s="1538"/>
      <c r="EO754" s="1538">
        <f t="shared" si="30"/>
        <v>0</v>
      </c>
      <c r="EP754" s="1538"/>
      <c r="EQ754" s="1538"/>
      <c r="ER754" s="1538"/>
      <c r="ES754" s="1538"/>
      <c r="ET754" s="1538">
        <f t="shared" si="31"/>
        <v>0</v>
      </c>
      <c r="EU754" s="1538"/>
      <c r="EV754" s="1538"/>
      <c r="EW754" s="1538"/>
      <c r="EX754" s="1538"/>
      <c r="EZ754" s="1551" t="str">
        <f t="shared" si="32"/>
        <v/>
      </c>
      <c r="FA754" s="1552"/>
      <c r="FB754" s="1552"/>
      <c r="FC754" s="1552"/>
      <c r="FD754" s="1553"/>
      <c r="FE754" s="1551" t="str">
        <f t="shared" si="33"/>
        <v/>
      </c>
      <c r="FF754" s="1552"/>
      <c r="FG754" s="1552"/>
      <c r="FH754" s="1552"/>
      <c r="FI754" s="1553"/>
      <c r="FJ754" s="1551" t="str">
        <f t="shared" si="34"/>
        <v/>
      </c>
      <c r="FK754" s="1552"/>
      <c r="FL754" s="1552"/>
      <c r="FM754" s="1552"/>
      <c r="FN754" s="1553"/>
      <c r="FO754" s="1551" t="str">
        <f t="shared" si="35"/>
        <v/>
      </c>
      <c r="FP754" s="1552"/>
      <c r="FQ754" s="1552"/>
      <c r="FR754" s="1552"/>
      <c r="FS754" s="1553"/>
      <c r="FT754" s="1551" t="str">
        <f t="shared" si="36"/>
        <v/>
      </c>
      <c r="FU754" s="1552"/>
      <c r="FV754" s="1552"/>
      <c r="FW754" s="1552"/>
      <c r="FX754" s="1553"/>
      <c r="FY754" s="1551" t="str">
        <f t="shared" si="37"/>
        <v/>
      </c>
      <c r="FZ754" s="1552"/>
      <c r="GA754" s="1552"/>
      <c r="GB754" s="1552"/>
      <c r="GC754" s="1553"/>
    </row>
    <row r="755" spans="1:185" ht="12.9" customHeight="1">
      <c r="B755" s="1365"/>
      <c r="C755" s="1366"/>
      <c r="D755" s="1366"/>
      <c r="E755" s="1366"/>
      <c r="F755" s="1367"/>
      <c r="G755" s="1359"/>
      <c r="H755" s="1360"/>
      <c r="I755" s="1360"/>
      <c r="J755" s="1361"/>
      <c r="K755" s="1362"/>
      <c r="L755" s="1363"/>
      <c r="M755" s="1363"/>
      <c r="N755" s="1364"/>
      <c r="O755" s="1411"/>
      <c r="P755" s="1412"/>
      <c r="Q755" s="1412"/>
      <c r="R755" s="1412"/>
      <c r="S755" s="1413"/>
      <c r="T755" s="1411"/>
      <c r="U755" s="1412"/>
      <c r="V755" s="1412"/>
      <c r="W755" s="1413"/>
      <c r="X755" s="1414">
        <f t="shared" si="65"/>
        <v>0</v>
      </c>
      <c r="Y755" s="1410"/>
      <c r="Z755" s="1410"/>
      <c r="AA755" s="1410"/>
      <c r="AB755" s="1415"/>
      <c r="AC755" s="1416"/>
      <c r="AD755" s="1417"/>
      <c r="AE755" s="1417"/>
      <c r="AF755" s="1417"/>
      <c r="AG755" s="1418"/>
      <c r="AH755" s="1443" t="str">
        <f t="shared" si="38"/>
        <v/>
      </c>
      <c r="AI755" s="1444"/>
      <c r="AJ755" s="1445"/>
      <c r="AK755" s="1365" t="s">
        <v>591</v>
      </c>
      <c r="AL755" s="1366"/>
      <c r="AM755" s="1366"/>
      <c r="AN755" s="1366"/>
      <c r="AO755" s="136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51">
        <f t="shared" si="39"/>
        <v>0</v>
      </c>
      <c r="CH755" s="1553"/>
      <c r="CI755" s="1554">
        <f t="shared" si="40"/>
        <v>0</v>
      </c>
      <c r="CJ755" s="1555"/>
      <c r="CK755" s="1551">
        <f t="shared" si="18"/>
        <v>0</v>
      </c>
      <c r="CL755" s="1553"/>
      <c r="CM755" s="1554">
        <f t="shared" si="19"/>
        <v>0</v>
      </c>
      <c r="CN755" s="1555"/>
      <c r="CO755" s="3"/>
      <c r="CP755" s="1544">
        <f t="shared" si="20"/>
        <v>0</v>
      </c>
      <c r="CQ755" s="1545"/>
      <c r="CR755" s="1545"/>
      <c r="CS755" s="1545"/>
      <c r="CT755" s="1546"/>
      <c r="CU755" s="1540">
        <f t="shared" si="21"/>
        <v>0</v>
      </c>
      <c r="CV755" s="1540"/>
      <c r="CW755" s="1540"/>
      <c r="CX755" s="1540"/>
      <c r="CY755" s="1540"/>
      <c r="CZ755" s="1540">
        <f t="shared" si="22"/>
        <v>0</v>
      </c>
      <c r="DA755" s="1540"/>
      <c r="DB755" s="1540"/>
      <c r="DC755" s="1540"/>
      <c r="DD755" s="1540"/>
      <c r="DE755" s="1540">
        <f t="shared" si="23"/>
        <v>0</v>
      </c>
      <c r="DF755" s="1540"/>
      <c r="DG755" s="1540"/>
      <c r="DH755" s="1540"/>
      <c r="DI755" s="1540"/>
      <c r="DJ755" s="1540">
        <f t="shared" si="24"/>
        <v>0</v>
      </c>
      <c r="DK755" s="1540"/>
      <c r="DL755" s="1540"/>
      <c r="DM755" s="1540"/>
      <c r="DN755" s="1540"/>
      <c r="DO755" s="1540">
        <f t="shared" si="25"/>
        <v>0</v>
      </c>
      <c r="DP755" s="1540"/>
      <c r="DQ755" s="1540"/>
      <c r="DR755" s="1540"/>
      <c r="DS755" s="1540"/>
      <c r="DT755" s="6"/>
      <c r="DU755" s="1538">
        <f t="shared" si="26"/>
        <v>0</v>
      </c>
      <c r="DV755" s="1538"/>
      <c r="DW755" s="1538"/>
      <c r="DX755" s="1538"/>
      <c r="DY755" s="1538"/>
      <c r="DZ755" s="1538">
        <f t="shared" si="27"/>
        <v>0</v>
      </c>
      <c r="EA755" s="1538"/>
      <c r="EB755" s="1538"/>
      <c r="EC755" s="1538"/>
      <c r="ED755" s="1538"/>
      <c r="EE755" s="1538">
        <f t="shared" si="28"/>
        <v>0</v>
      </c>
      <c r="EF755" s="1538"/>
      <c r="EG755" s="1538"/>
      <c r="EH755" s="1538"/>
      <c r="EI755" s="1538"/>
      <c r="EJ755" s="1538">
        <f t="shared" si="29"/>
        <v>0</v>
      </c>
      <c r="EK755" s="1538"/>
      <c r="EL755" s="1538"/>
      <c r="EM755" s="1538"/>
      <c r="EN755" s="1538"/>
      <c r="EO755" s="1538">
        <f t="shared" si="30"/>
        <v>0</v>
      </c>
      <c r="EP755" s="1538"/>
      <c r="EQ755" s="1538"/>
      <c r="ER755" s="1538"/>
      <c r="ES755" s="1538"/>
      <c r="ET755" s="1538">
        <f t="shared" si="31"/>
        <v>0</v>
      </c>
      <c r="EU755" s="1538"/>
      <c r="EV755" s="1538"/>
      <c r="EW755" s="1538"/>
      <c r="EX755" s="1538"/>
      <c r="EZ755" s="1551" t="str">
        <f t="shared" si="32"/>
        <v/>
      </c>
      <c r="FA755" s="1552"/>
      <c r="FB755" s="1552"/>
      <c r="FC755" s="1552"/>
      <c r="FD755" s="1553"/>
      <c r="FE755" s="1551" t="str">
        <f t="shared" si="33"/>
        <v/>
      </c>
      <c r="FF755" s="1552"/>
      <c r="FG755" s="1552"/>
      <c r="FH755" s="1552"/>
      <c r="FI755" s="1553"/>
      <c r="FJ755" s="1551" t="str">
        <f t="shared" si="34"/>
        <v/>
      </c>
      <c r="FK755" s="1552"/>
      <c r="FL755" s="1552"/>
      <c r="FM755" s="1552"/>
      <c r="FN755" s="1553"/>
      <c r="FO755" s="1551" t="str">
        <f t="shared" si="35"/>
        <v/>
      </c>
      <c r="FP755" s="1552"/>
      <c r="FQ755" s="1552"/>
      <c r="FR755" s="1552"/>
      <c r="FS755" s="1553"/>
      <c r="FT755" s="1551" t="str">
        <f t="shared" si="36"/>
        <v/>
      </c>
      <c r="FU755" s="1552"/>
      <c r="FV755" s="1552"/>
      <c r="FW755" s="1552"/>
      <c r="FX755" s="1553"/>
      <c r="FY755" s="1551" t="str">
        <f t="shared" si="37"/>
        <v/>
      </c>
      <c r="FZ755" s="1552"/>
      <c r="GA755" s="1552"/>
      <c r="GB755" s="1552"/>
      <c r="GC755" s="1553"/>
    </row>
    <row r="756" spans="1:185" s="3" customFormat="1" ht="12.9" customHeight="1">
      <c r="A756"/>
      <c r="B756" s="1365"/>
      <c r="C756" s="1366"/>
      <c r="D756" s="1366"/>
      <c r="E756" s="1366"/>
      <c r="F756" s="1367"/>
      <c r="G756" s="1359"/>
      <c r="H756" s="1360"/>
      <c r="I756" s="1360"/>
      <c r="J756" s="1361"/>
      <c r="K756" s="1362"/>
      <c r="L756" s="1363"/>
      <c r="M756" s="1363"/>
      <c r="N756" s="1364"/>
      <c r="O756" s="1411"/>
      <c r="P756" s="1412"/>
      <c r="Q756" s="1412"/>
      <c r="R756" s="1412"/>
      <c r="S756" s="1413"/>
      <c r="T756" s="1411"/>
      <c r="U756" s="1412"/>
      <c r="V756" s="1412"/>
      <c r="W756" s="1413"/>
      <c r="X756" s="1414">
        <f t="shared" si="65"/>
        <v>0</v>
      </c>
      <c r="Y756" s="1410"/>
      <c r="Z756" s="1410"/>
      <c r="AA756" s="1410"/>
      <c r="AB756" s="1415"/>
      <c r="AC756" s="1416"/>
      <c r="AD756" s="1417"/>
      <c r="AE756" s="1417"/>
      <c r="AF756" s="1417"/>
      <c r="AG756" s="1418"/>
      <c r="AH756" s="1443" t="str">
        <f t="shared" si="38"/>
        <v/>
      </c>
      <c r="AI756" s="1444"/>
      <c r="AJ756" s="1445"/>
      <c r="AK756" s="1365" t="s">
        <v>591</v>
      </c>
      <c r="AL756" s="1366"/>
      <c r="AM756" s="1366"/>
      <c r="AN756" s="1366"/>
      <c r="AO756" s="136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51">
        <f t="shared" si="39"/>
        <v>0</v>
      </c>
      <c r="CH756" s="1553"/>
      <c r="CI756" s="1554">
        <f t="shared" si="40"/>
        <v>0</v>
      </c>
      <c r="CJ756" s="1555"/>
      <c r="CK756" s="1551">
        <f t="shared" si="18"/>
        <v>0</v>
      </c>
      <c r="CL756" s="1553"/>
      <c r="CM756" s="1554">
        <f t="shared" si="19"/>
        <v>0</v>
      </c>
      <c r="CN756" s="1555"/>
      <c r="CP756" s="1544">
        <f t="shared" si="20"/>
        <v>0</v>
      </c>
      <c r="CQ756" s="1545"/>
      <c r="CR756" s="1545"/>
      <c r="CS756" s="1545"/>
      <c r="CT756" s="1546"/>
      <c r="CU756" s="1540">
        <f t="shared" si="21"/>
        <v>0</v>
      </c>
      <c r="CV756" s="1540"/>
      <c r="CW756" s="1540"/>
      <c r="CX756" s="1540"/>
      <c r="CY756" s="1540"/>
      <c r="CZ756" s="1540">
        <f t="shared" si="22"/>
        <v>0</v>
      </c>
      <c r="DA756" s="1540"/>
      <c r="DB756" s="1540"/>
      <c r="DC756" s="1540"/>
      <c r="DD756" s="1540"/>
      <c r="DE756" s="1540">
        <f t="shared" si="23"/>
        <v>0</v>
      </c>
      <c r="DF756" s="1540"/>
      <c r="DG756" s="1540"/>
      <c r="DH756" s="1540"/>
      <c r="DI756" s="1540"/>
      <c r="DJ756" s="1540">
        <f t="shared" si="24"/>
        <v>0</v>
      </c>
      <c r="DK756" s="1540"/>
      <c r="DL756" s="1540"/>
      <c r="DM756" s="1540"/>
      <c r="DN756" s="1540"/>
      <c r="DO756" s="1540">
        <f t="shared" si="25"/>
        <v>0</v>
      </c>
      <c r="DP756" s="1540"/>
      <c r="DQ756" s="1540"/>
      <c r="DR756" s="1540"/>
      <c r="DS756" s="1540"/>
      <c r="DT756" s="6"/>
      <c r="DU756" s="1538">
        <f t="shared" si="26"/>
        <v>0</v>
      </c>
      <c r="DV756" s="1538"/>
      <c r="DW756" s="1538"/>
      <c r="DX756" s="1538"/>
      <c r="DY756" s="1538"/>
      <c r="DZ756" s="1538">
        <f t="shared" si="27"/>
        <v>0</v>
      </c>
      <c r="EA756" s="1538"/>
      <c r="EB756" s="1538"/>
      <c r="EC756" s="1538"/>
      <c r="ED756" s="1538"/>
      <c r="EE756" s="1538">
        <f t="shared" si="28"/>
        <v>0</v>
      </c>
      <c r="EF756" s="1538"/>
      <c r="EG756" s="1538"/>
      <c r="EH756" s="1538"/>
      <c r="EI756" s="1538"/>
      <c r="EJ756" s="1538">
        <f t="shared" si="29"/>
        <v>0</v>
      </c>
      <c r="EK756" s="1538"/>
      <c r="EL756" s="1538"/>
      <c r="EM756" s="1538"/>
      <c r="EN756" s="1538"/>
      <c r="EO756" s="1538">
        <f t="shared" si="30"/>
        <v>0</v>
      </c>
      <c r="EP756" s="1538"/>
      <c r="EQ756" s="1538"/>
      <c r="ER756" s="1538"/>
      <c r="ES756" s="1538"/>
      <c r="ET756" s="1538">
        <f t="shared" si="31"/>
        <v>0</v>
      </c>
      <c r="EU756" s="1538"/>
      <c r="EV756" s="1538"/>
      <c r="EW756" s="1538"/>
      <c r="EX756" s="1538"/>
      <c r="EY756"/>
      <c r="EZ756" s="1551" t="str">
        <f t="shared" si="32"/>
        <v/>
      </c>
      <c r="FA756" s="1552"/>
      <c r="FB756" s="1552"/>
      <c r="FC756" s="1552"/>
      <c r="FD756" s="1553"/>
      <c r="FE756" s="1551" t="str">
        <f t="shared" si="33"/>
        <v/>
      </c>
      <c r="FF756" s="1552"/>
      <c r="FG756" s="1552"/>
      <c r="FH756" s="1552"/>
      <c r="FI756" s="1553"/>
      <c r="FJ756" s="1551" t="str">
        <f t="shared" si="34"/>
        <v/>
      </c>
      <c r="FK756" s="1552"/>
      <c r="FL756" s="1552"/>
      <c r="FM756" s="1552"/>
      <c r="FN756" s="1553"/>
      <c r="FO756" s="1551" t="str">
        <f t="shared" si="35"/>
        <v/>
      </c>
      <c r="FP756" s="1552"/>
      <c r="FQ756" s="1552"/>
      <c r="FR756" s="1552"/>
      <c r="FS756" s="1553"/>
      <c r="FT756" s="1551" t="str">
        <f t="shared" si="36"/>
        <v/>
      </c>
      <c r="FU756" s="1552"/>
      <c r="FV756" s="1552"/>
      <c r="FW756" s="1552"/>
      <c r="FX756" s="1553"/>
      <c r="FY756" s="1551" t="str">
        <f t="shared" si="37"/>
        <v/>
      </c>
      <c r="FZ756" s="1552"/>
      <c r="GA756" s="1552"/>
      <c r="GB756" s="1552"/>
      <c r="GC756" s="1553"/>
    </row>
    <row r="757" spans="1:185" s="3" customFormat="1" ht="12.9" customHeight="1">
      <c r="A757"/>
      <c r="B757" s="1365"/>
      <c r="C757" s="1366"/>
      <c r="D757" s="1366"/>
      <c r="E757" s="1366"/>
      <c r="F757" s="1367"/>
      <c r="G757" s="1359"/>
      <c r="H757" s="1360"/>
      <c r="I757" s="1360"/>
      <c r="J757" s="1361"/>
      <c r="K757" s="1362"/>
      <c r="L757" s="1363"/>
      <c r="M757" s="1363"/>
      <c r="N757" s="1364"/>
      <c r="O757" s="1411"/>
      <c r="P757" s="1412"/>
      <c r="Q757" s="1412"/>
      <c r="R757" s="1412"/>
      <c r="S757" s="1413"/>
      <c r="T757" s="1411"/>
      <c r="U757" s="1412"/>
      <c r="V757" s="1412"/>
      <c r="W757" s="1413"/>
      <c r="X757" s="1414">
        <f t="shared" si="65"/>
        <v>0</v>
      </c>
      <c r="Y757" s="1410"/>
      <c r="Z757" s="1410"/>
      <c r="AA757" s="1410"/>
      <c r="AB757" s="1415"/>
      <c r="AC757" s="1416"/>
      <c r="AD757" s="1417"/>
      <c r="AE757" s="1417"/>
      <c r="AF757" s="1417"/>
      <c r="AG757" s="1418"/>
      <c r="AH757" s="1443" t="str">
        <f t="shared" si="38"/>
        <v/>
      </c>
      <c r="AI757" s="1444"/>
      <c r="AJ757" s="1445"/>
      <c r="AK757" s="1365" t="s">
        <v>591</v>
      </c>
      <c r="AL757" s="1366"/>
      <c r="AM757" s="1366"/>
      <c r="AN757" s="1366"/>
      <c r="AO757" s="136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51">
        <f t="shared" si="39"/>
        <v>0</v>
      </c>
      <c r="CH757" s="1553"/>
      <c r="CI757" s="1554">
        <f t="shared" si="40"/>
        <v>0</v>
      </c>
      <c r="CJ757" s="1555"/>
      <c r="CK757" s="1551">
        <f t="shared" si="18"/>
        <v>0</v>
      </c>
      <c r="CL757" s="1553"/>
      <c r="CM757" s="1554">
        <f t="shared" si="19"/>
        <v>0</v>
      </c>
      <c r="CN757" s="1555"/>
      <c r="CP757" s="1544">
        <f t="shared" si="20"/>
        <v>0</v>
      </c>
      <c r="CQ757" s="1545"/>
      <c r="CR757" s="1545"/>
      <c r="CS757" s="1545"/>
      <c r="CT757" s="1546"/>
      <c r="CU757" s="1540">
        <f t="shared" si="21"/>
        <v>0</v>
      </c>
      <c r="CV757" s="1540"/>
      <c r="CW757" s="1540"/>
      <c r="CX757" s="1540"/>
      <c r="CY757" s="1540"/>
      <c r="CZ757" s="1540">
        <f t="shared" si="22"/>
        <v>0</v>
      </c>
      <c r="DA757" s="1540"/>
      <c r="DB757" s="1540"/>
      <c r="DC757" s="1540"/>
      <c r="DD757" s="1540"/>
      <c r="DE757" s="1540">
        <f t="shared" si="23"/>
        <v>0</v>
      </c>
      <c r="DF757" s="1540"/>
      <c r="DG757" s="1540"/>
      <c r="DH757" s="1540"/>
      <c r="DI757" s="1540"/>
      <c r="DJ757" s="1540">
        <f t="shared" si="24"/>
        <v>0</v>
      </c>
      <c r="DK757" s="1540"/>
      <c r="DL757" s="1540"/>
      <c r="DM757" s="1540"/>
      <c r="DN757" s="1540"/>
      <c r="DO757" s="1540">
        <f t="shared" si="25"/>
        <v>0</v>
      </c>
      <c r="DP757" s="1540"/>
      <c r="DQ757" s="1540"/>
      <c r="DR757" s="1540"/>
      <c r="DS757" s="1540"/>
      <c r="DT757" s="6"/>
      <c r="DU757" s="1538">
        <f t="shared" si="26"/>
        <v>0</v>
      </c>
      <c r="DV757" s="1538"/>
      <c r="DW757" s="1538"/>
      <c r="DX757" s="1538"/>
      <c r="DY757" s="1538"/>
      <c r="DZ757" s="1538">
        <f t="shared" si="27"/>
        <v>0</v>
      </c>
      <c r="EA757" s="1538"/>
      <c r="EB757" s="1538"/>
      <c r="EC757" s="1538"/>
      <c r="ED757" s="1538"/>
      <c r="EE757" s="1538">
        <f t="shared" si="28"/>
        <v>0</v>
      </c>
      <c r="EF757" s="1538"/>
      <c r="EG757" s="1538"/>
      <c r="EH757" s="1538"/>
      <c r="EI757" s="1538"/>
      <c r="EJ757" s="1538">
        <f t="shared" si="29"/>
        <v>0</v>
      </c>
      <c r="EK757" s="1538"/>
      <c r="EL757" s="1538"/>
      <c r="EM757" s="1538"/>
      <c r="EN757" s="1538"/>
      <c r="EO757" s="1538">
        <f t="shared" si="30"/>
        <v>0</v>
      </c>
      <c r="EP757" s="1538"/>
      <c r="EQ757" s="1538"/>
      <c r="ER757" s="1538"/>
      <c r="ES757" s="1538"/>
      <c r="ET757" s="1538">
        <f t="shared" si="31"/>
        <v>0</v>
      </c>
      <c r="EU757" s="1538"/>
      <c r="EV757" s="1538"/>
      <c r="EW757" s="1538"/>
      <c r="EX757" s="1538"/>
      <c r="EY757"/>
      <c r="EZ757" s="1551" t="str">
        <f t="shared" si="32"/>
        <v/>
      </c>
      <c r="FA757" s="1552"/>
      <c r="FB757" s="1552"/>
      <c r="FC757" s="1552"/>
      <c r="FD757" s="1553"/>
      <c r="FE757" s="1551" t="str">
        <f t="shared" si="33"/>
        <v/>
      </c>
      <c r="FF757" s="1552"/>
      <c r="FG757" s="1552"/>
      <c r="FH757" s="1552"/>
      <c r="FI757" s="1553"/>
      <c r="FJ757" s="1551" t="str">
        <f t="shared" si="34"/>
        <v/>
      </c>
      <c r="FK757" s="1552"/>
      <c r="FL757" s="1552"/>
      <c r="FM757" s="1552"/>
      <c r="FN757" s="1553"/>
      <c r="FO757" s="1551" t="str">
        <f t="shared" si="35"/>
        <v/>
      </c>
      <c r="FP757" s="1552"/>
      <c r="FQ757" s="1552"/>
      <c r="FR757" s="1552"/>
      <c r="FS757" s="1553"/>
      <c r="FT757" s="1551" t="str">
        <f t="shared" si="36"/>
        <v/>
      </c>
      <c r="FU757" s="1552"/>
      <c r="FV757" s="1552"/>
      <c r="FW757" s="1552"/>
      <c r="FX757" s="1553"/>
      <c r="FY757" s="1551" t="str">
        <f t="shared" si="37"/>
        <v/>
      </c>
      <c r="FZ757" s="1552"/>
      <c r="GA757" s="1552"/>
      <c r="GB757" s="1552"/>
      <c r="GC757" s="1553"/>
    </row>
    <row r="758" spans="1:185" s="3" customFormat="1" ht="12.9" customHeight="1">
      <c r="A758"/>
      <c r="B758" s="1365"/>
      <c r="C758" s="1366"/>
      <c r="D758" s="1366"/>
      <c r="E758" s="1366"/>
      <c r="F758" s="1367"/>
      <c r="G758" s="1359"/>
      <c r="H758" s="1360"/>
      <c r="I758" s="1360"/>
      <c r="J758" s="1361"/>
      <c r="K758" s="1362"/>
      <c r="L758" s="1363"/>
      <c r="M758" s="1363"/>
      <c r="N758" s="1364"/>
      <c r="O758" s="1411"/>
      <c r="P758" s="1412"/>
      <c r="Q758" s="1412"/>
      <c r="R758" s="1412"/>
      <c r="S758" s="1413"/>
      <c r="T758" s="1411"/>
      <c r="U758" s="1412"/>
      <c r="V758" s="1412"/>
      <c r="W758" s="1413"/>
      <c r="X758" s="1414">
        <f t="shared" si="65"/>
        <v>0</v>
      </c>
      <c r="Y758" s="1410"/>
      <c r="Z758" s="1410"/>
      <c r="AA758" s="1410"/>
      <c r="AB758" s="1415"/>
      <c r="AC758" s="1416"/>
      <c r="AD758" s="1417"/>
      <c r="AE758" s="1417"/>
      <c r="AF758" s="1417"/>
      <c r="AG758" s="1418"/>
      <c r="AH758" s="1443" t="str">
        <f t="shared" si="38"/>
        <v/>
      </c>
      <c r="AI758" s="1444"/>
      <c r="AJ758" s="1445"/>
      <c r="AK758" s="1365" t="s">
        <v>591</v>
      </c>
      <c r="AL758" s="1366"/>
      <c r="AM758" s="1366"/>
      <c r="AN758" s="1366"/>
      <c r="AO758" s="136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51">
        <f t="shared" si="39"/>
        <v>0</v>
      </c>
      <c r="CH758" s="1553"/>
      <c r="CI758" s="1554">
        <f t="shared" si="40"/>
        <v>0</v>
      </c>
      <c r="CJ758" s="1555"/>
      <c r="CK758" s="1551">
        <f t="shared" si="18"/>
        <v>0</v>
      </c>
      <c r="CL758" s="1553"/>
      <c r="CM758" s="1554">
        <f t="shared" si="19"/>
        <v>0</v>
      </c>
      <c r="CN758" s="1555"/>
      <c r="CP758" s="1544">
        <f t="shared" si="20"/>
        <v>0</v>
      </c>
      <c r="CQ758" s="1545"/>
      <c r="CR758" s="1545"/>
      <c r="CS758" s="1545"/>
      <c r="CT758" s="1546"/>
      <c r="CU758" s="1540">
        <f t="shared" si="21"/>
        <v>0</v>
      </c>
      <c r="CV758" s="1540"/>
      <c r="CW758" s="1540"/>
      <c r="CX758" s="1540"/>
      <c r="CY758" s="1540"/>
      <c r="CZ758" s="1540">
        <f t="shared" si="22"/>
        <v>0</v>
      </c>
      <c r="DA758" s="1540"/>
      <c r="DB758" s="1540"/>
      <c r="DC758" s="1540"/>
      <c r="DD758" s="1540"/>
      <c r="DE758" s="1540">
        <f t="shared" si="23"/>
        <v>0</v>
      </c>
      <c r="DF758" s="1540"/>
      <c r="DG758" s="1540"/>
      <c r="DH758" s="1540"/>
      <c r="DI758" s="1540"/>
      <c r="DJ758" s="1540">
        <f t="shared" si="24"/>
        <v>0</v>
      </c>
      <c r="DK758" s="1540"/>
      <c r="DL758" s="1540"/>
      <c r="DM758" s="1540"/>
      <c r="DN758" s="1540"/>
      <c r="DO758" s="1540">
        <f t="shared" si="25"/>
        <v>0</v>
      </c>
      <c r="DP758" s="1540"/>
      <c r="DQ758" s="1540"/>
      <c r="DR758" s="1540"/>
      <c r="DS758" s="1540"/>
      <c r="DT758" s="6"/>
      <c r="DU758" s="1538">
        <f t="shared" si="26"/>
        <v>0</v>
      </c>
      <c r="DV758" s="1538"/>
      <c r="DW758" s="1538"/>
      <c r="DX758" s="1538"/>
      <c r="DY758" s="1538"/>
      <c r="DZ758" s="1538">
        <f t="shared" si="27"/>
        <v>0</v>
      </c>
      <c r="EA758" s="1538"/>
      <c r="EB758" s="1538"/>
      <c r="EC758" s="1538"/>
      <c r="ED758" s="1538"/>
      <c r="EE758" s="1538">
        <f t="shared" si="28"/>
        <v>0</v>
      </c>
      <c r="EF758" s="1538"/>
      <c r="EG758" s="1538"/>
      <c r="EH758" s="1538"/>
      <c r="EI758" s="1538"/>
      <c r="EJ758" s="1538">
        <f t="shared" si="29"/>
        <v>0</v>
      </c>
      <c r="EK758" s="1538"/>
      <c r="EL758" s="1538"/>
      <c r="EM758" s="1538"/>
      <c r="EN758" s="1538"/>
      <c r="EO758" s="1538">
        <f t="shared" si="30"/>
        <v>0</v>
      </c>
      <c r="EP758" s="1538"/>
      <c r="EQ758" s="1538"/>
      <c r="ER758" s="1538"/>
      <c r="ES758" s="1538"/>
      <c r="ET758" s="1538">
        <f t="shared" si="31"/>
        <v>0</v>
      </c>
      <c r="EU758" s="1538"/>
      <c r="EV758" s="1538"/>
      <c r="EW758" s="1538"/>
      <c r="EX758" s="1538"/>
      <c r="EY758"/>
      <c r="EZ758" s="1551" t="str">
        <f t="shared" si="32"/>
        <v/>
      </c>
      <c r="FA758" s="1552"/>
      <c r="FB758" s="1552"/>
      <c r="FC758" s="1552"/>
      <c r="FD758" s="1553"/>
      <c r="FE758" s="1551" t="str">
        <f t="shared" si="33"/>
        <v/>
      </c>
      <c r="FF758" s="1552"/>
      <c r="FG758" s="1552"/>
      <c r="FH758" s="1552"/>
      <c r="FI758" s="1553"/>
      <c r="FJ758" s="1551" t="str">
        <f t="shared" si="34"/>
        <v/>
      </c>
      <c r="FK758" s="1552"/>
      <c r="FL758" s="1552"/>
      <c r="FM758" s="1552"/>
      <c r="FN758" s="1553"/>
      <c r="FO758" s="1551" t="str">
        <f t="shared" si="35"/>
        <v/>
      </c>
      <c r="FP758" s="1552"/>
      <c r="FQ758" s="1552"/>
      <c r="FR758" s="1552"/>
      <c r="FS758" s="1553"/>
      <c r="FT758" s="1551" t="str">
        <f t="shared" si="36"/>
        <v/>
      </c>
      <c r="FU758" s="1552"/>
      <c r="FV758" s="1552"/>
      <c r="FW758" s="1552"/>
      <c r="FX758" s="1553"/>
      <c r="FY758" s="1551" t="str">
        <f t="shared" si="37"/>
        <v/>
      </c>
      <c r="FZ758" s="1552"/>
      <c r="GA758" s="1552"/>
      <c r="GB758" s="1552"/>
      <c r="GC758" s="1553"/>
    </row>
    <row r="759" spans="1:185" s="3" customFormat="1" ht="12.9" customHeight="1">
      <c r="A759"/>
      <c r="B759" s="1365"/>
      <c r="C759" s="1366"/>
      <c r="D759" s="1366"/>
      <c r="E759" s="1366"/>
      <c r="F759" s="1367"/>
      <c r="G759" s="1359"/>
      <c r="H759" s="1360"/>
      <c r="I759" s="1360"/>
      <c r="J759" s="1361"/>
      <c r="K759" s="1362"/>
      <c r="L759" s="1363"/>
      <c r="M759" s="1363"/>
      <c r="N759" s="1364"/>
      <c r="O759" s="1411"/>
      <c r="P759" s="1412"/>
      <c r="Q759" s="1412"/>
      <c r="R759" s="1412"/>
      <c r="S759" s="1413"/>
      <c r="T759" s="1411"/>
      <c r="U759" s="1412"/>
      <c r="V759" s="1412"/>
      <c r="W759" s="1413"/>
      <c r="X759" s="1414">
        <f t="shared" si="65"/>
        <v>0</v>
      </c>
      <c r="Y759" s="1410"/>
      <c r="Z759" s="1410"/>
      <c r="AA759" s="1410"/>
      <c r="AB759" s="1415"/>
      <c r="AC759" s="1416"/>
      <c r="AD759" s="1417"/>
      <c r="AE759" s="1417"/>
      <c r="AF759" s="1417"/>
      <c r="AG759" s="1418"/>
      <c r="AH759" s="1443" t="str">
        <f t="shared" si="38"/>
        <v/>
      </c>
      <c r="AI759" s="1444"/>
      <c r="AJ759" s="1445"/>
      <c r="AK759" s="1365" t="s">
        <v>591</v>
      </c>
      <c r="AL759" s="1366"/>
      <c r="AM759" s="1366"/>
      <c r="AN759" s="1366"/>
      <c r="AO759" s="136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51">
        <f t="shared" si="39"/>
        <v>0</v>
      </c>
      <c r="CH759" s="1553"/>
      <c r="CI759" s="1554">
        <f t="shared" si="40"/>
        <v>0</v>
      </c>
      <c r="CJ759" s="1555"/>
      <c r="CK759" s="1551">
        <f t="shared" si="18"/>
        <v>0</v>
      </c>
      <c r="CL759" s="1553"/>
      <c r="CM759" s="1554">
        <f t="shared" si="19"/>
        <v>0</v>
      </c>
      <c r="CN759" s="1555"/>
      <c r="CP759" s="1544">
        <f t="shared" si="20"/>
        <v>0</v>
      </c>
      <c r="CQ759" s="1545"/>
      <c r="CR759" s="1545"/>
      <c r="CS759" s="1545"/>
      <c r="CT759" s="1546"/>
      <c r="CU759" s="1540">
        <f t="shared" si="21"/>
        <v>0</v>
      </c>
      <c r="CV759" s="1540"/>
      <c r="CW759" s="1540"/>
      <c r="CX759" s="1540"/>
      <c r="CY759" s="1540"/>
      <c r="CZ759" s="1540">
        <f t="shared" si="22"/>
        <v>0</v>
      </c>
      <c r="DA759" s="1540"/>
      <c r="DB759" s="1540"/>
      <c r="DC759" s="1540"/>
      <c r="DD759" s="1540"/>
      <c r="DE759" s="1540">
        <f t="shared" si="23"/>
        <v>0</v>
      </c>
      <c r="DF759" s="1540"/>
      <c r="DG759" s="1540"/>
      <c r="DH759" s="1540"/>
      <c r="DI759" s="1540"/>
      <c r="DJ759" s="1540">
        <f t="shared" si="24"/>
        <v>0</v>
      </c>
      <c r="DK759" s="1540"/>
      <c r="DL759" s="1540"/>
      <c r="DM759" s="1540"/>
      <c r="DN759" s="1540"/>
      <c r="DO759" s="1540">
        <f t="shared" si="25"/>
        <v>0</v>
      </c>
      <c r="DP759" s="1540"/>
      <c r="DQ759" s="1540"/>
      <c r="DR759" s="1540"/>
      <c r="DS759" s="1540"/>
      <c r="DT759" s="6"/>
      <c r="DU759" s="1538">
        <f t="shared" si="26"/>
        <v>0</v>
      </c>
      <c r="DV759" s="1538"/>
      <c r="DW759" s="1538"/>
      <c r="DX759" s="1538"/>
      <c r="DY759" s="1538"/>
      <c r="DZ759" s="1538">
        <f t="shared" si="27"/>
        <v>0</v>
      </c>
      <c r="EA759" s="1538"/>
      <c r="EB759" s="1538"/>
      <c r="EC759" s="1538"/>
      <c r="ED759" s="1538"/>
      <c r="EE759" s="1538">
        <f t="shared" si="28"/>
        <v>0</v>
      </c>
      <c r="EF759" s="1538"/>
      <c r="EG759" s="1538"/>
      <c r="EH759" s="1538"/>
      <c r="EI759" s="1538"/>
      <c r="EJ759" s="1538">
        <f t="shared" si="29"/>
        <v>0</v>
      </c>
      <c r="EK759" s="1538"/>
      <c r="EL759" s="1538"/>
      <c r="EM759" s="1538"/>
      <c r="EN759" s="1538"/>
      <c r="EO759" s="1538">
        <f t="shared" si="30"/>
        <v>0</v>
      </c>
      <c r="EP759" s="1538"/>
      <c r="EQ759" s="1538"/>
      <c r="ER759" s="1538"/>
      <c r="ES759" s="1538"/>
      <c r="ET759" s="1538">
        <f t="shared" si="31"/>
        <v>0</v>
      </c>
      <c r="EU759" s="1538"/>
      <c r="EV759" s="1538"/>
      <c r="EW759" s="1538"/>
      <c r="EX759" s="1538"/>
      <c r="EY759"/>
      <c r="EZ759" s="1551" t="str">
        <f t="shared" si="32"/>
        <v/>
      </c>
      <c r="FA759" s="1552"/>
      <c r="FB759" s="1552"/>
      <c r="FC759" s="1552"/>
      <c r="FD759" s="1553"/>
      <c r="FE759" s="1551" t="str">
        <f t="shared" si="33"/>
        <v/>
      </c>
      <c r="FF759" s="1552"/>
      <c r="FG759" s="1552"/>
      <c r="FH759" s="1552"/>
      <c r="FI759" s="1553"/>
      <c r="FJ759" s="1551" t="str">
        <f t="shared" si="34"/>
        <v/>
      </c>
      <c r="FK759" s="1552"/>
      <c r="FL759" s="1552"/>
      <c r="FM759" s="1552"/>
      <c r="FN759" s="1553"/>
      <c r="FO759" s="1551" t="str">
        <f t="shared" si="35"/>
        <v/>
      </c>
      <c r="FP759" s="1552"/>
      <c r="FQ759" s="1552"/>
      <c r="FR759" s="1552"/>
      <c r="FS759" s="1553"/>
      <c r="FT759" s="1551" t="str">
        <f t="shared" si="36"/>
        <v/>
      </c>
      <c r="FU759" s="1552"/>
      <c r="FV759" s="1552"/>
      <c r="FW759" s="1552"/>
      <c r="FX759" s="1553"/>
      <c r="FY759" s="1551" t="str">
        <f t="shared" si="37"/>
        <v/>
      </c>
      <c r="FZ759" s="1552"/>
      <c r="GA759" s="1552"/>
      <c r="GB759" s="1552"/>
      <c r="GC759" s="1553"/>
    </row>
    <row r="760" spans="1:185" s="3" customFormat="1" ht="12.9" customHeight="1">
      <c r="A760"/>
      <c r="B760" s="1365"/>
      <c r="C760" s="1366"/>
      <c r="D760" s="1366"/>
      <c r="E760" s="1366"/>
      <c r="F760" s="1367"/>
      <c r="G760" s="1359"/>
      <c r="H760" s="1360"/>
      <c r="I760" s="1360"/>
      <c r="J760" s="1361"/>
      <c r="K760" s="1362"/>
      <c r="L760" s="1363"/>
      <c r="M760" s="1363"/>
      <c r="N760" s="1364"/>
      <c r="O760" s="1411"/>
      <c r="P760" s="1412"/>
      <c r="Q760" s="1412"/>
      <c r="R760" s="1412"/>
      <c r="S760" s="1413"/>
      <c r="T760" s="1411"/>
      <c r="U760" s="1412"/>
      <c r="V760" s="1412"/>
      <c r="W760" s="1413"/>
      <c r="X760" s="1414">
        <f>O760+T760</f>
        <v>0</v>
      </c>
      <c r="Y760" s="1410"/>
      <c r="Z760" s="1410"/>
      <c r="AA760" s="1410"/>
      <c r="AB760" s="1415"/>
      <c r="AC760" s="1416"/>
      <c r="AD760" s="1417"/>
      <c r="AE760" s="1417"/>
      <c r="AF760" s="1417"/>
      <c r="AG760" s="1418"/>
      <c r="AH760" s="1443" t="str">
        <f t="shared" si="38"/>
        <v/>
      </c>
      <c r="AI760" s="1444"/>
      <c r="AJ760" s="1445"/>
      <c r="AK760" s="1365" t="s">
        <v>591</v>
      </c>
      <c r="AL760" s="1366"/>
      <c r="AM760" s="1366"/>
      <c r="AN760" s="1366"/>
      <c r="AO760" s="136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51">
        <f t="shared" si="39"/>
        <v>0</v>
      </c>
      <c r="CH760" s="1553"/>
      <c r="CI760" s="1554">
        <f t="shared" si="40"/>
        <v>0</v>
      </c>
      <c r="CJ760" s="1555"/>
      <c r="CK760" s="1551">
        <f t="shared" si="18"/>
        <v>0</v>
      </c>
      <c r="CL760" s="1553"/>
      <c r="CM760" s="1554">
        <f t="shared" si="19"/>
        <v>0</v>
      </c>
      <c r="CN760" s="1555"/>
      <c r="CP760" s="1544">
        <f t="shared" si="20"/>
        <v>0</v>
      </c>
      <c r="CQ760" s="1545"/>
      <c r="CR760" s="1545"/>
      <c r="CS760" s="1545"/>
      <c r="CT760" s="1546"/>
      <c r="CU760" s="1540">
        <f t="shared" si="21"/>
        <v>0</v>
      </c>
      <c r="CV760" s="1540"/>
      <c r="CW760" s="1540"/>
      <c r="CX760" s="1540"/>
      <c r="CY760" s="1540"/>
      <c r="CZ760" s="1540">
        <f t="shared" si="22"/>
        <v>0</v>
      </c>
      <c r="DA760" s="1540"/>
      <c r="DB760" s="1540"/>
      <c r="DC760" s="1540"/>
      <c r="DD760" s="1540"/>
      <c r="DE760" s="1540">
        <f t="shared" si="23"/>
        <v>0</v>
      </c>
      <c r="DF760" s="1540"/>
      <c r="DG760" s="1540"/>
      <c r="DH760" s="1540"/>
      <c r="DI760" s="1540"/>
      <c r="DJ760" s="1540">
        <f t="shared" si="24"/>
        <v>0</v>
      </c>
      <c r="DK760" s="1540"/>
      <c r="DL760" s="1540"/>
      <c r="DM760" s="1540"/>
      <c r="DN760" s="1540"/>
      <c r="DO760" s="1540">
        <f t="shared" si="25"/>
        <v>0</v>
      </c>
      <c r="DP760" s="1540"/>
      <c r="DQ760" s="1540"/>
      <c r="DR760" s="1540"/>
      <c r="DS760" s="1540"/>
      <c r="DT760" s="6"/>
      <c r="DU760" s="1538">
        <f t="shared" si="26"/>
        <v>0</v>
      </c>
      <c r="DV760" s="1538"/>
      <c r="DW760" s="1538"/>
      <c r="DX760" s="1538"/>
      <c r="DY760" s="1538"/>
      <c r="DZ760" s="1538">
        <f t="shared" si="27"/>
        <v>0</v>
      </c>
      <c r="EA760" s="1538"/>
      <c r="EB760" s="1538"/>
      <c r="EC760" s="1538"/>
      <c r="ED760" s="1538"/>
      <c r="EE760" s="1538">
        <f t="shared" si="28"/>
        <v>0</v>
      </c>
      <c r="EF760" s="1538"/>
      <c r="EG760" s="1538"/>
      <c r="EH760" s="1538"/>
      <c r="EI760" s="1538"/>
      <c r="EJ760" s="1538">
        <f t="shared" si="29"/>
        <v>0</v>
      </c>
      <c r="EK760" s="1538"/>
      <c r="EL760" s="1538"/>
      <c r="EM760" s="1538"/>
      <c r="EN760" s="1538"/>
      <c r="EO760" s="1538">
        <f t="shared" si="30"/>
        <v>0</v>
      </c>
      <c r="EP760" s="1538"/>
      <c r="EQ760" s="1538"/>
      <c r="ER760" s="1538"/>
      <c r="ES760" s="1538"/>
      <c r="ET760" s="1538">
        <f t="shared" si="31"/>
        <v>0</v>
      </c>
      <c r="EU760" s="1538"/>
      <c r="EV760" s="1538"/>
      <c r="EW760" s="1538"/>
      <c r="EX760" s="1538"/>
      <c r="EY760"/>
      <c r="EZ760" s="1551" t="str">
        <f t="shared" si="32"/>
        <v/>
      </c>
      <c r="FA760" s="1552"/>
      <c r="FB760" s="1552"/>
      <c r="FC760" s="1552"/>
      <c r="FD760" s="1553"/>
      <c r="FE760" s="1551" t="str">
        <f t="shared" si="33"/>
        <v/>
      </c>
      <c r="FF760" s="1552"/>
      <c r="FG760" s="1552"/>
      <c r="FH760" s="1552"/>
      <c r="FI760" s="1553"/>
      <c r="FJ760" s="1551" t="str">
        <f t="shared" si="34"/>
        <v/>
      </c>
      <c r="FK760" s="1552"/>
      <c r="FL760" s="1552"/>
      <c r="FM760" s="1552"/>
      <c r="FN760" s="1553"/>
      <c r="FO760" s="1551" t="str">
        <f t="shared" si="35"/>
        <v/>
      </c>
      <c r="FP760" s="1552"/>
      <c r="FQ760" s="1552"/>
      <c r="FR760" s="1552"/>
      <c r="FS760" s="1553"/>
      <c r="FT760" s="1551" t="str">
        <f t="shared" si="36"/>
        <v/>
      </c>
      <c r="FU760" s="1552"/>
      <c r="FV760" s="1552"/>
      <c r="FW760" s="1552"/>
      <c r="FX760" s="1553"/>
      <c r="FY760" s="1551" t="str">
        <f t="shared" si="37"/>
        <v/>
      </c>
      <c r="FZ760" s="1552"/>
      <c r="GA760" s="1552"/>
      <c r="GB760" s="1552"/>
      <c r="GC760" s="1553"/>
    </row>
    <row r="761" spans="1:185" s="3" customFormat="1" ht="12.9" customHeight="1">
      <c r="A761"/>
      <c r="B761" s="1682" t="s">
        <v>125</v>
      </c>
      <c r="C761" s="1683"/>
      <c r="D761" s="1683"/>
      <c r="E761" s="1683"/>
      <c r="F761" s="1684"/>
      <c r="G761" s="1446">
        <f>SUM(G726:G760)</f>
        <v>62</v>
      </c>
      <c r="H761" s="1447"/>
      <c r="I761" s="1447"/>
      <c r="J761" s="1448"/>
      <c r="K761" s="898" t="s">
        <v>124</v>
      </c>
      <c r="L761" s="5"/>
      <c r="M761" s="5"/>
      <c r="N761" s="46"/>
      <c r="O761" s="1414">
        <f>SUMPRODUCT(G726:G760,O726:O760)</f>
        <v>153344</v>
      </c>
      <c r="P761" s="1410"/>
      <c r="Q761" s="1410"/>
      <c r="R761" s="1410"/>
      <c r="S761" s="1415"/>
      <c r="T761"/>
      <c r="U761"/>
      <c r="V761"/>
      <c r="W761"/>
      <c r="X761" s="900" t="s">
        <v>900</v>
      </c>
      <c r="Y761" s="899"/>
      <c r="Z761" s="899"/>
      <c r="AA761" s="899"/>
      <c r="AB761" s="901"/>
      <c r="AC761" s="1653">
        <f>BH761</f>
        <v>0.59838709677419355</v>
      </c>
      <c r="AD761" s="1654"/>
      <c r="AE761" s="1654"/>
      <c r="AF761" s="1654"/>
      <c r="AG761" s="1655"/>
      <c r="AH761" s="1653">
        <f>IFERROR(BU761,"")</f>
        <v>0.59842044334450117</v>
      </c>
      <c r="AI761" s="1654"/>
      <c r="AJ761" s="1655"/>
      <c r="AK761"/>
      <c r="AL761"/>
      <c r="AM761"/>
      <c r="AN761"/>
      <c r="AO761"/>
      <c r="AP761" s="205"/>
      <c r="AQ761" s="205"/>
      <c r="AR761" s="205"/>
      <c r="AS761" s="205"/>
      <c r="AT761"/>
      <c r="AU761"/>
      <c r="AV761"/>
      <c r="AW761"/>
      <c r="AX761"/>
      <c r="AY761"/>
      <c r="AZ761" s="34"/>
      <c r="BA761" s="34"/>
      <c r="BB761" s="34"/>
      <c r="BC761" s="34"/>
      <c r="BE761" s="290" t="s">
        <v>899</v>
      </c>
      <c r="BF761" s="299">
        <f>SUM(BF726:BF760)</f>
        <v>62</v>
      </c>
      <c r="BG761" s="300">
        <f>SUM(BG726:BG760)</f>
        <v>0.99999999999999978</v>
      </c>
      <c r="BH761" s="300">
        <f>SUM(BH726:BH760)</f>
        <v>0.59838709677419355</v>
      </c>
      <c r="BI761"/>
      <c r="BJ761"/>
      <c r="BK761"/>
      <c r="BL761"/>
      <c r="BO761"/>
      <c r="BP761"/>
      <c r="BQ761"/>
      <c r="BR761"/>
      <c r="BS761" s="855">
        <f>SUM(BS726:BS760)</f>
        <v>62</v>
      </c>
      <c r="BT761" s="300">
        <f>SUM(BT726:BT760)</f>
        <v>0.99999999999999978</v>
      </c>
      <c r="BU761" s="300">
        <f>SUM(BU726:BU760)</f>
        <v>0.59842044334450117</v>
      </c>
      <c r="CI761" s="1551">
        <f>SUM(CI726:CJ760)</f>
        <v>7</v>
      </c>
      <c r="CJ761" s="1553"/>
      <c r="CM761" s="1551">
        <f>SUM(CM726:CN760)</f>
        <v>10</v>
      </c>
      <c r="CN761" s="1553"/>
      <c r="CP761" s="1551">
        <f>SUM(CP726:CT760)</f>
        <v>0</v>
      </c>
      <c r="CQ761" s="1552"/>
      <c r="CR761" s="1552"/>
      <c r="CS761" s="1552"/>
      <c r="CT761" s="1553"/>
      <c r="CU761" s="1550">
        <f>SUM(CU726:CY760)</f>
        <v>21</v>
      </c>
      <c r="CV761" s="1550"/>
      <c r="CW761" s="1550"/>
      <c r="CX761" s="1550"/>
      <c r="CY761" s="1550"/>
      <c r="CZ761" s="1550">
        <f>SUM(CZ726:DD760)</f>
        <v>21</v>
      </c>
      <c r="DA761" s="1550"/>
      <c r="DB761" s="1550"/>
      <c r="DC761" s="1550"/>
      <c r="DD761" s="1550"/>
      <c r="DE761" s="1550">
        <f>SUM(DE726:DI760)</f>
        <v>20</v>
      </c>
      <c r="DF761" s="1550"/>
      <c r="DG761" s="1550"/>
      <c r="DH761" s="1550"/>
      <c r="DI761" s="1550"/>
      <c r="DJ761" s="1550">
        <f>SUM(DJ726:DN760)</f>
        <v>0</v>
      </c>
      <c r="DK761" s="1550"/>
      <c r="DL761" s="1550"/>
      <c r="DM761" s="1550"/>
      <c r="DN761" s="1550"/>
      <c r="DO761" s="1550">
        <f>SUM(DO726:DS760)</f>
        <v>0</v>
      </c>
      <c r="DP761" s="1550"/>
      <c r="DQ761" s="1550"/>
      <c r="DR761" s="1550"/>
      <c r="DS761" s="1550"/>
      <c r="DT761" s="354"/>
      <c r="DU761" s="1550">
        <f>SUM(DU726:DY760)</f>
        <v>0</v>
      </c>
      <c r="DV761" s="1550"/>
      <c r="DW761" s="1550"/>
      <c r="DX761" s="1550"/>
      <c r="DY761" s="1550"/>
      <c r="DZ761" s="1550">
        <f>SUM(DZ726:ED760)</f>
        <v>4</v>
      </c>
      <c r="EA761" s="1550"/>
      <c r="EB761" s="1550"/>
      <c r="EC761" s="1550"/>
      <c r="ED761" s="1550"/>
      <c r="EE761" s="1550">
        <f>SUM(EE726:EI760)</f>
        <v>3</v>
      </c>
      <c r="EF761" s="1550"/>
      <c r="EG761" s="1550"/>
      <c r="EH761" s="1550"/>
      <c r="EI761" s="1550"/>
      <c r="EJ761" s="1550">
        <f>SUM(EJ726:EN760)</f>
        <v>3</v>
      </c>
      <c r="EK761" s="1550"/>
      <c r="EL761" s="1550"/>
      <c r="EM761" s="1550"/>
      <c r="EN761" s="1550"/>
      <c r="EO761" s="1550">
        <f>SUM(EO726:ES760)</f>
        <v>0</v>
      </c>
      <c r="EP761" s="1550"/>
      <c r="EQ761" s="1550"/>
      <c r="ER761" s="1550"/>
      <c r="ES761" s="1550"/>
      <c r="ET761" s="1550">
        <f>SUM(ET726:EX760)</f>
        <v>0</v>
      </c>
      <c r="EU761" s="1550"/>
      <c r="EV761" s="1550"/>
      <c r="EW761" s="1550"/>
      <c r="EX761" s="1550"/>
      <c r="EY761"/>
      <c r="EZ761" s="1550">
        <f>SUM(EZ726:FD760)</f>
        <v>0</v>
      </c>
      <c r="FA761" s="1550"/>
      <c r="FB761" s="1550"/>
      <c r="FC761" s="1550"/>
      <c r="FD761" s="1550"/>
      <c r="FE761" s="1550">
        <f>SUM(FE726:FI760)</f>
        <v>7272</v>
      </c>
      <c r="FF761" s="1550"/>
      <c r="FG761" s="1550"/>
      <c r="FH761" s="1550"/>
      <c r="FI761" s="1550"/>
      <c r="FJ761" s="1550">
        <f>SUM(FJ726:FN760)</f>
        <v>8662</v>
      </c>
      <c r="FK761" s="1550"/>
      <c r="FL761" s="1550"/>
      <c r="FM761" s="1550"/>
      <c r="FN761" s="1550"/>
      <c r="FO761" s="1550">
        <f>SUM(FO726:FS760)</f>
        <v>9931</v>
      </c>
      <c r="FP761" s="1550"/>
      <c r="FQ761" s="1550"/>
      <c r="FR761" s="1550"/>
      <c r="FS761" s="1550"/>
      <c r="FT761" s="1550">
        <f>SUM(FT726:FX760)</f>
        <v>0</v>
      </c>
      <c r="FU761" s="1550"/>
      <c r="FV761" s="1550"/>
      <c r="FW761" s="1550"/>
      <c r="FX761" s="1550"/>
      <c r="FY761" s="1550">
        <f>SUM(FY726:GC760)</f>
        <v>0</v>
      </c>
      <c r="FZ761" s="1550"/>
      <c r="GA761" s="1550"/>
      <c r="GB761" s="1550"/>
      <c r="GC761" s="1550"/>
    </row>
    <row r="762" spans="1:185" s="3" customFormat="1" ht="12.9" customHeight="1">
      <c r="A762"/>
      <c r="B762" s="1673" t="s">
        <v>1867</v>
      </c>
      <c r="C762" s="1673"/>
      <c r="D762" s="1673"/>
      <c r="E762" s="1673"/>
      <c r="F762" s="1673"/>
      <c r="G762" s="1673"/>
      <c r="H762" s="1673"/>
      <c r="I762" s="1673"/>
      <c r="J762" s="1673"/>
      <c r="K762" s="1673"/>
      <c r="L762" s="1673"/>
      <c r="M762" s="1673"/>
      <c r="N762" s="1673"/>
      <c r="O762" s="1673"/>
      <c r="P762" s="1673"/>
      <c r="Q762" s="1673"/>
      <c r="R762" s="1673"/>
      <c r="S762" s="1673"/>
      <c r="T762" s="1673"/>
      <c r="U762" s="1673"/>
      <c r="V762" s="1673"/>
      <c r="W762" s="1673"/>
      <c r="X762" s="1673"/>
      <c r="Y762" s="1673"/>
      <c r="Z762" s="1673"/>
      <c r="AA762" s="1673"/>
      <c r="AB762" s="1673"/>
      <c r="AC762" s="1673"/>
      <c r="AD762" s="1673"/>
      <c r="AE762" s="1673"/>
      <c r="AF762" s="1673"/>
      <c r="AG762" s="1673"/>
      <c r="AH762" s="1673"/>
      <c r="AI762"/>
      <c r="AJ762"/>
      <c r="AK762"/>
      <c r="AT762"/>
      <c r="AU762"/>
      <c r="AV762"/>
      <c r="AW762"/>
      <c r="AX762"/>
      <c r="AY762"/>
      <c r="CD762"/>
      <c r="DN762" s="56" t="s">
        <v>1835</v>
      </c>
      <c r="DO762" s="1551">
        <f>CP761+CU761+CZ761+DE761+DJ761+DO761</f>
        <v>62</v>
      </c>
      <c r="DP762" s="1552"/>
      <c r="DQ762" s="1552"/>
      <c r="DR762" s="1552"/>
      <c r="DS762" s="1553"/>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673"/>
      <c r="C763" s="1673"/>
      <c r="D763" s="1673"/>
      <c r="E763" s="1673"/>
      <c r="F763" s="1673"/>
      <c r="G763" s="1673"/>
      <c r="H763" s="1673"/>
      <c r="I763" s="1673"/>
      <c r="J763" s="1673"/>
      <c r="K763" s="1673"/>
      <c r="L763" s="1673"/>
      <c r="M763" s="1673"/>
      <c r="N763" s="1673"/>
      <c r="O763" s="1673"/>
      <c r="P763" s="1673"/>
      <c r="Q763" s="1673"/>
      <c r="R763" s="1673"/>
      <c r="S763" s="1673"/>
      <c r="T763" s="1673"/>
      <c r="U763" s="1673"/>
      <c r="V763" s="1673"/>
      <c r="W763" s="1673"/>
      <c r="X763" s="1673"/>
      <c r="Y763" s="1673"/>
      <c r="Z763" s="1673"/>
      <c r="AA763" s="1673"/>
      <c r="AB763" s="1673"/>
      <c r="AC763" s="1673"/>
      <c r="AD763" s="1673"/>
      <c r="AE763" s="1673"/>
      <c r="AF763" s="1673"/>
      <c r="AG763" s="1673"/>
      <c r="AH763" s="167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21</v>
      </c>
      <c r="CZ763" s="3"/>
      <c r="DA763" s="3"/>
      <c r="DB763" s="3"/>
      <c r="DC763" s="3"/>
      <c r="DD763" s="857">
        <f>CZ761*2</f>
        <v>42</v>
      </c>
      <c r="DE763" s="3"/>
      <c r="DF763" s="3"/>
      <c r="DG763" s="3"/>
      <c r="DH763" s="3"/>
      <c r="DI763" s="857">
        <f>DE761*3</f>
        <v>60</v>
      </c>
      <c r="DJ763" s="3"/>
      <c r="DK763" s="3"/>
      <c r="DL763" s="3"/>
      <c r="DM763" s="3"/>
      <c r="DN763" s="857">
        <f>DJ761*4</f>
        <v>0</v>
      </c>
      <c r="DO763" s="3"/>
      <c r="DP763" s="3"/>
      <c r="DQ763" s="3"/>
      <c r="DR763" s="3"/>
      <c r="DS763" s="857">
        <f>DO761*5</f>
        <v>0</v>
      </c>
      <c r="DU763" s="857">
        <f>CT763+CY763+DD763+DI763+DN763+DS763</f>
        <v>123</v>
      </c>
      <c r="DV763" s="57" t="s">
        <v>1837</v>
      </c>
      <c r="DW763" s="3"/>
      <c r="DX763" s="3"/>
      <c r="DY763" s="3"/>
      <c r="DZ763" s="3"/>
      <c r="EA763" s="3"/>
      <c r="EB763" s="3"/>
      <c r="EC763" s="3"/>
      <c r="ED763" s="3"/>
      <c r="EE763" s="3"/>
      <c r="EF763" s="3"/>
      <c r="EG763" s="3"/>
      <c r="EH763" s="3"/>
    </row>
    <row r="764" spans="1:185" ht="12.9" customHeight="1">
      <c r="A764" s="3"/>
      <c r="B764" s="3"/>
      <c r="C764" s="118" t="s">
        <v>1865</v>
      </c>
      <c r="D764" s="1027"/>
      <c r="E764" s="1027"/>
      <c r="F764" s="1027"/>
      <c r="G764" s="1028"/>
      <c r="H764" s="1028"/>
      <c r="I764" s="1028"/>
      <c r="J764" s="1028"/>
      <c r="K764" s="1027"/>
      <c r="L764" s="1027"/>
      <c r="M764" s="1027"/>
      <c r="N764" s="1027"/>
      <c r="O764" s="1550">
        <f>DU763</f>
        <v>123</v>
      </c>
      <c r="P764" s="1550"/>
      <c r="Q764" s="1550"/>
      <c r="R764" s="1550"/>
      <c r="S764" s="965"/>
      <c r="T764" s="965"/>
      <c r="U764" s="118" t="s">
        <v>1866</v>
      </c>
      <c r="V764" s="1027"/>
      <c r="W764" s="1027"/>
      <c r="X764" s="1027"/>
      <c r="Y764" s="1028"/>
      <c r="Z764" s="1028"/>
      <c r="AA764" s="1028"/>
      <c r="AB764" s="1028"/>
      <c r="AC764" s="1027"/>
      <c r="AD764" s="1027"/>
      <c r="AE764" s="1027"/>
      <c r="AF764" s="1027"/>
      <c r="AG764" s="1456">
        <v>4</v>
      </c>
      <c r="AH764" s="1456"/>
      <c r="AI764" s="1456"/>
      <c r="AJ764" s="145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358" t="str">
        <f>IF(G761&lt;&gt;AG449,"! Total Low-Income Units in the Unit Mix Table above does not match the number of Total Low-Income Units on row #"&amp;TEXT(ROW(D449),"#"),"")</f>
        <v/>
      </c>
      <c r="D765" s="1358"/>
      <c r="E765" s="1358"/>
      <c r="F765" s="1358"/>
      <c r="G765" s="1358"/>
      <c r="H765" s="1358"/>
      <c r="I765" s="1358"/>
      <c r="J765" s="1358"/>
      <c r="K765" s="1358"/>
      <c r="L765" s="1358"/>
      <c r="M765" s="1358"/>
      <c r="N765" s="1358"/>
      <c r="O765" s="1358"/>
      <c r="P765" s="1358"/>
      <c r="Q765" s="1358"/>
      <c r="R765" s="1358"/>
      <c r="S765" s="1358"/>
      <c r="T765" s="1358"/>
      <c r="U765" s="1358"/>
      <c r="V765" s="1358"/>
      <c r="W765" s="1358"/>
      <c r="X765" s="1358"/>
      <c r="Y765" s="1358"/>
      <c r="Z765" s="1358"/>
      <c r="AA765" s="1358"/>
      <c r="AB765" s="1358"/>
      <c r="AC765" s="1358"/>
      <c r="AD765" s="1358"/>
      <c r="AE765" s="1358"/>
      <c r="AF765" s="1358"/>
      <c r="AG765" s="1358"/>
      <c r="AH765" s="1358"/>
      <c r="AI765" s="1358"/>
      <c r="AJ765" s="1358"/>
      <c r="AK765" s="1358"/>
      <c r="AL765" s="1358"/>
      <c r="AM765" s="13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358"/>
      <c r="D766" s="1358"/>
      <c r="E766" s="1358"/>
      <c r="F766" s="1358"/>
      <c r="G766" s="1358"/>
      <c r="H766" s="1358"/>
      <c r="I766" s="1358"/>
      <c r="J766" s="1358"/>
      <c r="K766" s="1358"/>
      <c r="L766" s="1358"/>
      <c r="M766" s="1358"/>
      <c r="N766" s="1358"/>
      <c r="O766" s="1358"/>
      <c r="P766" s="1358"/>
      <c r="Q766" s="1358"/>
      <c r="R766" s="1358"/>
      <c r="S766" s="1358"/>
      <c r="T766" s="1358"/>
      <c r="U766" s="1358"/>
      <c r="V766" s="1358"/>
      <c r="W766" s="1358"/>
      <c r="X766" s="1358"/>
      <c r="Y766" s="1358"/>
      <c r="Z766" s="1358"/>
      <c r="AA766" s="1358"/>
      <c r="AB766" s="1358"/>
      <c r="AC766" s="1358"/>
      <c r="AD766" s="1358"/>
      <c r="AE766" s="1358"/>
      <c r="AF766" s="1358"/>
      <c r="AG766" s="1358"/>
      <c r="AH766" s="1358"/>
      <c r="AI766" s="1358"/>
      <c r="AJ766" s="1358"/>
      <c r="AK766" s="1358"/>
      <c r="AL766" s="1358"/>
      <c r="AM766" s="13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449" t="s">
        <v>591</v>
      </c>
      <c r="AE767" s="1449"/>
      <c r="AF767" s="144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5" t="s">
        <v>2046</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5" t="s">
        <v>2047</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425" t="s">
        <v>389</v>
      </c>
      <c r="K777" s="1426"/>
      <c r="L777" s="1426"/>
      <c r="M777" s="1426"/>
      <c r="N777" s="1427"/>
      <c r="O777" s="1672" t="s">
        <v>285</v>
      </c>
      <c r="P777" s="1672"/>
      <c r="Q777" s="1672"/>
      <c r="R777" s="1672"/>
      <c r="S777" s="1672"/>
      <c r="T777" s="1689" t="s">
        <v>1668</v>
      </c>
      <c r="U777" s="1690"/>
      <c r="V777" s="1690"/>
      <c r="W777" s="1691"/>
      <c r="X777" s="1425" t="s">
        <v>447</v>
      </c>
      <c r="Y777" s="1426"/>
      <c r="Z777" s="1426"/>
      <c r="AA777" s="1426"/>
      <c r="AB777" s="1427"/>
      <c r="AC777" s="1425" t="s">
        <v>286</v>
      </c>
      <c r="AD777" s="1426"/>
      <c r="AE777" s="1426"/>
      <c r="AF777" s="1426"/>
      <c r="AG777" s="142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428"/>
      <c r="K778" s="1429"/>
      <c r="L778" s="1429"/>
      <c r="M778" s="1429"/>
      <c r="N778" s="1430"/>
      <c r="O778" s="1672"/>
      <c r="P778" s="1672"/>
      <c r="Q778" s="1672"/>
      <c r="R778" s="1672"/>
      <c r="S778" s="1672"/>
      <c r="T778" s="1692"/>
      <c r="U778" s="1693"/>
      <c r="V778" s="1693"/>
      <c r="W778" s="1694"/>
      <c r="X778" s="1428"/>
      <c r="Y778" s="1429"/>
      <c r="Z778" s="1429"/>
      <c r="AA778" s="1429"/>
      <c r="AB778" s="1430"/>
      <c r="AC778" s="1428"/>
      <c r="AD778" s="1429"/>
      <c r="AE778" s="1429"/>
      <c r="AF778" s="1429"/>
      <c r="AG778" s="143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428"/>
      <c r="K779" s="1429"/>
      <c r="L779" s="1429"/>
      <c r="M779" s="1429"/>
      <c r="N779" s="1430"/>
      <c r="O779" s="1672"/>
      <c r="P779" s="1672"/>
      <c r="Q779" s="1672"/>
      <c r="R779" s="1672"/>
      <c r="S779" s="1672"/>
      <c r="T779" s="1692"/>
      <c r="U779" s="1693"/>
      <c r="V779" s="1693"/>
      <c r="W779" s="1694"/>
      <c r="X779" s="1428"/>
      <c r="Y779" s="1429"/>
      <c r="Z779" s="1429"/>
      <c r="AA779" s="1429"/>
      <c r="AB779" s="1430"/>
      <c r="AC779" s="1428"/>
      <c r="AD779" s="1429"/>
      <c r="AE779" s="1429"/>
      <c r="AF779" s="1429"/>
      <c r="AG779" s="143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431"/>
      <c r="K780" s="1432"/>
      <c r="L780" s="1432"/>
      <c r="M780" s="1432"/>
      <c r="N780" s="1433"/>
      <c r="O780" s="1672"/>
      <c r="P780" s="1672"/>
      <c r="Q780" s="1672"/>
      <c r="R780" s="1672"/>
      <c r="S780" s="1672"/>
      <c r="T780" s="1695"/>
      <c r="U780" s="1696"/>
      <c r="V780" s="1696"/>
      <c r="W780" s="1697"/>
      <c r="X780" s="1431"/>
      <c r="Y780" s="1432"/>
      <c r="Z780" s="1432"/>
      <c r="AA780" s="1432"/>
      <c r="AB780" s="1433"/>
      <c r="AC780" s="1431"/>
      <c r="AD780" s="1432"/>
      <c r="AE780" s="1432"/>
      <c r="AF780" s="1432"/>
      <c r="AG780" s="143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65" t="s">
        <v>164</v>
      </c>
      <c r="K781" s="1366"/>
      <c r="L781" s="1366"/>
      <c r="M781" s="1366"/>
      <c r="N781" s="1367"/>
      <c r="O781" s="1570">
        <v>1</v>
      </c>
      <c r="P781" s="1570"/>
      <c r="Q781" s="1570"/>
      <c r="R781" s="1570"/>
      <c r="S781" s="1570"/>
      <c r="T781" s="1362">
        <v>992</v>
      </c>
      <c r="U781" s="1363"/>
      <c r="V781" s="1363"/>
      <c r="W781" s="1364"/>
      <c r="X781" s="1411"/>
      <c r="Y781" s="1412"/>
      <c r="Z781" s="1412"/>
      <c r="AA781" s="1412"/>
      <c r="AB781" s="1413"/>
      <c r="AC781" s="1414">
        <f>X781*O781</f>
        <v>0</v>
      </c>
      <c r="AD781" s="1410"/>
      <c r="AE781" s="1410"/>
      <c r="AF781" s="1410"/>
      <c r="AG781" s="141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4">
        <f>IF(J781="SRO/Studio",O781,0)</f>
        <v>0</v>
      </c>
      <c r="CQ781" s="1545"/>
      <c r="CR781" s="1545"/>
      <c r="CS781" s="1545"/>
      <c r="CT781" s="1546"/>
      <c r="CU781" s="1540">
        <f>IF(J781="1 Bedroom",O781,0)</f>
        <v>0</v>
      </c>
      <c r="CV781" s="1540"/>
      <c r="CW781" s="1540"/>
      <c r="CX781" s="1540"/>
      <c r="CY781" s="1540"/>
      <c r="CZ781" s="1540">
        <f>IF(J781="2 Bedrooms",O781,0)</f>
        <v>0</v>
      </c>
      <c r="DA781" s="1540"/>
      <c r="DB781" s="1540"/>
      <c r="DC781" s="1540"/>
      <c r="DD781" s="1540"/>
      <c r="DE781" s="1540">
        <f>IF(J781="3 Bedrooms",O781,0)</f>
        <v>1</v>
      </c>
      <c r="DF781" s="1540"/>
      <c r="DG781" s="1540"/>
      <c r="DH781" s="1540"/>
      <c r="DI781" s="1540"/>
      <c r="DJ781" s="1540">
        <f>IF(J781="4 Bedrooms",O781,0)</f>
        <v>0</v>
      </c>
      <c r="DK781" s="1540"/>
      <c r="DL781" s="1540"/>
      <c r="DM781" s="1540"/>
      <c r="DN781" s="1540"/>
      <c r="DO781" s="1540">
        <f>IF(J781="5 Bedrooms",O781,0)</f>
        <v>0</v>
      </c>
      <c r="DP781" s="1540"/>
      <c r="DQ781" s="1540"/>
      <c r="DR781" s="1540"/>
      <c r="DS781" s="1540"/>
      <c r="DT781" s="6"/>
      <c r="DU781" s="3"/>
      <c r="DV781" s="3"/>
    </row>
    <row r="782" spans="1:159" ht="12.9" customHeight="1">
      <c r="J782" s="1365"/>
      <c r="K782" s="1366"/>
      <c r="L782" s="1366"/>
      <c r="M782" s="1366"/>
      <c r="N782" s="1367"/>
      <c r="O782" s="1570"/>
      <c r="P782" s="1570"/>
      <c r="Q782" s="1570"/>
      <c r="R782" s="1570"/>
      <c r="S782" s="1570"/>
      <c r="T782" s="1362"/>
      <c r="U782" s="1363"/>
      <c r="V782" s="1363"/>
      <c r="W782" s="1364"/>
      <c r="X782" s="1411"/>
      <c r="Y782" s="1412"/>
      <c r="Z782" s="1412"/>
      <c r="AA782" s="1412"/>
      <c r="AB782" s="1413"/>
      <c r="AC782" s="1414">
        <f>X782*O782</f>
        <v>0</v>
      </c>
      <c r="AD782" s="1410"/>
      <c r="AE782" s="1410"/>
      <c r="AF782" s="1410"/>
      <c r="AG782" s="141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4">
        <f>IF(J782="SRO/Studio",O782,0)</f>
        <v>0</v>
      </c>
      <c r="CQ782" s="1545"/>
      <c r="CR782" s="1545"/>
      <c r="CS782" s="1545"/>
      <c r="CT782" s="1546"/>
      <c r="CU782" s="1540">
        <f>IF(J782="1 Bedroom",O782,0)</f>
        <v>0</v>
      </c>
      <c r="CV782" s="1540"/>
      <c r="CW782" s="1540"/>
      <c r="CX782" s="1540"/>
      <c r="CY782" s="1540"/>
      <c r="CZ782" s="1540">
        <f>IF(J782="2 Bedrooms",O782,0)</f>
        <v>0</v>
      </c>
      <c r="DA782" s="1540"/>
      <c r="DB782" s="1540"/>
      <c r="DC782" s="1540"/>
      <c r="DD782" s="1540"/>
      <c r="DE782" s="1540">
        <f>IF(J782="3 Bedrooms",O782,0)</f>
        <v>0</v>
      </c>
      <c r="DF782" s="1540"/>
      <c r="DG782" s="1540"/>
      <c r="DH782" s="1540"/>
      <c r="DI782" s="1540"/>
      <c r="DJ782" s="1540">
        <f>IF(J782="4 Bedrooms",O782,0)</f>
        <v>0</v>
      </c>
      <c r="DK782" s="1540"/>
      <c r="DL782" s="1540"/>
      <c r="DM782" s="1540"/>
      <c r="DN782" s="1540"/>
      <c r="DO782" s="1540">
        <f>IF(J782="5 Bedrooms",O782,0)</f>
        <v>0</v>
      </c>
      <c r="DP782" s="1540"/>
      <c r="DQ782" s="1540"/>
      <c r="DR782" s="1540"/>
      <c r="DS782" s="1540"/>
      <c r="DT782" s="6"/>
      <c r="DU782" s="3"/>
      <c r="DV782" s="3"/>
    </row>
    <row r="783" spans="1:159" ht="12.9" customHeight="1">
      <c r="J783" s="1365"/>
      <c r="K783" s="1366"/>
      <c r="L783" s="1366"/>
      <c r="M783" s="1366"/>
      <c r="N783" s="1367"/>
      <c r="O783" s="1570"/>
      <c r="P783" s="1570"/>
      <c r="Q783" s="1570"/>
      <c r="R783" s="1570"/>
      <c r="S783" s="1570"/>
      <c r="T783" s="1362"/>
      <c r="U783" s="1363"/>
      <c r="V783" s="1363"/>
      <c r="W783" s="1364"/>
      <c r="X783" s="1411"/>
      <c r="Y783" s="1412"/>
      <c r="Z783" s="1412"/>
      <c r="AA783" s="1412"/>
      <c r="AB783" s="1413"/>
      <c r="AC783" s="1414">
        <f>X783*O783</f>
        <v>0</v>
      </c>
      <c r="AD783" s="1410"/>
      <c r="AE783" s="1410"/>
      <c r="AF783" s="1410"/>
      <c r="AG783" s="141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4">
        <f>IF(J783="SRO/Studio",O783,0)</f>
        <v>0</v>
      </c>
      <c r="CQ783" s="1545"/>
      <c r="CR783" s="1545"/>
      <c r="CS783" s="1545"/>
      <c r="CT783" s="1546"/>
      <c r="CU783" s="1540">
        <f>IF(J783="1 Bedroom",O783,0)</f>
        <v>0</v>
      </c>
      <c r="CV783" s="1540"/>
      <c r="CW783" s="1540"/>
      <c r="CX783" s="1540"/>
      <c r="CY783" s="1540"/>
      <c r="CZ783" s="1540">
        <f>IF(J783="2 Bedrooms",O783,0)</f>
        <v>0</v>
      </c>
      <c r="DA783" s="1540"/>
      <c r="DB783" s="1540"/>
      <c r="DC783" s="1540"/>
      <c r="DD783" s="1540"/>
      <c r="DE783" s="1540">
        <f>IF(J783="3 Bedrooms",O783,0)</f>
        <v>0</v>
      </c>
      <c r="DF783" s="1540"/>
      <c r="DG783" s="1540"/>
      <c r="DH783" s="1540"/>
      <c r="DI783" s="1540"/>
      <c r="DJ783" s="1540">
        <f>IF(J783="4 Bedrooms",O783,0)</f>
        <v>0</v>
      </c>
      <c r="DK783" s="1540"/>
      <c r="DL783" s="1540"/>
      <c r="DM783" s="1540"/>
      <c r="DN783" s="1540"/>
      <c r="DO783" s="1540">
        <f>IF(J783="5 Bedrooms",O783,0)</f>
        <v>0</v>
      </c>
      <c r="DP783" s="1540"/>
      <c r="DQ783" s="1540"/>
      <c r="DR783" s="1540"/>
      <c r="DS783" s="1540"/>
      <c r="DT783" s="1007"/>
    </row>
    <row r="784" spans="1:159" ht="12.9" customHeight="1">
      <c r="J784" s="1365"/>
      <c r="K784" s="1366"/>
      <c r="L784" s="1366"/>
      <c r="M784" s="1366"/>
      <c r="N784" s="1367"/>
      <c r="O784" s="1570"/>
      <c r="P784" s="1570"/>
      <c r="Q784" s="1570"/>
      <c r="R784" s="1570"/>
      <c r="S784" s="1570"/>
      <c r="T784" s="1362"/>
      <c r="U784" s="1363"/>
      <c r="V784" s="1363"/>
      <c r="W784" s="1364"/>
      <c r="X784" s="1411"/>
      <c r="Y784" s="1412"/>
      <c r="Z784" s="1412"/>
      <c r="AA784" s="1412"/>
      <c r="AB784" s="1413"/>
      <c r="AC784" s="1414">
        <f>X784*O784</f>
        <v>0</v>
      </c>
      <c r="AD784" s="1410"/>
      <c r="AE784" s="1410"/>
      <c r="AF784" s="1410"/>
      <c r="AG784" s="141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4">
        <f>IF(J784="SRO/Studio",O784,0)</f>
        <v>0</v>
      </c>
      <c r="CQ784" s="1545"/>
      <c r="CR784" s="1545"/>
      <c r="CS784" s="1545"/>
      <c r="CT784" s="1546"/>
      <c r="CU784" s="1540">
        <f>IF(J784="1 Bedroom",O784,0)</f>
        <v>0</v>
      </c>
      <c r="CV784" s="1540"/>
      <c r="CW784" s="1540"/>
      <c r="CX784" s="1540"/>
      <c r="CY784" s="1540"/>
      <c r="CZ784" s="1540">
        <f>IF(J784="2 Bedrooms",O784,0)</f>
        <v>0</v>
      </c>
      <c r="DA784" s="1540"/>
      <c r="DB784" s="1540"/>
      <c r="DC784" s="1540"/>
      <c r="DD784" s="1540"/>
      <c r="DE784" s="1540">
        <f>IF(J784="3 Bedrooms",O784,0)</f>
        <v>0</v>
      </c>
      <c r="DF784" s="1540"/>
      <c r="DG784" s="1540"/>
      <c r="DH784" s="1540"/>
      <c r="DI784" s="1540"/>
      <c r="DJ784" s="1540">
        <f>IF(J784="4 Bedrooms",O784,0)</f>
        <v>0</v>
      </c>
      <c r="DK784" s="1540"/>
      <c r="DL784" s="1540"/>
      <c r="DM784" s="1540"/>
      <c r="DN784" s="1540"/>
      <c r="DO784" s="1540">
        <f>IF(J784="5 Bedrooms",O784,0)</f>
        <v>0</v>
      </c>
      <c r="DP784" s="1540"/>
      <c r="DQ784" s="1540"/>
      <c r="DR784" s="1540"/>
      <c r="DS784" s="1540"/>
    </row>
    <row r="785" spans="1:154" ht="12.9" customHeight="1">
      <c r="J785" s="1682" t="s">
        <v>125</v>
      </c>
      <c r="K785" s="1683"/>
      <c r="L785" s="1683"/>
      <c r="M785" s="1683"/>
      <c r="N785" s="1684"/>
      <c r="O785" s="1554">
        <f>SUM(O781:S784)</f>
        <v>1</v>
      </c>
      <c r="P785" s="1742"/>
      <c r="Q785" s="1742"/>
      <c r="R785" s="1742"/>
      <c r="S785" s="1555"/>
      <c r="X785" s="1682" t="s">
        <v>124</v>
      </c>
      <c r="Y785" s="1683"/>
      <c r="Z785" s="1683"/>
      <c r="AA785" s="1683"/>
      <c r="AB785" s="1684"/>
      <c r="AC785" s="1414">
        <f>SUM(AC781:AG784)</f>
        <v>0</v>
      </c>
      <c r="AD785" s="1410"/>
      <c r="AE785" s="1410"/>
      <c r="AF785" s="1410"/>
      <c r="AG785" s="141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4">
        <f>SUM(CP781:CT784)</f>
        <v>0</v>
      </c>
      <c r="CQ785" s="1742"/>
      <c r="CR785" s="1742"/>
      <c r="CS785" s="1742"/>
      <c r="CT785" s="1555"/>
      <c r="CU785" s="1547">
        <f>SUM(CU781:CY784)</f>
        <v>0</v>
      </c>
      <c r="CV785" s="1548"/>
      <c r="CW785" s="1548"/>
      <c r="CX785" s="1548"/>
      <c r="CY785" s="1549"/>
      <c r="CZ785" s="1547">
        <f>SUM(CZ781:DD784)</f>
        <v>0</v>
      </c>
      <c r="DA785" s="1548"/>
      <c r="DB785" s="1548"/>
      <c r="DC785" s="1548"/>
      <c r="DD785" s="1549"/>
      <c r="DE785" s="1547">
        <f>SUM(DE781:DI784)</f>
        <v>1</v>
      </c>
      <c r="DF785" s="1548"/>
      <c r="DG785" s="1548"/>
      <c r="DH785" s="1548"/>
      <c r="DI785" s="1549"/>
      <c r="DJ785" s="1547">
        <f>SUM(DJ781:DN784)</f>
        <v>0</v>
      </c>
      <c r="DK785" s="1548"/>
      <c r="DL785" s="1548"/>
      <c r="DM785" s="1548"/>
      <c r="DN785" s="1549"/>
      <c r="DO785" s="1547">
        <f>SUM(DO781:DS784)</f>
        <v>0</v>
      </c>
      <c r="DP785" s="1548"/>
      <c r="DQ785" s="1548"/>
      <c r="DR785" s="1548"/>
      <c r="DS785" s="1549"/>
      <c r="DU785" s="857">
        <f>CP785+CU785+CZ785+DE785+DJ785+DO785</f>
        <v>1</v>
      </c>
      <c r="DV785" s="57" t="s">
        <v>1834</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1836</v>
      </c>
    </row>
    <row r="787" spans="1:154" ht="12.9" customHeight="1">
      <c r="B787" s="56"/>
      <c r="C787" s="56"/>
      <c r="D787" s="56"/>
      <c r="E787" s="56"/>
      <c r="F787" s="56"/>
      <c r="G787" s="6"/>
      <c r="H787" s="6"/>
      <c r="I787" s="6"/>
      <c r="J787" s="1470" t="s">
        <v>669</v>
      </c>
      <c r="K787" s="1470"/>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425" t="s">
        <v>389</v>
      </c>
      <c r="K791" s="1426"/>
      <c r="L791" s="1426"/>
      <c r="M791" s="1426"/>
      <c r="N791" s="1427"/>
      <c r="O791" s="1672" t="s">
        <v>285</v>
      </c>
      <c r="P791" s="1672"/>
      <c r="Q791" s="1672"/>
      <c r="R791" s="1672"/>
      <c r="S791" s="1672"/>
      <c r="T791" s="1689" t="s">
        <v>1668</v>
      </c>
      <c r="U791" s="1690"/>
      <c r="V791" s="1690"/>
      <c r="W791" s="1691"/>
      <c r="X791" s="1425" t="s">
        <v>447</v>
      </c>
      <c r="Y791" s="1426"/>
      <c r="Z791" s="1426"/>
      <c r="AA791" s="1426"/>
      <c r="AB791" s="1427"/>
      <c r="AC791" s="1425" t="s">
        <v>286</v>
      </c>
      <c r="AD791" s="1426"/>
      <c r="AE791" s="1426"/>
      <c r="AF791" s="1426"/>
      <c r="AG791" s="142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428"/>
      <c r="K792" s="1429"/>
      <c r="L792" s="1429"/>
      <c r="M792" s="1429"/>
      <c r="N792" s="1430"/>
      <c r="O792" s="1672"/>
      <c r="P792" s="1672"/>
      <c r="Q792" s="1672"/>
      <c r="R792" s="1672"/>
      <c r="S792" s="1672"/>
      <c r="T792" s="1692"/>
      <c r="U792" s="1693"/>
      <c r="V792" s="1693"/>
      <c r="W792" s="1694"/>
      <c r="X792" s="1428"/>
      <c r="Y792" s="1429"/>
      <c r="Z792" s="1429"/>
      <c r="AA792" s="1429"/>
      <c r="AB792" s="1430"/>
      <c r="AC792" s="1428"/>
      <c r="AD792" s="1429"/>
      <c r="AE792" s="1429"/>
      <c r="AF792" s="1429"/>
      <c r="AG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428"/>
      <c r="K793" s="1429"/>
      <c r="L793" s="1429"/>
      <c r="M793" s="1429"/>
      <c r="N793" s="1430"/>
      <c r="O793" s="1672"/>
      <c r="P793" s="1672"/>
      <c r="Q793" s="1672"/>
      <c r="R793" s="1672"/>
      <c r="S793" s="1672"/>
      <c r="T793" s="1692"/>
      <c r="U793" s="1693"/>
      <c r="V793" s="1693"/>
      <c r="W793" s="1694"/>
      <c r="X793" s="1428"/>
      <c r="Y793" s="1429"/>
      <c r="Z793" s="1429"/>
      <c r="AA793" s="1429"/>
      <c r="AB793" s="1430"/>
      <c r="AC793" s="1428"/>
      <c r="AD793" s="1429"/>
      <c r="AE793" s="1429"/>
      <c r="AF793" s="1429"/>
      <c r="AG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431"/>
      <c r="K794" s="1432"/>
      <c r="L794" s="1432"/>
      <c r="M794" s="1432"/>
      <c r="N794" s="1433"/>
      <c r="O794" s="1672"/>
      <c r="P794" s="1672"/>
      <c r="Q794" s="1672"/>
      <c r="R794" s="1672"/>
      <c r="S794" s="1672"/>
      <c r="T794" s="1695"/>
      <c r="U794" s="1696"/>
      <c r="V794" s="1696"/>
      <c r="W794" s="1697"/>
      <c r="X794" s="1431"/>
      <c r="Y794" s="1432"/>
      <c r="Z794" s="1432"/>
      <c r="AA794" s="1432"/>
      <c r="AB794" s="1433"/>
      <c r="AC794" s="1431"/>
      <c r="AD794" s="1432"/>
      <c r="AE794" s="1432"/>
      <c r="AF794" s="1432"/>
      <c r="AG794" s="14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 customHeight="1">
      <c r="J795" s="1365"/>
      <c r="K795" s="1366"/>
      <c r="L795" s="1366"/>
      <c r="M795" s="1366"/>
      <c r="N795" s="1367"/>
      <c r="O795" s="1570"/>
      <c r="P795" s="1570"/>
      <c r="Q795" s="1570"/>
      <c r="R795" s="1570"/>
      <c r="S795" s="1570"/>
      <c r="T795" s="1362"/>
      <c r="U795" s="1363"/>
      <c r="V795" s="1363"/>
      <c r="W795" s="1364"/>
      <c r="X795" s="1411"/>
      <c r="Y795" s="1412"/>
      <c r="Z795" s="1412"/>
      <c r="AA795" s="1412"/>
      <c r="AB795" s="1413"/>
      <c r="AC795" s="1414">
        <f t="shared" ref="AC795:AC804" si="66">X795*O795</f>
        <v>0</v>
      </c>
      <c r="AD795" s="1410"/>
      <c r="AE795" s="1410"/>
      <c r="AF795" s="1410"/>
      <c r="AG795" s="141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4">
        <f t="shared" ref="CP795:CP804" si="67">IF(J795="SRO/Studio",O795,0)</f>
        <v>0</v>
      </c>
      <c r="CQ795" s="1545"/>
      <c r="CR795" s="1545"/>
      <c r="CS795" s="1545"/>
      <c r="CT795" s="1546"/>
      <c r="CU795" s="1544">
        <f t="shared" ref="CU795:CU804" si="68">IF(J795="1 Bedroom",O795,0)</f>
        <v>0</v>
      </c>
      <c r="CV795" s="1545"/>
      <c r="CW795" s="1545"/>
      <c r="CX795" s="1545"/>
      <c r="CY795" s="1546"/>
      <c r="CZ795" s="1544">
        <f t="shared" ref="CZ795:CZ804" si="69">IF(J795="2 Bedrooms",O795,0)</f>
        <v>0</v>
      </c>
      <c r="DA795" s="1545"/>
      <c r="DB795" s="1545"/>
      <c r="DC795" s="1545"/>
      <c r="DD795" s="1546"/>
      <c r="DE795" s="1544">
        <f t="shared" ref="DE795:DE804" si="70">IF(J795="3 Bedrooms",O795,0)</f>
        <v>0</v>
      </c>
      <c r="DF795" s="1545"/>
      <c r="DG795" s="1545"/>
      <c r="DH795" s="1545"/>
      <c r="DI795" s="1546"/>
      <c r="DJ795" s="1544">
        <f t="shared" ref="DJ795:DJ804" si="71">IF(J795="4 Bedrooms",O795,0)</f>
        <v>0</v>
      </c>
      <c r="DK795" s="1545"/>
      <c r="DL795" s="1545"/>
      <c r="DM795" s="1545"/>
      <c r="DN795" s="1546"/>
      <c r="DO795" s="1544">
        <f t="shared" ref="DO795:DO804" si="72">IF(J795="5 Bedrooms",O795,0)</f>
        <v>0</v>
      </c>
      <c r="DP795" s="1545"/>
      <c r="DQ795" s="1545"/>
      <c r="DR795" s="1545"/>
      <c r="DS795" s="1546"/>
      <c r="DT795" s="6"/>
      <c r="DU795" s="1544">
        <f t="shared" ref="DU795:DU804" si="73">IF(AND(CP795&gt;=1,AH795&gt;=0.1,AH795&lt;=1),O795,0)</f>
        <v>0</v>
      </c>
      <c r="DV795" s="1545"/>
      <c r="DW795" s="1545"/>
      <c r="DX795" s="1545"/>
      <c r="DY795" s="1546"/>
      <c r="DZ795" s="1544">
        <f t="shared" ref="DZ795:DZ804" si="74">IF(AND(CU795&gt;=1,AH795&gt;=0.1,AH795&lt;=1),O795,0)</f>
        <v>0</v>
      </c>
      <c r="EA795" s="1545"/>
      <c r="EB795" s="1545"/>
      <c r="EC795" s="1545"/>
      <c r="ED795" s="1546"/>
      <c r="EE795" s="1544">
        <f t="shared" ref="EE795:EE804" si="75">IF(AND(CZ795&gt;=1,AH795&gt;=0.1,AH795&lt;=1),O795,0)</f>
        <v>0</v>
      </c>
      <c r="EF795" s="1545"/>
      <c r="EG795" s="1545"/>
      <c r="EH795" s="1545"/>
      <c r="EI795" s="1546"/>
      <c r="EJ795" s="1544">
        <f t="shared" ref="EJ795:EJ804" si="76">IF(AND(DE795&gt;=1,AH795&gt;=0.1,AH795&lt;=1),O795,0)</f>
        <v>0</v>
      </c>
      <c r="EK795" s="1545"/>
      <c r="EL795" s="1545"/>
      <c r="EM795" s="1545"/>
      <c r="EN795" s="1546"/>
      <c r="EO795" s="1544">
        <f t="shared" ref="EO795:EO804" si="77">IF(AND(DJ795&gt;=1,AH795&gt;=0.1,AH795&lt;=1),O795,0)</f>
        <v>0</v>
      </c>
      <c r="EP795" s="1545"/>
      <c r="EQ795" s="1545"/>
      <c r="ER795" s="1545"/>
      <c r="ES795" s="1546"/>
      <c r="ET795" s="1544">
        <f t="shared" ref="ET795:ET804" si="78">IF(AND(DO795&gt;=1,AH795&gt;=0.1,AH795&lt;=1),O795,0)</f>
        <v>0</v>
      </c>
      <c r="EU795" s="1545"/>
      <c r="EV795" s="1545"/>
      <c r="EW795" s="1545"/>
      <c r="EX795" s="1546"/>
    </row>
    <row r="796" spans="1:154" s="14" customFormat="1" ht="12.9" customHeight="1">
      <c r="A796"/>
      <c r="B796"/>
      <c r="C796"/>
      <c r="D796"/>
      <c r="E796"/>
      <c r="F796"/>
      <c r="G796"/>
      <c r="H796"/>
      <c r="I796"/>
      <c r="J796" s="1365"/>
      <c r="K796" s="1366"/>
      <c r="L796" s="1366"/>
      <c r="M796" s="1366"/>
      <c r="N796" s="1367"/>
      <c r="O796" s="1570"/>
      <c r="P796" s="1570"/>
      <c r="Q796" s="1570"/>
      <c r="R796" s="1570"/>
      <c r="S796" s="1570"/>
      <c r="T796" s="1362"/>
      <c r="U796" s="1363"/>
      <c r="V796" s="1363"/>
      <c r="W796" s="1364"/>
      <c r="X796" s="1411"/>
      <c r="Y796" s="1412"/>
      <c r="Z796" s="1412"/>
      <c r="AA796" s="1412"/>
      <c r="AB796" s="1413"/>
      <c r="AC796" s="1414">
        <f t="shared" si="66"/>
        <v>0</v>
      </c>
      <c r="AD796" s="1410"/>
      <c r="AE796" s="1410"/>
      <c r="AF796" s="1410"/>
      <c r="AG796" s="14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4">
        <f t="shared" si="67"/>
        <v>0</v>
      </c>
      <c r="CQ796" s="1545"/>
      <c r="CR796" s="1545"/>
      <c r="CS796" s="1545"/>
      <c r="CT796" s="1546"/>
      <c r="CU796" s="1544">
        <f t="shared" si="68"/>
        <v>0</v>
      </c>
      <c r="CV796" s="1545"/>
      <c r="CW796" s="1545"/>
      <c r="CX796" s="1545"/>
      <c r="CY796" s="1546"/>
      <c r="CZ796" s="1544">
        <f t="shared" si="69"/>
        <v>0</v>
      </c>
      <c r="DA796" s="1545"/>
      <c r="DB796" s="1545"/>
      <c r="DC796" s="1545"/>
      <c r="DD796" s="1546"/>
      <c r="DE796" s="1544">
        <f t="shared" si="70"/>
        <v>0</v>
      </c>
      <c r="DF796" s="1545"/>
      <c r="DG796" s="1545"/>
      <c r="DH796" s="1545"/>
      <c r="DI796" s="1546"/>
      <c r="DJ796" s="1544">
        <f t="shared" si="71"/>
        <v>0</v>
      </c>
      <c r="DK796" s="1545"/>
      <c r="DL796" s="1545"/>
      <c r="DM796" s="1545"/>
      <c r="DN796" s="1546"/>
      <c r="DO796" s="1544">
        <f t="shared" si="72"/>
        <v>0</v>
      </c>
      <c r="DP796" s="1545"/>
      <c r="DQ796" s="1545"/>
      <c r="DR796" s="1545"/>
      <c r="DS796" s="1546"/>
      <c r="DT796" s="6"/>
      <c r="DU796" s="1544">
        <f t="shared" si="73"/>
        <v>0</v>
      </c>
      <c r="DV796" s="1545"/>
      <c r="DW796" s="1545"/>
      <c r="DX796" s="1545"/>
      <c r="DY796" s="1546"/>
      <c r="DZ796" s="1544">
        <f t="shared" si="74"/>
        <v>0</v>
      </c>
      <c r="EA796" s="1545"/>
      <c r="EB796" s="1545"/>
      <c r="EC796" s="1545"/>
      <c r="ED796" s="1546"/>
      <c r="EE796" s="1544">
        <f t="shared" si="75"/>
        <v>0</v>
      </c>
      <c r="EF796" s="1545"/>
      <c r="EG796" s="1545"/>
      <c r="EH796" s="1545"/>
      <c r="EI796" s="1546"/>
      <c r="EJ796" s="1544">
        <f t="shared" si="76"/>
        <v>0</v>
      </c>
      <c r="EK796" s="1545"/>
      <c r="EL796" s="1545"/>
      <c r="EM796" s="1545"/>
      <c r="EN796" s="1546"/>
      <c r="EO796" s="1544">
        <f t="shared" si="77"/>
        <v>0</v>
      </c>
      <c r="EP796" s="1545"/>
      <c r="EQ796" s="1545"/>
      <c r="ER796" s="1545"/>
      <c r="ES796" s="1546"/>
      <c r="ET796" s="1544">
        <f t="shared" si="78"/>
        <v>0</v>
      </c>
      <c r="EU796" s="1545"/>
      <c r="EV796" s="1545"/>
      <c r="EW796" s="1545"/>
      <c r="EX796" s="1546"/>
    </row>
    <row r="797" spans="1:154" s="14" customFormat="1" ht="12.9" customHeight="1">
      <c r="A797"/>
      <c r="B797"/>
      <c r="C797"/>
      <c r="D797"/>
      <c r="E797"/>
      <c r="F797"/>
      <c r="G797"/>
      <c r="H797"/>
      <c r="I797"/>
      <c r="J797" s="1365"/>
      <c r="K797" s="1366"/>
      <c r="L797" s="1366"/>
      <c r="M797" s="1366"/>
      <c r="N797" s="1367"/>
      <c r="O797" s="1570"/>
      <c r="P797" s="1570"/>
      <c r="Q797" s="1570"/>
      <c r="R797" s="1570"/>
      <c r="S797" s="1570"/>
      <c r="T797" s="1362"/>
      <c r="U797" s="1363"/>
      <c r="V797" s="1363"/>
      <c r="W797" s="1364"/>
      <c r="X797" s="1411"/>
      <c r="Y797" s="1412"/>
      <c r="Z797" s="1412"/>
      <c r="AA797" s="1412"/>
      <c r="AB797" s="1413"/>
      <c r="AC797" s="1414">
        <f t="shared" si="66"/>
        <v>0</v>
      </c>
      <c r="AD797" s="1410"/>
      <c r="AE797" s="1410"/>
      <c r="AF797" s="1410"/>
      <c r="AG797" s="141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4">
        <f t="shared" si="67"/>
        <v>0</v>
      </c>
      <c r="CQ797" s="1545"/>
      <c r="CR797" s="1545"/>
      <c r="CS797" s="1545"/>
      <c r="CT797" s="1546"/>
      <c r="CU797" s="1544">
        <f t="shared" si="68"/>
        <v>0</v>
      </c>
      <c r="CV797" s="1545"/>
      <c r="CW797" s="1545"/>
      <c r="CX797" s="1545"/>
      <c r="CY797" s="1546"/>
      <c r="CZ797" s="1544">
        <f t="shared" si="69"/>
        <v>0</v>
      </c>
      <c r="DA797" s="1545"/>
      <c r="DB797" s="1545"/>
      <c r="DC797" s="1545"/>
      <c r="DD797" s="1546"/>
      <c r="DE797" s="1544">
        <f t="shared" si="70"/>
        <v>0</v>
      </c>
      <c r="DF797" s="1545"/>
      <c r="DG797" s="1545"/>
      <c r="DH797" s="1545"/>
      <c r="DI797" s="1546"/>
      <c r="DJ797" s="1544">
        <f t="shared" si="71"/>
        <v>0</v>
      </c>
      <c r="DK797" s="1545"/>
      <c r="DL797" s="1545"/>
      <c r="DM797" s="1545"/>
      <c r="DN797" s="1546"/>
      <c r="DO797" s="1544">
        <f t="shared" si="72"/>
        <v>0</v>
      </c>
      <c r="DP797" s="1545"/>
      <c r="DQ797" s="1545"/>
      <c r="DR797" s="1545"/>
      <c r="DS797" s="1546"/>
      <c r="DT797" s="6"/>
      <c r="DU797" s="1544">
        <f t="shared" si="73"/>
        <v>0</v>
      </c>
      <c r="DV797" s="1545"/>
      <c r="DW797" s="1545"/>
      <c r="DX797" s="1545"/>
      <c r="DY797" s="1546"/>
      <c r="DZ797" s="1544">
        <f t="shared" si="74"/>
        <v>0</v>
      </c>
      <c r="EA797" s="1545"/>
      <c r="EB797" s="1545"/>
      <c r="EC797" s="1545"/>
      <c r="ED797" s="1546"/>
      <c r="EE797" s="1544">
        <f t="shared" si="75"/>
        <v>0</v>
      </c>
      <c r="EF797" s="1545"/>
      <c r="EG797" s="1545"/>
      <c r="EH797" s="1545"/>
      <c r="EI797" s="1546"/>
      <c r="EJ797" s="1544">
        <f t="shared" si="76"/>
        <v>0</v>
      </c>
      <c r="EK797" s="1545"/>
      <c r="EL797" s="1545"/>
      <c r="EM797" s="1545"/>
      <c r="EN797" s="1546"/>
      <c r="EO797" s="1544">
        <f t="shared" si="77"/>
        <v>0</v>
      </c>
      <c r="EP797" s="1545"/>
      <c r="EQ797" s="1545"/>
      <c r="ER797" s="1545"/>
      <c r="ES797" s="1546"/>
      <c r="ET797" s="1544">
        <f t="shared" si="78"/>
        <v>0</v>
      </c>
      <c r="EU797" s="1545"/>
      <c r="EV797" s="1545"/>
      <c r="EW797" s="1545"/>
      <c r="EX797" s="1546"/>
    </row>
    <row r="798" spans="1:154" s="14" customFormat="1" ht="12.9" customHeight="1">
      <c r="A798"/>
      <c r="B798"/>
      <c r="C798"/>
      <c r="D798"/>
      <c r="E798"/>
      <c r="F798"/>
      <c r="G798"/>
      <c r="H798"/>
      <c r="I798"/>
      <c r="J798" s="1365"/>
      <c r="K798" s="1366"/>
      <c r="L798" s="1366"/>
      <c r="M798" s="1366"/>
      <c r="N798" s="1367"/>
      <c r="O798" s="1570"/>
      <c r="P798" s="1570"/>
      <c r="Q798" s="1570"/>
      <c r="R798" s="1570"/>
      <c r="S798" s="1570"/>
      <c r="T798" s="1362"/>
      <c r="U798" s="1363"/>
      <c r="V798" s="1363"/>
      <c r="W798" s="1364"/>
      <c r="X798" s="1411"/>
      <c r="Y798" s="1412"/>
      <c r="Z798" s="1412"/>
      <c r="AA798" s="1412"/>
      <c r="AB798" s="1413"/>
      <c r="AC798" s="1414">
        <f t="shared" si="66"/>
        <v>0</v>
      </c>
      <c r="AD798" s="1410"/>
      <c r="AE798" s="1410"/>
      <c r="AF798" s="1410"/>
      <c r="AG798" s="141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4">
        <f t="shared" si="67"/>
        <v>0</v>
      </c>
      <c r="CQ798" s="1545"/>
      <c r="CR798" s="1545"/>
      <c r="CS798" s="1545"/>
      <c r="CT798" s="1546"/>
      <c r="CU798" s="1544">
        <f t="shared" si="68"/>
        <v>0</v>
      </c>
      <c r="CV798" s="1545"/>
      <c r="CW798" s="1545"/>
      <c r="CX798" s="1545"/>
      <c r="CY798" s="1546"/>
      <c r="CZ798" s="1544">
        <f t="shared" si="69"/>
        <v>0</v>
      </c>
      <c r="DA798" s="1545"/>
      <c r="DB798" s="1545"/>
      <c r="DC798" s="1545"/>
      <c r="DD798" s="1546"/>
      <c r="DE798" s="1544">
        <f t="shared" si="70"/>
        <v>0</v>
      </c>
      <c r="DF798" s="1545"/>
      <c r="DG798" s="1545"/>
      <c r="DH798" s="1545"/>
      <c r="DI798" s="1546"/>
      <c r="DJ798" s="1544">
        <f t="shared" si="71"/>
        <v>0</v>
      </c>
      <c r="DK798" s="1545"/>
      <c r="DL798" s="1545"/>
      <c r="DM798" s="1545"/>
      <c r="DN798" s="1546"/>
      <c r="DO798" s="1544">
        <f t="shared" si="72"/>
        <v>0</v>
      </c>
      <c r="DP798" s="1545"/>
      <c r="DQ798" s="1545"/>
      <c r="DR798" s="1545"/>
      <c r="DS798" s="1546"/>
      <c r="DT798" s="6"/>
      <c r="DU798" s="1544">
        <f t="shared" si="73"/>
        <v>0</v>
      </c>
      <c r="DV798" s="1545"/>
      <c r="DW798" s="1545"/>
      <c r="DX798" s="1545"/>
      <c r="DY798" s="1546"/>
      <c r="DZ798" s="1544">
        <f t="shared" si="74"/>
        <v>0</v>
      </c>
      <c r="EA798" s="1545"/>
      <c r="EB798" s="1545"/>
      <c r="EC798" s="1545"/>
      <c r="ED798" s="1546"/>
      <c r="EE798" s="1544">
        <f t="shared" si="75"/>
        <v>0</v>
      </c>
      <c r="EF798" s="1545"/>
      <c r="EG798" s="1545"/>
      <c r="EH798" s="1545"/>
      <c r="EI798" s="1546"/>
      <c r="EJ798" s="1544">
        <f t="shared" si="76"/>
        <v>0</v>
      </c>
      <c r="EK798" s="1545"/>
      <c r="EL798" s="1545"/>
      <c r="EM798" s="1545"/>
      <c r="EN798" s="1546"/>
      <c r="EO798" s="1544">
        <f t="shared" si="77"/>
        <v>0</v>
      </c>
      <c r="EP798" s="1545"/>
      <c r="EQ798" s="1545"/>
      <c r="ER798" s="1545"/>
      <c r="ES798" s="1546"/>
      <c r="ET798" s="1544">
        <f t="shared" si="78"/>
        <v>0</v>
      </c>
      <c r="EU798" s="1545"/>
      <c r="EV798" s="1545"/>
      <c r="EW798" s="1545"/>
      <c r="EX798" s="1546"/>
    </row>
    <row r="799" spans="1:154" s="14" customFormat="1" ht="12.9" customHeight="1">
      <c r="A799"/>
      <c r="B799"/>
      <c r="C799"/>
      <c r="D799"/>
      <c r="E799"/>
      <c r="F799"/>
      <c r="G799"/>
      <c r="H799"/>
      <c r="I799"/>
      <c r="J799" s="1365"/>
      <c r="K799" s="1366"/>
      <c r="L799" s="1366"/>
      <c r="M799" s="1366"/>
      <c r="N799" s="1367"/>
      <c r="O799" s="1570"/>
      <c r="P799" s="1570"/>
      <c r="Q799" s="1570"/>
      <c r="R799" s="1570"/>
      <c r="S799" s="1570"/>
      <c r="T799" s="1362"/>
      <c r="U799" s="1363"/>
      <c r="V799" s="1363"/>
      <c r="W799" s="1364"/>
      <c r="X799" s="1411"/>
      <c r="Y799" s="1412"/>
      <c r="Z799" s="1412"/>
      <c r="AA799" s="1412"/>
      <c r="AB799" s="1413"/>
      <c r="AC799" s="1414">
        <f t="shared" si="66"/>
        <v>0</v>
      </c>
      <c r="AD799" s="1410"/>
      <c r="AE799" s="1410"/>
      <c r="AF799" s="1410"/>
      <c r="AG799" s="141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4">
        <f t="shared" si="67"/>
        <v>0</v>
      </c>
      <c r="CQ799" s="1545"/>
      <c r="CR799" s="1545"/>
      <c r="CS799" s="1545"/>
      <c r="CT799" s="1546"/>
      <c r="CU799" s="1544">
        <f t="shared" si="68"/>
        <v>0</v>
      </c>
      <c r="CV799" s="1545"/>
      <c r="CW799" s="1545"/>
      <c r="CX799" s="1545"/>
      <c r="CY799" s="1546"/>
      <c r="CZ799" s="1544">
        <f t="shared" si="69"/>
        <v>0</v>
      </c>
      <c r="DA799" s="1545"/>
      <c r="DB799" s="1545"/>
      <c r="DC799" s="1545"/>
      <c r="DD799" s="1546"/>
      <c r="DE799" s="1544">
        <f t="shared" si="70"/>
        <v>0</v>
      </c>
      <c r="DF799" s="1545"/>
      <c r="DG799" s="1545"/>
      <c r="DH799" s="1545"/>
      <c r="DI799" s="1546"/>
      <c r="DJ799" s="1544">
        <f t="shared" si="71"/>
        <v>0</v>
      </c>
      <c r="DK799" s="1545"/>
      <c r="DL799" s="1545"/>
      <c r="DM799" s="1545"/>
      <c r="DN799" s="1546"/>
      <c r="DO799" s="1544">
        <f t="shared" si="72"/>
        <v>0</v>
      </c>
      <c r="DP799" s="1545"/>
      <c r="DQ799" s="1545"/>
      <c r="DR799" s="1545"/>
      <c r="DS799" s="1546"/>
      <c r="DT799" s="6"/>
      <c r="DU799" s="1544">
        <f t="shared" si="73"/>
        <v>0</v>
      </c>
      <c r="DV799" s="1545"/>
      <c r="DW799" s="1545"/>
      <c r="DX799" s="1545"/>
      <c r="DY799" s="1546"/>
      <c r="DZ799" s="1544">
        <f t="shared" si="74"/>
        <v>0</v>
      </c>
      <c r="EA799" s="1545"/>
      <c r="EB799" s="1545"/>
      <c r="EC799" s="1545"/>
      <c r="ED799" s="1546"/>
      <c r="EE799" s="1544">
        <f t="shared" si="75"/>
        <v>0</v>
      </c>
      <c r="EF799" s="1545"/>
      <c r="EG799" s="1545"/>
      <c r="EH799" s="1545"/>
      <c r="EI799" s="1546"/>
      <c r="EJ799" s="1544">
        <f t="shared" si="76"/>
        <v>0</v>
      </c>
      <c r="EK799" s="1545"/>
      <c r="EL799" s="1545"/>
      <c r="EM799" s="1545"/>
      <c r="EN799" s="1546"/>
      <c r="EO799" s="1544">
        <f t="shared" si="77"/>
        <v>0</v>
      </c>
      <c r="EP799" s="1545"/>
      <c r="EQ799" s="1545"/>
      <c r="ER799" s="1545"/>
      <c r="ES799" s="1546"/>
      <c r="ET799" s="1544">
        <f t="shared" si="78"/>
        <v>0</v>
      </c>
      <c r="EU799" s="1545"/>
      <c r="EV799" s="1545"/>
      <c r="EW799" s="1545"/>
      <c r="EX799" s="1546"/>
    </row>
    <row r="800" spans="1:154" s="14" customFormat="1" ht="12.9" customHeight="1">
      <c r="A800"/>
      <c r="B800"/>
      <c r="C800"/>
      <c r="D800"/>
      <c r="E800"/>
      <c r="F800"/>
      <c r="G800"/>
      <c r="H800"/>
      <c r="I800"/>
      <c r="J800" s="1365"/>
      <c r="K800" s="1366"/>
      <c r="L800" s="1366"/>
      <c r="M800" s="1366"/>
      <c r="N800" s="1367"/>
      <c r="O800" s="1570"/>
      <c r="P800" s="1570"/>
      <c r="Q800" s="1570"/>
      <c r="R800" s="1570"/>
      <c r="S800" s="1570"/>
      <c r="T800" s="1362"/>
      <c r="U800" s="1363"/>
      <c r="V800" s="1363"/>
      <c r="W800" s="1364"/>
      <c r="X800" s="1411"/>
      <c r="Y800" s="1412"/>
      <c r="Z800" s="1412"/>
      <c r="AA800" s="1412"/>
      <c r="AB800" s="1413"/>
      <c r="AC800" s="1414">
        <f t="shared" si="66"/>
        <v>0</v>
      </c>
      <c r="AD800" s="1410"/>
      <c r="AE800" s="1410"/>
      <c r="AF800" s="1410"/>
      <c r="AG800" s="141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4">
        <f t="shared" si="67"/>
        <v>0</v>
      </c>
      <c r="CQ800" s="1545"/>
      <c r="CR800" s="1545"/>
      <c r="CS800" s="1545"/>
      <c r="CT800" s="1546"/>
      <c r="CU800" s="1544">
        <f t="shared" si="68"/>
        <v>0</v>
      </c>
      <c r="CV800" s="1545"/>
      <c r="CW800" s="1545"/>
      <c r="CX800" s="1545"/>
      <c r="CY800" s="1546"/>
      <c r="CZ800" s="1544">
        <f t="shared" si="69"/>
        <v>0</v>
      </c>
      <c r="DA800" s="1545"/>
      <c r="DB800" s="1545"/>
      <c r="DC800" s="1545"/>
      <c r="DD800" s="1546"/>
      <c r="DE800" s="1544">
        <f t="shared" si="70"/>
        <v>0</v>
      </c>
      <c r="DF800" s="1545"/>
      <c r="DG800" s="1545"/>
      <c r="DH800" s="1545"/>
      <c r="DI800" s="1546"/>
      <c r="DJ800" s="1544">
        <f t="shared" si="71"/>
        <v>0</v>
      </c>
      <c r="DK800" s="1545"/>
      <c r="DL800" s="1545"/>
      <c r="DM800" s="1545"/>
      <c r="DN800" s="1546"/>
      <c r="DO800" s="1544">
        <f t="shared" si="72"/>
        <v>0</v>
      </c>
      <c r="DP800" s="1545"/>
      <c r="DQ800" s="1545"/>
      <c r="DR800" s="1545"/>
      <c r="DS800" s="1546"/>
      <c r="DT800" s="6"/>
      <c r="DU800" s="1544">
        <f t="shared" si="73"/>
        <v>0</v>
      </c>
      <c r="DV800" s="1545"/>
      <c r="DW800" s="1545"/>
      <c r="DX800" s="1545"/>
      <c r="DY800" s="1546"/>
      <c r="DZ800" s="1544">
        <f t="shared" si="74"/>
        <v>0</v>
      </c>
      <c r="EA800" s="1545"/>
      <c r="EB800" s="1545"/>
      <c r="EC800" s="1545"/>
      <c r="ED800" s="1546"/>
      <c r="EE800" s="1544">
        <f t="shared" si="75"/>
        <v>0</v>
      </c>
      <c r="EF800" s="1545"/>
      <c r="EG800" s="1545"/>
      <c r="EH800" s="1545"/>
      <c r="EI800" s="1546"/>
      <c r="EJ800" s="1544">
        <f t="shared" si="76"/>
        <v>0</v>
      </c>
      <c r="EK800" s="1545"/>
      <c r="EL800" s="1545"/>
      <c r="EM800" s="1545"/>
      <c r="EN800" s="1546"/>
      <c r="EO800" s="1544">
        <f t="shared" si="77"/>
        <v>0</v>
      </c>
      <c r="EP800" s="1545"/>
      <c r="EQ800" s="1545"/>
      <c r="ER800" s="1545"/>
      <c r="ES800" s="1546"/>
      <c r="ET800" s="1544">
        <f t="shared" si="78"/>
        <v>0</v>
      </c>
      <c r="EU800" s="1545"/>
      <c r="EV800" s="1545"/>
      <c r="EW800" s="1545"/>
      <c r="EX800" s="1546"/>
    </row>
    <row r="801" spans="1:154" s="14" customFormat="1" ht="12.9" customHeight="1">
      <c r="A801"/>
      <c r="B801"/>
      <c r="C801"/>
      <c r="D801"/>
      <c r="E801"/>
      <c r="F801"/>
      <c r="G801"/>
      <c r="H801"/>
      <c r="I801"/>
      <c r="J801" s="1365"/>
      <c r="K801" s="1366"/>
      <c r="L801" s="1366"/>
      <c r="M801" s="1366"/>
      <c r="N801" s="1367"/>
      <c r="O801" s="1570"/>
      <c r="P801" s="1570"/>
      <c r="Q801" s="1570"/>
      <c r="R801" s="1570"/>
      <c r="S801" s="1570"/>
      <c r="T801" s="1362"/>
      <c r="U801" s="1363"/>
      <c r="V801" s="1363"/>
      <c r="W801" s="1364"/>
      <c r="X801" s="1411"/>
      <c r="Y801" s="1412"/>
      <c r="Z801" s="1412"/>
      <c r="AA801" s="1412"/>
      <c r="AB801" s="1413"/>
      <c r="AC801" s="1414">
        <f t="shared" si="66"/>
        <v>0</v>
      </c>
      <c r="AD801" s="1410"/>
      <c r="AE801" s="1410"/>
      <c r="AF801" s="1410"/>
      <c r="AG801" s="141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4">
        <f t="shared" si="67"/>
        <v>0</v>
      </c>
      <c r="CQ801" s="1545"/>
      <c r="CR801" s="1545"/>
      <c r="CS801" s="1545"/>
      <c r="CT801" s="1546"/>
      <c r="CU801" s="1544">
        <f t="shared" si="68"/>
        <v>0</v>
      </c>
      <c r="CV801" s="1545"/>
      <c r="CW801" s="1545"/>
      <c r="CX801" s="1545"/>
      <c r="CY801" s="1546"/>
      <c r="CZ801" s="1544">
        <f t="shared" si="69"/>
        <v>0</v>
      </c>
      <c r="DA801" s="1545"/>
      <c r="DB801" s="1545"/>
      <c r="DC801" s="1545"/>
      <c r="DD801" s="1546"/>
      <c r="DE801" s="1544">
        <f t="shared" si="70"/>
        <v>0</v>
      </c>
      <c r="DF801" s="1545"/>
      <c r="DG801" s="1545"/>
      <c r="DH801" s="1545"/>
      <c r="DI801" s="1546"/>
      <c r="DJ801" s="1544">
        <f t="shared" si="71"/>
        <v>0</v>
      </c>
      <c r="DK801" s="1545"/>
      <c r="DL801" s="1545"/>
      <c r="DM801" s="1545"/>
      <c r="DN801" s="1546"/>
      <c r="DO801" s="1544">
        <f t="shared" si="72"/>
        <v>0</v>
      </c>
      <c r="DP801" s="1545"/>
      <c r="DQ801" s="1545"/>
      <c r="DR801" s="1545"/>
      <c r="DS801" s="1546"/>
      <c r="DT801" s="6"/>
      <c r="DU801" s="1544">
        <f t="shared" si="73"/>
        <v>0</v>
      </c>
      <c r="DV801" s="1545"/>
      <c r="DW801" s="1545"/>
      <c r="DX801" s="1545"/>
      <c r="DY801" s="1546"/>
      <c r="DZ801" s="1544">
        <f t="shared" si="74"/>
        <v>0</v>
      </c>
      <c r="EA801" s="1545"/>
      <c r="EB801" s="1545"/>
      <c r="EC801" s="1545"/>
      <c r="ED801" s="1546"/>
      <c r="EE801" s="1544">
        <f t="shared" si="75"/>
        <v>0</v>
      </c>
      <c r="EF801" s="1545"/>
      <c r="EG801" s="1545"/>
      <c r="EH801" s="1545"/>
      <c r="EI801" s="1546"/>
      <c r="EJ801" s="1544">
        <f t="shared" si="76"/>
        <v>0</v>
      </c>
      <c r="EK801" s="1545"/>
      <c r="EL801" s="1545"/>
      <c r="EM801" s="1545"/>
      <c r="EN801" s="1546"/>
      <c r="EO801" s="1544">
        <f t="shared" si="77"/>
        <v>0</v>
      </c>
      <c r="EP801" s="1545"/>
      <c r="EQ801" s="1545"/>
      <c r="ER801" s="1545"/>
      <c r="ES801" s="1546"/>
      <c r="ET801" s="1544">
        <f t="shared" si="78"/>
        <v>0</v>
      </c>
      <c r="EU801" s="1545"/>
      <c r="EV801" s="1545"/>
      <c r="EW801" s="1545"/>
      <c r="EX801" s="1546"/>
    </row>
    <row r="802" spans="1:154" s="14" customFormat="1" ht="12.9" customHeight="1">
      <c r="A802"/>
      <c r="B802"/>
      <c r="C802"/>
      <c r="D802"/>
      <c r="E802"/>
      <c r="F802"/>
      <c r="G802"/>
      <c r="H802"/>
      <c r="I802"/>
      <c r="J802" s="1365"/>
      <c r="K802" s="1366"/>
      <c r="L802" s="1366"/>
      <c r="M802" s="1366"/>
      <c r="N802" s="1367"/>
      <c r="O802" s="1570"/>
      <c r="P802" s="1570"/>
      <c r="Q802" s="1570"/>
      <c r="R802" s="1570"/>
      <c r="S802" s="1570"/>
      <c r="T802" s="1362"/>
      <c r="U802" s="1363"/>
      <c r="V802" s="1363"/>
      <c r="W802" s="1364"/>
      <c r="X802" s="1411"/>
      <c r="Y802" s="1412"/>
      <c r="Z802" s="1412"/>
      <c r="AA802" s="1412"/>
      <c r="AB802" s="1413"/>
      <c r="AC802" s="1414">
        <f t="shared" si="66"/>
        <v>0</v>
      </c>
      <c r="AD802" s="1410"/>
      <c r="AE802" s="1410"/>
      <c r="AF802" s="1410"/>
      <c r="AG802" s="141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4">
        <f t="shared" si="67"/>
        <v>0</v>
      </c>
      <c r="CQ802" s="1545"/>
      <c r="CR802" s="1545"/>
      <c r="CS802" s="1545"/>
      <c r="CT802" s="1546"/>
      <c r="CU802" s="1544">
        <f t="shared" si="68"/>
        <v>0</v>
      </c>
      <c r="CV802" s="1545"/>
      <c r="CW802" s="1545"/>
      <c r="CX802" s="1545"/>
      <c r="CY802" s="1546"/>
      <c r="CZ802" s="1544">
        <f t="shared" si="69"/>
        <v>0</v>
      </c>
      <c r="DA802" s="1545"/>
      <c r="DB802" s="1545"/>
      <c r="DC802" s="1545"/>
      <c r="DD802" s="1546"/>
      <c r="DE802" s="1544">
        <f t="shared" si="70"/>
        <v>0</v>
      </c>
      <c r="DF802" s="1545"/>
      <c r="DG802" s="1545"/>
      <c r="DH802" s="1545"/>
      <c r="DI802" s="1546"/>
      <c r="DJ802" s="1544">
        <f t="shared" si="71"/>
        <v>0</v>
      </c>
      <c r="DK802" s="1545"/>
      <c r="DL802" s="1545"/>
      <c r="DM802" s="1545"/>
      <c r="DN802" s="1546"/>
      <c r="DO802" s="1544">
        <f t="shared" si="72"/>
        <v>0</v>
      </c>
      <c r="DP802" s="1545"/>
      <c r="DQ802" s="1545"/>
      <c r="DR802" s="1545"/>
      <c r="DS802" s="1546"/>
      <c r="DT802" s="6"/>
      <c r="DU802" s="1544">
        <f t="shared" si="73"/>
        <v>0</v>
      </c>
      <c r="DV802" s="1545"/>
      <c r="DW802" s="1545"/>
      <c r="DX802" s="1545"/>
      <c r="DY802" s="1546"/>
      <c r="DZ802" s="1544">
        <f t="shared" si="74"/>
        <v>0</v>
      </c>
      <c r="EA802" s="1545"/>
      <c r="EB802" s="1545"/>
      <c r="EC802" s="1545"/>
      <c r="ED802" s="1546"/>
      <c r="EE802" s="1544">
        <f t="shared" si="75"/>
        <v>0</v>
      </c>
      <c r="EF802" s="1545"/>
      <c r="EG802" s="1545"/>
      <c r="EH802" s="1545"/>
      <c r="EI802" s="1546"/>
      <c r="EJ802" s="1544">
        <f t="shared" si="76"/>
        <v>0</v>
      </c>
      <c r="EK802" s="1545"/>
      <c r="EL802" s="1545"/>
      <c r="EM802" s="1545"/>
      <c r="EN802" s="1546"/>
      <c r="EO802" s="1544">
        <f t="shared" si="77"/>
        <v>0</v>
      </c>
      <c r="EP802" s="1545"/>
      <c r="EQ802" s="1545"/>
      <c r="ER802" s="1545"/>
      <c r="ES802" s="1546"/>
      <c r="ET802" s="1544">
        <f t="shared" si="78"/>
        <v>0</v>
      </c>
      <c r="EU802" s="1545"/>
      <c r="EV802" s="1545"/>
      <c r="EW802" s="1545"/>
      <c r="EX802" s="1546"/>
    </row>
    <row r="803" spans="1:154" s="14" customFormat="1" ht="12.9" customHeight="1">
      <c r="A803"/>
      <c r="B803"/>
      <c r="C803"/>
      <c r="D803"/>
      <c r="E803"/>
      <c r="F803"/>
      <c r="G803"/>
      <c r="H803"/>
      <c r="I803"/>
      <c r="J803" s="1365"/>
      <c r="K803" s="1366"/>
      <c r="L803" s="1366"/>
      <c r="M803" s="1366"/>
      <c r="N803" s="1367"/>
      <c r="O803" s="1570"/>
      <c r="P803" s="1570"/>
      <c r="Q803" s="1570"/>
      <c r="R803" s="1570"/>
      <c r="S803" s="1570"/>
      <c r="T803" s="1362"/>
      <c r="U803" s="1363"/>
      <c r="V803" s="1363"/>
      <c r="W803" s="1364"/>
      <c r="X803" s="1411"/>
      <c r="Y803" s="1412"/>
      <c r="Z803" s="1412"/>
      <c r="AA803" s="1412"/>
      <c r="AB803" s="1413"/>
      <c r="AC803" s="1414">
        <f t="shared" si="66"/>
        <v>0</v>
      </c>
      <c r="AD803" s="1410"/>
      <c r="AE803" s="1410"/>
      <c r="AF803" s="1410"/>
      <c r="AG803" s="141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4">
        <f t="shared" si="67"/>
        <v>0</v>
      </c>
      <c r="CQ803" s="1545"/>
      <c r="CR803" s="1545"/>
      <c r="CS803" s="1545"/>
      <c r="CT803" s="1546"/>
      <c r="CU803" s="1544">
        <f t="shared" si="68"/>
        <v>0</v>
      </c>
      <c r="CV803" s="1545"/>
      <c r="CW803" s="1545"/>
      <c r="CX803" s="1545"/>
      <c r="CY803" s="1546"/>
      <c r="CZ803" s="1544">
        <f t="shared" si="69"/>
        <v>0</v>
      </c>
      <c r="DA803" s="1545"/>
      <c r="DB803" s="1545"/>
      <c r="DC803" s="1545"/>
      <c r="DD803" s="1546"/>
      <c r="DE803" s="1544">
        <f t="shared" si="70"/>
        <v>0</v>
      </c>
      <c r="DF803" s="1545"/>
      <c r="DG803" s="1545"/>
      <c r="DH803" s="1545"/>
      <c r="DI803" s="1546"/>
      <c r="DJ803" s="1544">
        <f t="shared" si="71"/>
        <v>0</v>
      </c>
      <c r="DK803" s="1545"/>
      <c r="DL803" s="1545"/>
      <c r="DM803" s="1545"/>
      <c r="DN803" s="1546"/>
      <c r="DO803" s="1544">
        <f t="shared" si="72"/>
        <v>0</v>
      </c>
      <c r="DP803" s="1545"/>
      <c r="DQ803" s="1545"/>
      <c r="DR803" s="1545"/>
      <c r="DS803" s="1546"/>
      <c r="DT803" s="6"/>
      <c r="DU803" s="1544">
        <f t="shared" si="73"/>
        <v>0</v>
      </c>
      <c r="DV803" s="1545"/>
      <c r="DW803" s="1545"/>
      <c r="DX803" s="1545"/>
      <c r="DY803" s="1546"/>
      <c r="DZ803" s="1544">
        <f t="shared" si="74"/>
        <v>0</v>
      </c>
      <c r="EA803" s="1545"/>
      <c r="EB803" s="1545"/>
      <c r="EC803" s="1545"/>
      <c r="ED803" s="1546"/>
      <c r="EE803" s="1544">
        <f t="shared" si="75"/>
        <v>0</v>
      </c>
      <c r="EF803" s="1545"/>
      <c r="EG803" s="1545"/>
      <c r="EH803" s="1545"/>
      <c r="EI803" s="1546"/>
      <c r="EJ803" s="1544">
        <f t="shared" si="76"/>
        <v>0</v>
      </c>
      <c r="EK803" s="1545"/>
      <c r="EL803" s="1545"/>
      <c r="EM803" s="1545"/>
      <c r="EN803" s="1546"/>
      <c r="EO803" s="1544">
        <f t="shared" si="77"/>
        <v>0</v>
      </c>
      <c r="EP803" s="1545"/>
      <c r="EQ803" s="1545"/>
      <c r="ER803" s="1545"/>
      <c r="ES803" s="1546"/>
      <c r="ET803" s="1544">
        <f t="shared" si="78"/>
        <v>0</v>
      </c>
      <c r="EU803" s="1545"/>
      <c r="EV803" s="1545"/>
      <c r="EW803" s="1545"/>
      <c r="EX803" s="1546"/>
    </row>
    <row r="804" spans="1:154" s="4" customFormat="1" ht="12.9" customHeight="1">
      <c r="A804"/>
      <c r="B804"/>
      <c r="C804"/>
      <c r="D804"/>
      <c r="E804"/>
      <c r="F804"/>
      <c r="G804"/>
      <c r="H804"/>
      <c r="I804"/>
      <c r="J804" s="1365"/>
      <c r="K804" s="1366"/>
      <c r="L804" s="1366"/>
      <c r="M804" s="1366"/>
      <c r="N804" s="1367"/>
      <c r="O804" s="1570"/>
      <c r="P804" s="1570"/>
      <c r="Q804" s="1570"/>
      <c r="R804" s="1570"/>
      <c r="S804" s="1570"/>
      <c r="T804" s="1362"/>
      <c r="U804" s="1363"/>
      <c r="V804" s="1363"/>
      <c r="W804" s="1364"/>
      <c r="X804" s="1411"/>
      <c r="Y804" s="1412"/>
      <c r="Z804" s="1412"/>
      <c r="AA804" s="1412"/>
      <c r="AB804" s="1413"/>
      <c r="AC804" s="1414">
        <f t="shared" si="66"/>
        <v>0</v>
      </c>
      <c r="AD804" s="1410"/>
      <c r="AE804" s="1410"/>
      <c r="AF804" s="1410"/>
      <c r="AG804" s="1415"/>
      <c r="AH804"/>
      <c r="AI804"/>
      <c r="AJ804"/>
      <c r="AK804"/>
      <c r="AL804"/>
      <c r="AM804"/>
      <c r="AN804"/>
      <c r="AO804"/>
      <c r="AP804"/>
      <c r="AQ804"/>
      <c r="AR804"/>
      <c r="AS804"/>
      <c r="AT804"/>
      <c r="AU804"/>
      <c r="AV804"/>
      <c r="AW804"/>
      <c r="AX804"/>
      <c r="AY804"/>
      <c r="AZ804" s="3"/>
      <c r="CP804" s="1544">
        <f t="shared" si="67"/>
        <v>0</v>
      </c>
      <c r="CQ804" s="1545"/>
      <c r="CR804" s="1545"/>
      <c r="CS804" s="1545"/>
      <c r="CT804" s="1546"/>
      <c r="CU804" s="1544">
        <f t="shared" si="68"/>
        <v>0</v>
      </c>
      <c r="CV804" s="1545"/>
      <c r="CW804" s="1545"/>
      <c r="CX804" s="1545"/>
      <c r="CY804" s="1546"/>
      <c r="CZ804" s="1544">
        <f t="shared" si="69"/>
        <v>0</v>
      </c>
      <c r="DA804" s="1545"/>
      <c r="DB804" s="1545"/>
      <c r="DC804" s="1545"/>
      <c r="DD804" s="1546"/>
      <c r="DE804" s="1544">
        <f t="shared" si="70"/>
        <v>0</v>
      </c>
      <c r="DF804" s="1545"/>
      <c r="DG804" s="1545"/>
      <c r="DH804" s="1545"/>
      <c r="DI804" s="1546"/>
      <c r="DJ804" s="1544">
        <f t="shared" si="71"/>
        <v>0</v>
      </c>
      <c r="DK804" s="1545"/>
      <c r="DL804" s="1545"/>
      <c r="DM804" s="1545"/>
      <c r="DN804" s="1546"/>
      <c r="DO804" s="1544">
        <f t="shared" si="72"/>
        <v>0</v>
      </c>
      <c r="DP804" s="1545"/>
      <c r="DQ804" s="1545"/>
      <c r="DR804" s="1545"/>
      <c r="DS804" s="1546"/>
      <c r="DT804" s="6"/>
      <c r="DU804" s="1544">
        <f t="shared" si="73"/>
        <v>0</v>
      </c>
      <c r="DV804" s="1545"/>
      <c r="DW804" s="1545"/>
      <c r="DX804" s="1545"/>
      <c r="DY804" s="1546"/>
      <c r="DZ804" s="1544">
        <f t="shared" si="74"/>
        <v>0</v>
      </c>
      <c r="EA804" s="1545"/>
      <c r="EB804" s="1545"/>
      <c r="EC804" s="1545"/>
      <c r="ED804" s="1546"/>
      <c r="EE804" s="1544">
        <f t="shared" si="75"/>
        <v>0</v>
      </c>
      <c r="EF804" s="1545"/>
      <c r="EG804" s="1545"/>
      <c r="EH804" s="1545"/>
      <c r="EI804" s="1546"/>
      <c r="EJ804" s="1544">
        <f t="shared" si="76"/>
        <v>0</v>
      </c>
      <c r="EK804" s="1545"/>
      <c r="EL804" s="1545"/>
      <c r="EM804" s="1545"/>
      <c r="EN804" s="1546"/>
      <c r="EO804" s="1544">
        <f t="shared" si="77"/>
        <v>0</v>
      </c>
      <c r="EP804" s="1545"/>
      <c r="EQ804" s="1545"/>
      <c r="ER804" s="1545"/>
      <c r="ES804" s="1546"/>
      <c r="ET804" s="1544">
        <f t="shared" si="78"/>
        <v>0</v>
      </c>
      <c r="EU804" s="1545"/>
      <c r="EV804" s="1545"/>
      <c r="EW804" s="1545"/>
      <c r="EX804" s="1546"/>
    </row>
    <row r="805" spans="1:154" s="4" customFormat="1" ht="12.9" customHeight="1">
      <c r="A805"/>
      <c r="B805"/>
      <c r="C805"/>
      <c r="D805"/>
      <c r="E805"/>
      <c r="F805"/>
      <c r="G805"/>
      <c r="H805"/>
      <c r="I805"/>
      <c r="J805" s="1682" t="s">
        <v>125</v>
      </c>
      <c r="K805" s="1683"/>
      <c r="L805" s="1683"/>
      <c r="M805" s="1683"/>
      <c r="N805" s="1684"/>
      <c r="O805" s="1699">
        <f>SUM(O795:S804)</f>
        <v>0</v>
      </c>
      <c r="P805" s="1699"/>
      <c r="Q805" s="1699"/>
      <c r="R805" s="1699"/>
      <c r="S805" s="1699"/>
      <c r="T805"/>
      <c r="U805"/>
      <c r="V805"/>
      <c r="W805"/>
      <c r="X805" s="898" t="s">
        <v>124</v>
      </c>
      <c r="Y805" s="11"/>
      <c r="Z805" s="11"/>
      <c r="AA805" s="11"/>
      <c r="AB805" s="905"/>
      <c r="AC805" s="1414">
        <f>SUM(AC795:AG804)</f>
        <v>0</v>
      </c>
      <c r="AD805" s="1410"/>
      <c r="AE805" s="1410"/>
      <c r="AF805" s="1410"/>
      <c r="AG805" s="1415"/>
      <c r="AH805"/>
      <c r="AI805"/>
      <c r="AJ805"/>
      <c r="AK805"/>
      <c r="AL805"/>
      <c r="AM805"/>
      <c r="AN805"/>
      <c r="AO805"/>
      <c r="AP805"/>
      <c r="AQ805"/>
      <c r="AR805"/>
      <c r="AS805"/>
      <c r="AT805"/>
      <c r="AU805"/>
      <c r="AV805"/>
      <c r="AW805"/>
      <c r="AX805"/>
      <c r="AY805"/>
      <c r="AZ805" s="3"/>
      <c r="BA805"/>
      <c r="CP805" s="1554">
        <f>SUM(CP795:CT804)</f>
        <v>0</v>
      </c>
      <c r="CQ805" s="1742"/>
      <c r="CR805" s="1742"/>
      <c r="CS805" s="1742"/>
      <c r="CT805" s="1555"/>
      <c r="CU805" s="1547">
        <f>SUM(CU795:CY804)</f>
        <v>0</v>
      </c>
      <c r="CV805" s="1548"/>
      <c r="CW805" s="1548"/>
      <c r="CX805" s="1548"/>
      <c r="CY805" s="1549"/>
      <c r="CZ805" s="1547">
        <f>SUM(CZ795:DD804)</f>
        <v>0</v>
      </c>
      <c r="DA805" s="1548"/>
      <c r="DB805" s="1548"/>
      <c r="DC805" s="1548"/>
      <c r="DD805" s="1549"/>
      <c r="DE805" s="1547">
        <f>SUM(DE795:DI804)</f>
        <v>0</v>
      </c>
      <c r="DF805" s="1548"/>
      <c r="DG805" s="1548"/>
      <c r="DH805" s="1548"/>
      <c r="DI805" s="1549"/>
      <c r="DJ805" s="1547">
        <f>SUM(DJ795:DN804)</f>
        <v>0</v>
      </c>
      <c r="DK805" s="1548"/>
      <c r="DL805" s="1548"/>
      <c r="DM805" s="1548"/>
      <c r="DN805" s="1549"/>
      <c r="DO805" s="1547">
        <f>SUM(DO795:DS804)</f>
        <v>0</v>
      </c>
      <c r="DP805" s="1548"/>
      <c r="DQ805" s="1548"/>
      <c r="DR805" s="1548"/>
      <c r="DS805" s="1549"/>
      <c r="DT805" s="1007"/>
      <c r="DU805" s="1554">
        <f>SUM(DU795:DY804)</f>
        <v>0</v>
      </c>
      <c r="DV805" s="1742"/>
      <c r="DW805" s="1742"/>
      <c r="DX805" s="1742"/>
      <c r="DY805" s="1555"/>
      <c r="DZ805" s="1554">
        <f>SUM(DZ795:ED804)</f>
        <v>0</v>
      </c>
      <c r="EA805" s="1742"/>
      <c r="EB805" s="1742"/>
      <c r="EC805" s="1742"/>
      <c r="ED805" s="1555"/>
      <c r="EE805" s="1554">
        <f>SUM(EE795:EI804)</f>
        <v>0</v>
      </c>
      <c r="EF805" s="1742"/>
      <c r="EG805" s="1742"/>
      <c r="EH805" s="1742"/>
      <c r="EI805" s="1555"/>
      <c r="EJ805" s="1554">
        <f>SUM(EJ795:EN804)</f>
        <v>0</v>
      </c>
      <c r="EK805" s="1742"/>
      <c r="EL805" s="1742"/>
      <c r="EM805" s="1742"/>
      <c r="EN805" s="1555"/>
      <c r="EO805" s="1554">
        <f>SUM(EO795:ES804)</f>
        <v>0</v>
      </c>
      <c r="EP805" s="1742"/>
      <c r="EQ805" s="1742"/>
      <c r="ER805" s="1742"/>
      <c r="ES805" s="1555"/>
      <c r="ET805" s="1554">
        <f>SUM(ET795:EX804)</f>
        <v>0</v>
      </c>
      <c r="EU805" s="1742"/>
      <c r="EV805" s="1742"/>
      <c r="EW805" s="1742"/>
      <c r="EX805" s="1555"/>
    </row>
    <row r="806" spans="1:154" s="4" customFormat="1" ht="12.9" customHeight="1">
      <c r="A806"/>
      <c r="B806"/>
      <c r="C806" s="1761" t="str">
        <f>IF(O805&lt;&gt;AG447,"! Total market rate units in the Unit Mix Table above does not match the number of  market rate units on row #"&amp;TEXT(ROW(D447),"#"),"")</f>
        <v/>
      </c>
      <c r="D806" s="1761"/>
      <c r="E806" s="1761"/>
      <c r="F806" s="1761"/>
      <c r="G806" s="1761"/>
      <c r="H806" s="1761"/>
      <c r="I806" s="1761"/>
      <c r="J806" s="1761"/>
      <c r="K806" s="1761"/>
      <c r="L806" s="1761"/>
      <c r="M806" s="1761"/>
      <c r="N806" s="1761"/>
      <c r="O806" s="1761"/>
      <c r="P806" s="1761"/>
      <c r="Q806" s="1761"/>
      <c r="R806" s="1761"/>
      <c r="S806" s="1761"/>
      <c r="T806" s="1761"/>
      <c r="U806" s="1761"/>
      <c r="V806" s="1761"/>
      <c r="W806" s="1761"/>
      <c r="X806" s="1761"/>
      <c r="Y806" s="1761"/>
      <c r="Z806" s="1761"/>
      <c r="AA806" s="1761"/>
      <c r="AB806" s="1761"/>
      <c r="AC806" s="1761"/>
      <c r="AD806" s="1761"/>
      <c r="AE806" s="1761"/>
      <c r="AF806" s="1761"/>
      <c r="AG806" s="1761"/>
      <c r="AH806" s="1761"/>
      <c r="AI806" s="1761"/>
      <c r="AJ806" s="1761"/>
      <c r="AK806" s="1761"/>
      <c r="AL806" s="1761"/>
      <c r="AM806" s="1761"/>
      <c r="AN806" s="176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761"/>
      <c r="D807" s="1761"/>
      <c r="E807" s="1761"/>
      <c r="F807" s="1761"/>
      <c r="G807" s="1761"/>
      <c r="H807" s="1761"/>
      <c r="I807" s="1761"/>
      <c r="J807" s="1761"/>
      <c r="K807" s="1761"/>
      <c r="L807" s="1761"/>
      <c r="M807" s="1761"/>
      <c r="N807" s="1761"/>
      <c r="O807" s="1761"/>
      <c r="P807" s="1761"/>
      <c r="Q807" s="1761"/>
      <c r="R807" s="1761"/>
      <c r="S807" s="1761"/>
      <c r="T807" s="1761"/>
      <c r="U807" s="1761"/>
      <c r="V807" s="1761"/>
      <c r="W807" s="1761"/>
      <c r="X807" s="1761"/>
      <c r="Y807" s="1761"/>
      <c r="Z807" s="1761"/>
      <c r="AA807" s="1761"/>
      <c r="AB807" s="1761"/>
      <c r="AC807" s="1761"/>
      <c r="AD807" s="1761"/>
      <c r="AE807" s="1761"/>
      <c r="AF807" s="1761"/>
      <c r="AG807" s="1761"/>
      <c r="AH807" s="1761"/>
      <c r="AI807" s="1761"/>
      <c r="AJ807" s="1761"/>
      <c r="AK807" s="1761"/>
      <c r="AL807" s="1761"/>
      <c r="AM807" s="1761"/>
      <c r="AN807" s="176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0">
        <f>SUM(DU805:EX805)</f>
        <v>0</v>
      </c>
      <c r="EU807" s="1861"/>
      <c r="EV807" s="1861"/>
      <c r="EW807" s="1861"/>
      <c r="EX807" s="1862"/>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681">
        <f>O761+AC785+AC805</f>
        <v>153344</v>
      </c>
      <c r="Z808" s="1681"/>
      <c r="AA808" s="1681"/>
      <c r="AB808" s="1681"/>
      <c r="AC808" s="1681"/>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1">
        <f>(O761+AC785+AC805)*12</f>
        <v>1840128</v>
      </c>
      <c r="Z809" s="1681"/>
      <c r="AA809" s="1681"/>
      <c r="AB809" s="1681"/>
      <c r="AC809" s="1681"/>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7">
        <f>CP761+CP785+CP805</f>
        <v>0</v>
      </c>
      <c r="CQ810" s="1548"/>
      <c r="CR810" s="1548"/>
      <c r="CS810" s="1548"/>
      <c r="CT810" s="1549"/>
      <c r="CU810" s="1547">
        <f>CU761+CU785+CU805</f>
        <v>21</v>
      </c>
      <c r="CV810" s="1548"/>
      <c r="CW810" s="1548"/>
      <c r="CX810" s="1548"/>
      <c r="CY810" s="1549"/>
      <c r="CZ810" s="1547">
        <f>CZ761+CZ785+CZ805</f>
        <v>21</v>
      </c>
      <c r="DA810" s="1548"/>
      <c r="DB810" s="1548"/>
      <c r="DC810" s="1548"/>
      <c r="DD810" s="1549"/>
      <c r="DE810" s="1547">
        <f>DE761+DE785+DE805</f>
        <v>21</v>
      </c>
      <c r="DF810" s="1548"/>
      <c r="DG810" s="1548"/>
      <c r="DH810" s="1548"/>
      <c r="DI810" s="1549"/>
      <c r="DJ810" s="1547">
        <f>DJ761+DJ785+DJ805</f>
        <v>0</v>
      </c>
      <c r="DK810" s="1548"/>
      <c r="DL810" s="1548"/>
      <c r="DM810" s="1548"/>
      <c r="DN810" s="1549"/>
      <c r="DO810" s="1551">
        <f>DO805+DO785+DO761</f>
        <v>0</v>
      </c>
      <c r="DP810" s="1552"/>
      <c r="DQ810" s="1552"/>
      <c r="DR810" s="1552"/>
      <c r="DS810" s="1553"/>
      <c r="DT810" s="3"/>
      <c r="DU810" s="857">
        <f>DU763+DU808</f>
        <v>123</v>
      </c>
      <c r="DV810" s="57" t="s">
        <v>1838</v>
      </c>
    </row>
    <row r="811" spans="1:154" s="4" customFormat="1" ht="12.9"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0"/>
      <c r="AA814" s="1651"/>
      <c r="AB814" s="1651"/>
      <c r="AC814" s="1651"/>
      <c r="AD814" s="1651"/>
      <c r="AE814" s="165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87"/>
      <c r="AA815" s="1651"/>
      <c r="AB815" s="1651"/>
      <c r="AC815" s="1651"/>
      <c r="AD815" s="1651"/>
      <c r="AE815" s="165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4"/>
      <c r="AA816" s="1657"/>
      <c r="AB816" s="1657"/>
      <c r="AC816" s="1657"/>
      <c r="AD816" s="1657"/>
      <c r="AE816" s="165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0">
        <f>'Subsidy Contract Calculation'!J40</f>
        <v>0</v>
      </c>
      <c r="AA817" s="1451"/>
      <c r="AB817" s="1451"/>
      <c r="AC817" s="1451"/>
      <c r="AD817" s="1451"/>
      <c r="AE817" s="145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9">
        <v>9072</v>
      </c>
      <c r="AA821" s="1460"/>
      <c r="AB821" s="1460"/>
      <c r="AC821" s="1460"/>
      <c r="AD821" s="1460"/>
      <c r="AE821" s="146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9"/>
      <c r="AA822" s="1460"/>
      <c r="AB822" s="1460"/>
      <c r="AC822" s="1460"/>
      <c r="AD822" s="1460"/>
      <c r="AE822" s="146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9"/>
      <c r="AA823" s="1460"/>
      <c r="AB823" s="1460"/>
      <c r="AC823" s="1460"/>
      <c r="AD823" s="1460"/>
      <c r="AE823" s="146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453" t="s">
        <v>2776</v>
      </c>
      <c r="Q824" s="1454"/>
      <c r="R824" s="1454"/>
      <c r="S824" s="1454"/>
      <c r="T824" s="1454"/>
      <c r="U824" s="1454"/>
      <c r="V824" s="1454"/>
      <c r="W824" s="1454"/>
      <c r="X824" s="1454"/>
      <c r="Y824" s="1455"/>
      <c r="Z824" s="1459">
        <v>3024</v>
      </c>
      <c r="AA824" s="1460"/>
      <c r="AB824" s="1460"/>
      <c r="AC824" s="1460"/>
      <c r="AD824" s="1460"/>
      <c r="AE824" s="146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0">
        <f>SUM(Z821:AE824)</f>
        <v>12096</v>
      </c>
      <c r="AA825" s="1451"/>
      <c r="AB825" s="1451"/>
      <c r="AC825" s="1451"/>
      <c r="AD825" s="1451"/>
      <c r="AE825" s="145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50">
        <f>Z825+Y809+Z817</f>
        <v>1852224</v>
      </c>
      <c r="AA826" s="1451"/>
      <c r="AB826" s="1451"/>
      <c r="AC826" s="1451"/>
      <c r="AD826" s="1451"/>
      <c r="AE826" s="145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13" t="s">
        <v>126</v>
      </c>
      <c r="N831" s="1613"/>
      <c r="O831" s="1613"/>
      <c r="P831" s="1668"/>
      <c r="Q831" s="1698" t="s">
        <v>290</v>
      </c>
      <c r="R831" s="1698"/>
      <c r="S831" s="1698"/>
      <c r="T831" s="1698"/>
      <c r="U831" s="1698" t="s">
        <v>291</v>
      </c>
      <c r="V831" s="1698"/>
      <c r="W831" s="1698"/>
      <c r="X831" s="1698"/>
      <c r="Y831" s="1698" t="s">
        <v>292</v>
      </c>
      <c r="Z831" s="1698"/>
      <c r="AA831" s="1698"/>
      <c r="AB831" s="1698"/>
      <c r="AC831" s="1698" t="s">
        <v>361</v>
      </c>
      <c r="AD831" s="1698"/>
      <c r="AE831" s="1698"/>
      <c r="AF831" s="1698"/>
      <c r="AG831" s="1743" t="s">
        <v>335</v>
      </c>
      <c r="AH831" s="1743"/>
      <c r="AI831" s="1743"/>
      <c r="AJ831" s="1743"/>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17"/>
      <c r="N832" s="1617"/>
      <c r="O832" s="1617"/>
      <c r="P832" s="1649"/>
      <c r="Q832" s="1698"/>
      <c r="R832" s="1698"/>
      <c r="S832" s="1698"/>
      <c r="T832" s="1698"/>
      <c r="U832" s="1698"/>
      <c r="V832" s="1698"/>
      <c r="W832" s="1698"/>
      <c r="X832" s="1698"/>
      <c r="Y832" s="1698"/>
      <c r="Z832" s="1698"/>
      <c r="AA832" s="1698"/>
      <c r="AB832" s="1698"/>
      <c r="AC832" s="1698"/>
      <c r="AD832" s="1698"/>
      <c r="AE832" s="1698"/>
      <c r="AF832" s="1698"/>
      <c r="AG832" s="1743"/>
      <c r="AH832" s="1743"/>
      <c r="AI832" s="1743"/>
      <c r="AJ832" s="1743"/>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35" t="s">
        <v>40</v>
      </c>
      <c r="D833" s="1471"/>
      <c r="E833" s="1471"/>
      <c r="F833" s="1471"/>
      <c r="G833" s="1471"/>
      <c r="H833" s="1471"/>
      <c r="I833" s="48"/>
      <c r="J833" s="48"/>
      <c r="K833" s="48"/>
      <c r="L833" s="49"/>
      <c r="M833" s="1567"/>
      <c r="N833" s="1567"/>
      <c r="O833" s="1567"/>
      <c r="P833" s="1567"/>
      <c r="Q833" s="1567">
        <v>31</v>
      </c>
      <c r="R833" s="1567"/>
      <c r="S833" s="1567"/>
      <c r="T833" s="1567"/>
      <c r="U833" s="1567">
        <v>39</v>
      </c>
      <c r="V833" s="1567"/>
      <c r="W833" s="1567"/>
      <c r="X833" s="1567"/>
      <c r="Y833" s="1567">
        <v>48</v>
      </c>
      <c r="Z833" s="1567"/>
      <c r="AA833" s="1567"/>
      <c r="AB833" s="1567"/>
      <c r="AC833" s="1529"/>
      <c r="AD833" s="1530"/>
      <c r="AE833" s="1530"/>
      <c r="AF833" s="1531"/>
      <c r="AG833" s="1529"/>
      <c r="AH833" s="1530"/>
      <c r="AI833" s="1530"/>
      <c r="AJ833" s="1531"/>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685" t="s">
        <v>41</v>
      </c>
      <c r="D834" s="1686"/>
      <c r="E834" s="1686"/>
      <c r="F834" s="1686"/>
      <c r="G834" s="1686"/>
      <c r="H834" s="1686"/>
      <c r="I834" s="5"/>
      <c r="J834" s="5"/>
      <c r="K834" s="5"/>
      <c r="L834" s="46"/>
      <c r="M834" s="1567"/>
      <c r="N834" s="1567"/>
      <c r="O834" s="1567"/>
      <c r="P834" s="1567"/>
      <c r="Q834" s="1567"/>
      <c r="R834" s="1567"/>
      <c r="S834" s="1567"/>
      <c r="T834" s="1567"/>
      <c r="U834" s="1567"/>
      <c r="V834" s="1567"/>
      <c r="W834" s="1567"/>
      <c r="X834" s="1567"/>
      <c r="Y834" s="1567"/>
      <c r="Z834" s="1567"/>
      <c r="AA834" s="1567"/>
      <c r="AB834" s="1567"/>
      <c r="AC834" s="1529"/>
      <c r="AD834" s="1530"/>
      <c r="AE834" s="1530"/>
      <c r="AF834" s="1531"/>
      <c r="AG834" s="1529"/>
      <c r="AH834" s="1530"/>
      <c r="AI834" s="1530"/>
      <c r="AJ834" s="1531"/>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685" t="s">
        <v>42</v>
      </c>
      <c r="D835" s="1686"/>
      <c r="E835" s="1686"/>
      <c r="F835" s="1686"/>
      <c r="G835" s="1686"/>
      <c r="H835" s="1686"/>
      <c r="I835" s="60"/>
      <c r="J835" s="60"/>
      <c r="K835" s="60"/>
      <c r="L835" s="61"/>
      <c r="M835" s="1567"/>
      <c r="N835" s="1567"/>
      <c r="O835" s="1567"/>
      <c r="P835" s="1567"/>
      <c r="Q835" s="1567">
        <v>13</v>
      </c>
      <c r="R835" s="1567"/>
      <c r="S835" s="1567"/>
      <c r="T835" s="1567"/>
      <c r="U835" s="1567">
        <v>18</v>
      </c>
      <c r="V835" s="1567"/>
      <c r="W835" s="1567"/>
      <c r="X835" s="1567"/>
      <c r="Y835" s="1567">
        <v>24</v>
      </c>
      <c r="Z835" s="1567"/>
      <c r="AA835" s="1567"/>
      <c r="AB835" s="1567"/>
      <c r="AC835" s="1529"/>
      <c r="AD835" s="1530"/>
      <c r="AE835" s="1530"/>
      <c r="AF835" s="1531"/>
      <c r="AG835" s="1529"/>
      <c r="AH835" s="1530"/>
      <c r="AI835" s="1530"/>
      <c r="AJ835" s="1531"/>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685" t="s">
        <v>762</v>
      </c>
      <c r="D836" s="1686"/>
      <c r="E836" s="1686"/>
      <c r="F836" s="1686"/>
      <c r="G836" s="1686"/>
      <c r="H836" s="1686"/>
      <c r="I836" s="60"/>
      <c r="J836" s="60"/>
      <c r="K836" s="60"/>
      <c r="L836" s="61"/>
      <c r="M836" s="1567"/>
      <c r="N836" s="1567"/>
      <c r="O836" s="1567"/>
      <c r="P836" s="1567"/>
      <c r="Q836" s="1567"/>
      <c r="R836" s="1567"/>
      <c r="S836" s="1567"/>
      <c r="T836" s="1567"/>
      <c r="U836" s="1567"/>
      <c r="V836" s="1567"/>
      <c r="W836" s="1567"/>
      <c r="X836" s="1567"/>
      <c r="Y836" s="1567"/>
      <c r="Z836" s="1567"/>
      <c r="AA836" s="1567"/>
      <c r="AB836" s="1567"/>
      <c r="AC836" s="1529"/>
      <c r="AD836" s="1530"/>
      <c r="AE836" s="1530"/>
      <c r="AF836" s="1531"/>
      <c r="AG836" s="1529"/>
      <c r="AH836" s="1530"/>
      <c r="AI836" s="1530"/>
      <c r="AJ836" s="1531"/>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685" t="s">
        <v>459</v>
      </c>
      <c r="D837" s="1686"/>
      <c r="E837" s="1686"/>
      <c r="F837" s="1686"/>
      <c r="G837" s="1686"/>
      <c r="H837" s="1686"/>
      <c r="I837" s="60"/>
      <c r="J837" s="60"/>
      <c r="K837" s="60"/>
      <c r="L837" s="61"/>
      <c r="M837" s="1567"/>
      <c r="N837" s="1567"/>
      <c r="O837" s="1567"/>
      <c r="P837" s="1567"/>
      <c r="Q837" s="1567">
        <v>42</v>
      </c>
      <c r="R837" s="1567"/>
      <c r="S837" s="1567"/>
      <c r="T837" s="1567"/>
      <c r="U837" s="1567">
        <v>62</v>
      </c>
      <c r="V837" s="1567"/>
      <c r="W837" s="1567"/>
      <c r="X837" s="1567"/>
      <c r="Y837" s="1567">
        <v>85</v>
      </c>
      <c r="Z837" s="1567"/>
      <c r="AA837" s="1567"/>
      <c r="AB837" s="1567"/>
      <c r="AC837" s="1529"/>
      <c r="AD837" s="1530"/>
      <c r="AE837" s="1530"/>
      <c r="AF837" s="1531"/>
      <c r="AG837" s="1529"/>
      <c r="AH837" s="1530"/>
      <c r="AI837" s="1530"/>
      <c r="AJ837" s="1531"/>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757" t="s">
        <v>783</v>
      </c>
      <c r="D838" s="1686"/>
      <c r="E838" s="1686"/>
      <c r="F838" s="1686"/>
      <c r="G838" s="1686"/>
      <c r="H838" s="1686"/>
      <c r="I838" s="60"/>
      <c r="J838" s="60"/>
      <c r="K838" s="60"/>
      <c r="L838" s="61"/>
      <c r="M838" s="1567"/>
      <c r="N838" s="1567"/>
      <c r="O838" s="1567"/>
      <c r="P838" s="1567"/>
      <c r="Q838" s="1567"/>
      <c r="R838" s="1567"/>
      <c r="S838" s="1567"/>
      <c r="T838" s="1567"/>
      <c r="U838" s="1567"/>
      <c r="V838" s="1567"/>
      <c r="W838" s="1567"/>
      <c r="X838" s="1567"/>
      <c r="Y838" s="1567"/>
      <c r="Z838" s="1567"/>
      <c r="AA838" s="1567"/>
      <c r="AB838" s="1567"/>
      <c r="AC838" s="1529"/>
      <c r="AD838" s="1530"/>
      <c r="AE838" s="1530"/>
      <c r="AF838" s="1531"/>
      <c r="AG838" s="1529"/>
      <c r="AH838" s="1530"/>
      <c r="AI838" s="1530"/>
      <c r="AJ838" s="1531"/>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293</v>
      </c>
      <c r="D839" s="60"/>
      <c r="E839" s="60"/>
      <c r="F839" s="1453" t="s">
        <v>334</v>
      </c>
      <c r="G839" s="1454"/>
      <c r="H839" s="1454"/>
      <c r="I839" s="1454"/>
      <c r="J839" s="1454"/>
      <c r="K839" s="1454"/>
      <c r="L839" s="1454"/>
      <c r="M839" s="1567"/>
      <c r="N839" s="1567"/>
      <c r="O839" s="1567"/>
      <c r="P839" s="1567"/>
      <c r="Q839" s="1567"/>
      <c r="R839" s="1567"/>
      <c r="S839" s="1567"/>
      <c r="T839" s="1567"/>
      <c r="U839" s="1567"/>
      <c r="V839" s="1567"/>
      <c r="W839" s="1567"/>
      <c r="X839" s="1567"/>
      <c r="Y839" s="1567"/>
      <c r="Z839" s="1567"/>
      <c r="AA839" s="1567"/>
      <c r="AB839" s="1567"/>
      <c r="AC839" s="1529"/>
      <c r="AD839" s="1530"/>
      <c r="AE839" s="1530"/>
      <c r="AF839" s="1531"/>
      <c r="AG839" s="1529"/>
      <c r="AH839" s="1530"/>
      <c r="AI839" s="1530"/>
      <c r="AJ839" s="1531"/>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682" t="s">
        <v>124</v>
      </c>
      <c r="D840" s="1683"/>
      <c r="E840" s="1683"/>
      <c r="F840" s="1683"/>
      <c r="G840" s="1683"/>
      <c r="H840" s="1683"/>
      <c r="I840" s="1683"/>
      <c r="J840" s="1683"/>
      <c r="K840" s="1683"/>
      <c r="L840" s="1684"/>
      <c r="M840" s="1674">
        <f>SUM(M833:P839)</f>
        <v>0</v>
      </c>
      <c r="N840" s="1674"/>
      <c r="O840" s="1674"/>
      <c r="P840" s="1674"/>
      <c r="Q840" s="1674">
        <f>SUM(Q833:T839)</f>
        <v>86</v>
      </c>
      <c r="R840" s="1674"/>
      <c r="S840" s="1674"/>
      <c r="T840" s="1674"/>
      <c r="U840" s="1674">
        <f>SUM(U833:X839)</f>
        <v>119</v>
      </c>
      <c r="V840" s="1674"/>
      <c r="W840" s="1674"/>
      <c r="X840" s="1674"/>
      <c r="Y840" s="1674">
        <f>SUM(Y833:AB839)</f>
        <v>157</v>
      </c>
      <c r="Z840" s="1674"/>
      <c r="AA840" s="1674"/>
      <c r="AB840" s="1674"/>
      <c r="AC840" s="1674">
        <f>SUM(AC833:AF839)</f>
        <v>0</v>
      </c>
      <c r="AD840" s="1674"/>
      <c r="AE840" s="1674"/>
      <c r="AF840" s="1674"/>
      <c r="AG840" s="1674">
        <f>SUM(AG833:AJ839)</f>
        <v>0</v>
      </c>
      <c r="AH840" s="1674"/>
      <c r="AI840" s="1674"/>
      <c r="AJ840" s="1674"/>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746" t="s">
        <v>2754</v>
      </c>
      <c r="D845" s="1747"/>
      <c r="E845" s="1747"/>
      <c r="F845" s="1747"/>
      <c r="G845" s="1747"/>
      <c r="H845" s="1747"/>
      <c r="I845" s="1747"/>
      <c r="J845" s="1747"/>
      <c r="K845" s="1747"/>
      <c r="L845" s="1747"/>
      <c r="M845" s="1747"/>
      <c r="N845" s="1747"/>
      <c r="O845" s="1747"/>
      <c r="P845" s="1747"/>
      <c r="Q845" s="1747"/>
      <c r="R845" s="1747"/>
      <c r="S845" s="1747"/>
      <c r="T845" s="1747"/>
      <c r="U845" s="1747"/>
      <c r="V845" s="1747"/>
      <c r="W845" s="1747"/>
      <c r="X845" s="1747"/>
      <c r="Y845" s="1747"/>
      <c r="Z845" s="1747"/>
      <c r="AA845" s="1747"/>
      <c r="AB845" s="1747"/>
      <c r="AC845" s="1747"/>
      <c r="AD845" s="1747"/>
      <c r="AE845" s="1747"/>
      <c r="AF845" s="1747"/>
      <c r="AG845" s="1747"/>
      <c r="AH845" s="1747"/>
      <c r="AI845" s="1747"/>
      <c r="AJ845" s="1748"/>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706"/>
      <c r="BJ849" s="1706"/>
      <c r="BK849" s="1706"/>
      <c r="BL849" s="1706"/>
    </row>
    <row r="850" spans="1:64" s="14" customFormat="1" ht="12.9" customHeight="1">
      <c r="A850"/>
      <c r="B850"/>
      <c r="C850" s="2" t="s">
        <v>343</v>
      </c>
      <c r="D850"/>
      <c r="E850"/>
      <c r="F850"/>
      <c r="G850"/>
      <c r="H850"/>
      <c r="I850"/>
      <c r="J850" s="45" t="s">
        <v>356</v>
      </c>
      <c r="K850" s="5"/>
      <c r="L850" s="5"/>
      <c r="M850" s="5"/>
      <c r="N850" s="5"/>
      <c r="O850" s="5"/>
      <c r="P850" s="5"/>
      <c r="Q850" s="5"/>
      <c r="R850" s="5"/>
      <c r="S850" s="5"/>
      <c r="T850" s="5"/>
      <c r="U850" s="5"/>
      <c r="V850" s="46"/>
      <c r="W850" s="1537"/>
      <c r="X850" s="1537"/>
      <c r="Y850" s="1537"/>
      <c r="Z850" s="1537"/>
      <c r="AA850" s="1537"/>
      <c r="AB850" s="1537"/>
      <c r="AC850" s="1537"/>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355</v>
      </c>
      <c r="K851" s="5"/>
      <c r="L851" s="5"/>
      <c r="M851" s="5"/>
      <c r="N851" s="5"/>
      <c r="O851" s="5"/>
      <c r="P851" s="5"/>
      <c r="Q851" s="5"/>
      <c r="R851" s="5"/>
      <c r="S851" s="5"/>
      <c r="T851" s="5"/>
      <c r="U851" s="5"/>
      <c r="V851" s="46"/>
      <c r="W851" s="1537">
        <v>4500</v>
      </c>
      <c r="X851" s="1537">
        <f t="shared" ref="X851:AC851" si="79">Z858</f>
        <v>0</v>
      </c>
      <c r="Y851" s="1537">
        <f t="shared" si="79"/>
        <v>0</v>
      </c>
      <c r="Z851" s="1537">
        <f t="shared" si="79"/>
        <v>0</v>
      </c>
      <c r="AA851" s="1537">
        <f t="shared" si="79"/>
        <v>0</v>
      </c>
      <c r="AB851" s="1537">
        <f t="shared" si="79"/>
        <v>0</v>
      </c>
      <c r="AC851" s="1537">
        <f t="shared" si="79"/>
        <v>0</v>
      </c>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354</v>
      </c>
      <c r="K852" s="5"/>
      <c r="L852" s="5"/>
      <c r="M852" s="5"/>
      <c r="N852" s="5"/>
      <c r="O852" s="5"/>
      <c r="P852" s="5"/>
      <c r="Q852" s="5"/>
      <c r="R852" s="5"/>
      <c r="S852" s="5"/>
      <c r="T852" s="5"/>
      <c r="U852" s="5"/>
      <c r="V852" s="46"/>
      <c r="W852" s="1537">
        <v>6500</v>
      </c>
      <c r="X852" s="1537">
        <f t="shared" ref="X852:AC852" si="80">SUM(Z859:Z861)</f>
        <v>0</v>
      </c>
      <c r="Y852" s="1537">
        <f t="shared" si="80"/>
        <v>0</v>
      </c>
      <c r="Z852" s="1537">
        <f t="shared" si="80"/>
        <v>0</v>
      </c>
      <c r="AA852" s="1537">
        <f t="shared" si="80"/>
        <v>0</v>
      </c>
      <c r="AB852" s="1537">
        <f t="shared" si="80"/>
        <v>0</v>
      </c>
      <c r="AC852" s="1537">
        <f t="shared" si="80"/>
        <v>0</v>
      </c>
      <c r="AZ852" s="30"/>
      <c r="BA852" s="30"/>
      <c r="BB852" s="14"/>
      <c r="BC852" s="14"/>
      <c r="BD852" s="14"/>
      <c r="BE852" s="14"/>
      <c r="BF852" s="14"/>
      <c r="BG852" s="14"/>
      <c r="BH852" s="14"/>
      <c r="BI852" s="14"/>
      <c r="BJ852" s="14"/>
      <c r="BK852" s="14"/>
      <c r="BL852" s="14"/>
    </row>
    <row r="853" spans="1:64" ht="12.9" customHeight="1">
      <c r="J853" s="45" t="s">
        <v>353</v>
      </c>
      <c r="K853" s="5"/>
      <c r="L853" s="5"/>
      <c r="M853" s="5"/>
      <c r="N853" s="5"/>
      <c r="O853" s="5"/>
      <c r="P853" s="5"/>
      <c r="Q853" s="5"/>
      <c r="R853" s="5"/>
      <c r="S853" s="5"/>
      <c r="T853" s="5"/>
      <c r="U853" s="5"/>
      <c r="V853" s="46"/>
      <c r="W853" s="1537"/>
      <c r="X853" s="1537"/>
      <c r="Y853" s="1537"/>
      <c r="Z853" s="1537"/>
      <c r="AA853" s="1537"/>
      <c r="AB853" s="1537"/>
      <c r="AC853" s="1537"/>
      <c r="AZ853" s="30"/>
      <c r="BA853" s="30"/>
      <c r="BB853" s="14"/>
      <c r="BC853" s="14"/>
      <c r="BD853" s="14"/>
      <c r="BE853" s="14"/>
      <c r="BF853" s="14"/>
      <c r="BG853" s="14"/>
      <c r="BH853" s="14"/>
      <c r="BI853" s="14"/>
      <c r="BJ853" s="14"/>
      <c r="BK853" s="14"/>
      <c r="BL853" s="14"/>
    </row>
    <row r="854" spans="1:64" ht="12.9" customHeight="1">
      <c r="J854" s="45" t="s">
        <v>170</v>
      </c>
      <c r="K854" s="5"/>
      <c r="L854" s="5"/>
      <c r="M854" s="1453" t="s">
        <v>2768</v>
      </c>
      <c r="N854" s="1454"/>
      <c r="O854" s="1454"/>
      <c r="P854" s="1454"/>
      <c r="Q854" s="1454"/>
      <c r="R854" s="1454"/>
      <c r="S854" s="1454"/>
      <c r="T854" s="1454"/>
      <c r="U854" s="1454"/>
      <c r="V854" s="1455"/>
      <c r="W854" s="1537">
        <v>12000</v>
      </c>
      <c r="X854" s="1537">
        <f t="shared" ref="X854:AC854" si="81">SUM(Z850:Z854)</f>
        <v>0</v>
      </c>
      <c r="Y854" s="1537">
        <f t="shared" si="81"/>
        <v>0</v>
      </c>
      <c r="Z854" s="1537">
        <f t="shared" si="81"/>
        <v>0</v>
      </c>
      <c r="AA854" s="1537">
        <f t="shared" si="81"/>
        <v>0</v>
      </c>
      <c r="AB854" s="1537">
        <f t="shared" si="81"/>
        <v>0</v>
      </c>
      <c r="AC854" s="1537">
        <f t="shared" si="81"/>
        <v>0</v>
      </c>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342</v>
      </c>
      <c r="W855" s="1450">
        <f>SUM(W850:W854)</f>
        <v>23000</v>
      </c>
      <c r="X855" s="1451"/>
      <c r="Y855" s="1451"/>
      <c r="Z855" s="1451"/>
      <c r="AA855" s="1451"/>
      <c r="AB855" s="1451"/>
      <c r="AC855" s="1452"/>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75"/>
      <c r="BH856" s="1675"/>
      <c r="BI856" s="1675"/>
      <c r="BJ856" s="1675"/>
      <c r="BK856" s="1675"/>
      <c r="BL856" s="1675"/>
    </row>
    <row r="857" spans="1:64" ht="12.9" customHeight="1">
      <c r="C857" s="2" t="s">
        <v>344</v>
      </c>
      <c r="J857" s="1682" t="s">
        <v>345</v>
      </c>
      <c r="K857" s="1683"/>
      <c r="L857" s="1683"/>
      <c r="M857" s="1683"/>
      <c r="N857" s="1683"/>
      <c r="O857" s="1683"/>
      <c r="P857" s="1683"/>
      <c r="Q857" s="1683"/>
      <c r="R857" s="1683"/>
      <c r="S857" s="1683"/>
      <c r="T857" s="1683"/>
      <c r="U857" s="1683"/>
      <c r="V857" s="1684"/>
      <c r="W857" s="1459">
        <v>48666</v>
      </c>
      <c r="X857" s="1460"/>
      <c r="Y857" s="1460"/>
      <c r="Z857" s="1460"/>
      <c r="AA857" s="1460"/>
      <c r="AB857" s="1460"/>
      <c r="AC857" s="1461"/>
      <c r="AD857" s="533"/>
      <c r="AZ857" s="30"/>
      <c r="BA857" s="30"/>
      <c r="BB857" s="14"/>
      <c r="BC857" s="14"/>
    </row>
    <row r="858" spans="1:64" ht="12.9" customHeight="1">
      <c r="AD858" s="533"/>
      <c r="AZ858" s="30"/>
      <c r="BA858" s="30"/>
      <c r="BB858" s="14"/>
      <c r="BC858" s="14"/>
    </row>
    <row r="859" spans="1:64" ht="12.9" customHeight="1">
      <c r="C859" s="2" t="s">
        <v>561</v>
      </c>
      <c r="J859" s="45" t="s">
        <v>352</v>
      </c>
      <c r="K859" s="5"/>
      <c r="L859" s="5"/>
      <c r="M859" s="5"/>
      <c r="N859" s="5"/>
      <c r="O859" s="5"/>
      <c r="P859" s="5"/>
      <c r="Q859" s="5"/>
      <c r="R859" s="5"/>
      <c r="S859" s="5"/>
      <c r="T859" s="5"/>
      <c r="U859" s="5"/>
      <c r="V859" s="46"/>
      <c r="W859" s="1688"/>
      <c r="X859" s="1688"/>
      <c r="Y859" s="1688"/>
      <c r="Z859" s="1688"/>
      <c r="AA859" s="1688"/>
      <c r="AB859" s="1688"/>
      <c r="AC859" s="1688"/>
      <c r="AZ859" s="1754"/>
      <c r="BA859" s="1754"/>
      <c r="BB859" s="14"/>
      <c r="BC859" s="14"/>
    </row>
    <row r="860" spans="1:64" ht="12.9" customHeight="1">
      <c r="J860" s="45" t="s">
        <v>351</v>
      </c>
      <c r="K860" s="5"/>
      <c r="L860" s="5"/>
      <c r="M860" s="5"/>
      <c r="N860" s="5"/>
      <c r="O860" s="5"/>
      <c r="P860" s="5"/>
      <c r="Q860" s="5"/>
      <c r="R860" s="5"/>
      <c r="S860" s="5"/>
      <c r="T860" s="5"/>
      <c r="U860" s="5"/>
      <c r="V860" s="46"/>
      <c r="W860" s="1688"/>
      <c r="X860" s="1688"/>
      <c r="Y860" s="1688"/>
      <c r="Z860" s="1688"/>
      <c r="AA860" s="1688"/>
      <c r="AB860" s="1688"/>
      <c r="AC860" s="1688"/>
      <c r="AZ860" s="30"/>
      <c r="BA860" s="30"/>
      <c r="BB860" s="14"/>
      <c r="BC860" s="14"/>
    </row>
    <row r="861" spans="1:64" ht="12.9" customHeight="1">
      <c r="J861" s="45" t="s">
        <v>459</v>
      </c>
      <c r="K861" s="5"/>
      <c r="L861" s="5"/>
      <c r="M861" s="5"/>
      <c r="N861" s="5"/>
      <c r="O861" s="5"/>
      <c r="P861" s="5"/>
      <c r="Q861" s="5"/>
      <c r="R861" s="5"/>
      <c r="S861" s="5"/>
      <c r="T861" s="5"/>
      <c r="U861" s="5"/>
      <c r="V861" s="46"/>
      <c r="W861" s="1688">
        <v>32000</v>
      </c>
      <c r="X861" s="1688"/>
      <c r="Y861" s="1688"/>
      <c r="Z861" s="1688"/>
      <c r="AA861" s="1688"/>
      <c r="AB861" s="1688"/>
      <c r="AC861" s="1688"/>
      <c r="AZ861" s="30"/>
      <c r="BA861" s="30"/>
      <c r="BB861" s="14"/>
      <c r="BC861" s="14"/>
    </row>
    <row r="862" spans="1:64" ht="12.9" customHeight="1">
      <c r="J862" s="62" t="s">
        <v>620</v>
      </c>
      <c r="K862" s="5"/>
      <c r="L862" s="5"/>
      <c r="M862" s="5"/>
      <c r="N862" s="5"/>
      <c r="O862" s="5"/>
      <c r="P862" s="5"/>
      <c r="Q862" s="5"/>
      <c r="R862" s="5"/>
      <c r="S862" s="5"/>
      <c r="T862" s="5"/>
      <c r="U862" s="5"/>
      <c r="V862" s="46"/>
      <c r="W862" s="1688">
        <v>38000</v>
      </c>
      <c r="X862" s="1688"/>
      <c r="Y862" s="1688"/>
      <c r="Z862" s="1688"/>
      <c r="AA862" s="1688"/>
      <c r="AB862" s="1688"/>
      <c r="AC862" s="1688"/>
      <c r="AZ862" s="34"/>
      <c r="BA862" s="34"/>
      <c r="BB862" s="34"/>
      <c r="BC862" s="34"/>
    </row>
    <row r="863" spans="1:64" ht="12.9" customHeight="1">
      <c r="J863" s="63"/>
      <c r="K863" s="48"/>
      <c r="L863" s="48"/>
      <c r="M863" s="48"/>
      <c r="N863" s="48"/>
      <c r="O863" s="48"/>
      <c r="P863" s="48"/>
      <c r="Q863" s="48"/>
      <c r="R863" s="48"/>
      <c r="S863" s="48"/>
      <c r="T863" s="48"/>
      <c r="U863" s="48"/>
      <c r="V863" s="54" t="s">
        <v>272</v>
      </c>
      <c r="W863" s="1745">
        <f>SUM(W859:W862)</f>
        <v>70000</v>
      </c>
      <c r="X863" s="1745"/>
      <c r="Y863" s="1745"/>
      <c r="Z863" s="1745"/>
      <c r="AA863" s="1745"/>
      <c r="AB863" s="1745"/>
      <c r="AC863" s="1745"/>
      <c r="AZ863" s="34"/>
      <c r="BA863" s="34"/>
      <c r="BB863" s="34"/>
      <c r="BC863" s="34"/>
    </row>
    <row r="864" spans="1:64" ht="12.9" customHeight="1">
      <c r="AZ864" s="34"/>
      <c r="BA864" s="34"/>
      <c r="BB864" s="34"/>
      <c r="BC864" s="34"/>
    </row>
    <row r="865" spans="3:55" ht="12.9" customHeight="1">
      <c r="C865" s="2" t="s">
        <v>346</v>
      </c>
      <c r="J865" s="45" t="s">
        <v>619</v>
      </c>
      <c r="K865" s="5"/>
      <c r="L865" s="5"/>
      <c r="M865" s="5"/>
      <c r="N865" s="5"/>
      <c r="O865" s="5"/>
      <c r="P865" s="5"/>
      <c r="Q865" s="5"/>
      <c r="R865" s="5"/>
      <c r="S865" s="5"/>
      <c r="T865" s="5"/>
      <c r="U865" s="5"/>
      <c r="V865" s="46"/>
      <c r="W865" s="1556">
        <f>77000+2667</f>
        <v>79667</v>
      </c>
      <c r="X865" s="1557"/>
      <c r="Y865" s="1557"/>
      <c r="Z865" s="1557"/>
      <c r="AA865" s="1557"/>
      <c r="AB865" s="1557"/>
      <c r="AC865" s="1558"/>
      <c r="AD865" s="528"/>
      <c r="AZ865" s="34"/>
      <c r="BA865" s="34"/>
      <c r="BB865" s="34"/>
      <c r="BC865" s="34"/>
    </row>
    <row r="866" spans="3:55" ht="12.9" customHeight="1">
      <c r="C866" s="2" t="s">
        <v>347</v>
      </c>
      <c r="J866" s="121" t="s">
        <v>1644</v>
      </c>
      <c r="K866" s="5"/>
      <c r="L866" s="5"/>
      <c r="M866" s="5"/>
      <c r="N866" s="5"/>
      <c r="O866" s="5"/>
      <c r="P866" s="5"/>
      <c r="Q866" s="5"/>
      <c r="R866" s="5"/>
      <c r="S866" s="5"/>
      <c r="T866" s="1749">
        <v>1</v>
      </c>
      <c r="U866" s="1710"/>
      <c r="V866" s="1750"/>
      <c r="W866" s="870"/>
      <c r="X866" s="871"/>
      <c r="Y866" s="871"/>
      <c r="Z866" s="871"/>
      <c r="AA866" s="871"/>
      <c r="AB866" s="871"/>
      <c r="AC866" s="872"/>
      <c r="AD866" s="528"/>
      <c r="AZ866" s="34"/>
      <c r="BA866" s="34"/>
      <c r="BB866" s="34"/>
      <c r="BC866" s="34"/>
    </row>
    <row r="867" spans="3:55" ht="12.9" customHeight="1">
      <c r="C867" s="2"/>
      <c r="J867" s="45" t="s">
        <v>618</v>
      </c>
      <c r="K867" s="5"/>
      <c r="L867" s="5"/>
      <c r="M867" s="5"/>
      <c r="N867" s="5"/>
      <c r="O867" s="5"/>
      <c r="P867" s="5"/>
      <c r="Q867" s="5"/>
      <c r="R867" s="5"/>
      <c r="S867" s="5"/>
      <c r="T867" s="5"/>
      <c r="U867" s="5"/>
      <c r="V867" s="46"/>
      <c r="W867" s="1556">
        <v>68000</v>
      </c>
      <c r="X867" s="1557"/>
      <c r="Y867" s="1557"/>
      <c r="Z867" s="1557"/>
      <c r="AA867" s="1557"/>
      <c r="AB867" s="1557"/>
      <c r="AC867" s="1558"/>
      <c r="AD867" s="533"/>
      <c r="AZ867" s="34"/>
      <c r="BA867" s="34"/>
      <c r="BB867" s="34"/>
      <c r="BC867" s="34"/>
    </row>
    <row r="868" spans="3:55" ht="12.9" customHeight="1">
      <c r="C868" s="2"/>
      <c r="J868" s="121" t="s">
        <v>1645</v>
      </c>
      <c r="K868" s="5"/>
      <c r="L868" s="5"/>
      <c r="M868" s="5"/>
      <c r="N868" s="5"/>
      <c r="O868" s="5"/>
      <c r="P868" s="5"/>
      <c r="Q868" s="5"/>
      <c r="R868" s="5"/>
      <c r="S868" s="5"/>
      <c r="T868" s="1749">
        <v>1</v>
      </c>
      <c r="U868" s="1710"/>
      <c r="V868" s="1750"/>
      <c r="W868" s="870"/>
      <c r="X868" s="871"/>
      <c r="Y868" s="871"/>
      <c r="Z868" s="871"/>
      <c r="AA868" s="871"/>
      <c r="AB868" s="871"/>
      <c r="AC868" s="872"/>
      <c r="AD868" s="533"/>
      <c r="AZ868" s="34"/>
      <c r="BA868" s="34"/>
      <c r="BB868" s="34"/>
      <c r="BC868" s="34"/>
    </row>
    <row r="869" spans="3:55" ht="12.9" customHeight="1">
      <c r="J869" s="45" t="s">
        <v>170</v>
      </c>
      <c r="K869" s="5"/>
      <c r="L869" s="5"/>
      <c r="M869" s="1453" t="s">
        <v>2784</v>
      </c>
      <c r="N869" s="1454"/>
      <c r="O869" s="1454"/>
      <c r="P869" s="1454"/>
      <c r="Q869" s="1454"/>
      <c r="R869" s="1454"/>
      <c r="S869" s="1454"/>
      <c r="T869" s="1454"/>
      <c r="U869" s="1454"/>
      <c r="V869" s="1455"/>
      <c r="W869" s="1556">
        <v>12000</v>
      </c>
      <c r="X869" s="1557"/>
      <c r="Y869" s="1557"/>
      <c r="Z869" s="1557"/>
      <c r="AA869" s="1557"/>
      <c r="AB869" s="1557"/>
      <c r="AC869" s="1558"/>
      <c r="AD869" s="528"/>
      <c r="AU869" s="14"/>
      <c r="AZ869" s="34"/>
      <c r="BA869" s="34"/>
      <c r="BB869" s="34"/>
      <c r="BC869" s="34"/>
    </row>
    <row r="870" spans="3:55" ht="12.9" customHeight="1">
      <c r="J870" s="45"/>
      <c r="K870" s="5"/>
      <c r="L870" s="5"/>
      <c r="M870" s="5"/>
      <c r="N870" s="5"/>
      <c r="O870" s="5"/>
      <c r="P870" s="5"/>
      <c r="Q870" s="5"/>
      <c r="R870" s="5"/>
      <c r="S870" s="5"/>
      <c r="T870" s="5"/>
      <c r="U870" s="5"/>
      <c r="V870" s="54" t="s">
        <v>273</v>
      </c>
      <c r="W870" s="1751">
        <f>SUM(W865:W869)</f>
        <v>159667</v>
      </c>
      <c r="X870" s="1752"/>
      <c r="Y870" s="1752"/>
      <c r="Z870" s="1752"/>
      <c r="AA870" s="1752"/>
      <c r="AB870" s="1752"/>
      <c r="AC870" s="1753"/>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274</v>
      </c>
      <c r="W872" s="1556">
        <v>10000</v>
      </c>
      <c r="X872" s="1557"/>
      <c r="Y872" s="1557"/>
      <c r="Z872" s="1557"/>
      <c r="AA872" s="1557"/>
      <c r="AB872" s="1557"/>
      <c r="AC872" s="1558"/>
      <c r="AU872" s="14"/>
      <c r="AZ872" s="34"/>
      <c r="BA872" s="34"/>
      <c r="BB872" s="34"/>
      <c r="BC872" s="34"/>
    </row>
    <row r="873" spans="3:55" ht="12.9" customHeight="1">
      <c r="J873" s="512"/>
      <c r="AU873" s="14"/>
      <c r="AZ873" s="34"/>
      <c r="BA873" s="34"/>
      <c r="BB873" s="34"/>
      <c r="BC873" s="34"/>
    </row>
    <row r="874" spans="3:55" ht="12.9" customHeight="1">
      <c r="C874" s="2" t="s">
        <v>390</v>
      </c>
      <c r="J874" s="45" t="s">
        <v>617</v>
      </c>
      <c r="K874" s="5"/>
      <c r="L874" s="5"/>
      <c r="M874" s="5"/>
      <c r="N874" s="5"/>
      <c r="O874" s="5"/>
      <c r="P874" s="5"/>
      <c r="Q874" s="5"/>
      <c r="R874" s="5"/>
      <c r="S874" s="5"/>
      <c r="T874" s="5"/>
      <c r="U874" s="5"/>
      <c r="V874" s="46"/>
      <c r="W874" s="1537"/>
      <c r="X874" s="1537"/>
      <c r="Y874" s="1537"/>
      <c r="Z874" s="1537"/>
      <c r="AA874" s="1537"/>
      <c r="AB874" s="1537"/>
      <c r="AC874" s="1537"/>
      <c r="AU874" s="14"/>
      <c r="AZ874" s="34"/>
      <c r="BA874" s="34"/>
      <c r="BB874" s="34"/>
      <c r="BC874" s="34"/>
    </row>
    <row r="875" spans="3:55" ht="12.9" customHeight="1">
      <c r="J875" s="45" t="s">
        <v>522</v>
      </c>
      <c r="K875" s="5"/>
      <c r="L875" s="5"/>
      <c r="M875" s="5"/>
      <c r="N875" s="5"/>
      <c r="O875" s="5"/>
      <c r="P875" s="5"/>
      <c r="Q875" s="5"/>
      <c r="R875" s="5"/>
      <c r="S875" s="5"/>
      <c r="T875" s="5"/>
      <c r="U875" s="5"/>
      <c r="V875" s="46"/>
      <c r="W875" s="1537"/>
      <c r="X875" s="1537"/>
      <c r="Y875" s="1537"/>
      <c r="Z875" s="1537"/>
      <c r="AA875" s="1537"/>
      <c r="AB875" s="1537"/>
      <c r="AC875" s="1537"/>
      <c r="AU875" s="4"/>
      <c r="AZ875" s="34"/>
      <c r="BA875" s="34"/>
      <c r="BB875" s="34"/>
      <c r="BC875" s="34"/>
    </row>
    <row r="876" spans="3:55" ht="12.9" customHeight="1">
      <c r="J876" s="45" t="s">
        <v>521</v>
      </c>
      <c r="K876" s="5"/>
      <c r="L876" s="5"/>
      <c r="M876" s="5"/>
      <c r="N876" s="5"/>
      <c r="O876" s="5"/>
      <c r="P876" s="5"/>
      <c r="Q876" s="5"/>
      <c r="R876" s="5"/>
      <c r="S876" s="5"/>
      <c r="T876" s="5"/>
      <c r="U876" s="5"/>
      <c r="V876" s="46"/>
      <c r="W876" s="1537">
        <v>25000</v>
      </c>
      <c r="X876" s="1537">
        <f t="shared" ref="X876:AC876" si="82">Z877</f>
        <v>0</v>
      </c>
      <c r="Y876" s="1537">
        <f t="shared" si="82"/>
        <v>0</v>
      </c>
      <c r="Z876" s="1537">
        <f t="shared" si="82"/>
        <v>0</v>
      </c>
      <c r="AA876" s="1537">
        <f t="shared" si="82"/>
        <v>0</v>
      </c>
      <c r="AB876" s="1537">
        <f t="shared" si="82"/>
        <v>0</v>
      </c>
      <c r="AC876" s="1537">
        <f t="shared" si="82"/>
        <v>0</v>
      </c>
      <c r="AU876" s="4"/>
      <c r="AZ876" s="34"/>
      <c r="BA876" s="34"/>
      <c r="BB876" s="34"/>
      <c r="BC876" s="34"/>
    </row>
    <row r="877" spans="3:55" ht="12.9" customHeight="1">
      <c r="J877" s="45" t="s">
        <v>520</v>
      </c>
      <c r="K877" s="5"/>
      <c r="L877" s="5"/>
      <c r="M877" s="5"/>
      <c r="N877" s="5"/>
      <c r="O877" s="5"/>
      <c r="P877" s="5"/>
      <c r="Q877" s="5"/>
      <c r="R877" s="5"/>
      <c r="S877" s="5"/>
      <c r="T877" s="5"/>
      <c r="U877" s="5"/>
      <c r="V877" s="46"/>
      <c r="W877" s="1537"/>
      <c r="X877" s="1537"/>
      <c r="Y877" s="1537"/>
      <c r="Z877" s="1537"/>
      <c r="AA877" s="1537"/>
      <c r="AB877" s="1537"/>
      <c r="AC877" s="1537"/>
      <c r="AU877" s="4"/>
      <c r="AZ877" s="34"/>
      <c r="BA877" s="34"/>
      <c r="BB877" s="34"/>
      <c r="BC877" s="34"/>
    </row>
    <row r="878" spans="3:55" ht="12.9" customHeight="1">
      <c r="J878" s="45" t="s">
        <v>519</v>
      </c>
      <c r="K878" s="5"/>
      <c r="L878" s="5"/>
      <c r="M878" s="5"/>
      <c r="N878" s="5"/>
      <c r="O878" s="5"/>
      <c r="P878" s="5"/>
      <c r="Q878" s="5"/>
      <c r="R878" s="5"/>
      <c r="S878" s="5"/>
      <c r="T878" s="5"/>
      <c r="U878" s="5"/>
      <c r="V878" s="46"/>
      <c r="W878" s="1537"/>
      <c r="X878" s="1537"/>
      <c r="Y878" s="1537"/>
      <c r="Z878" s="1537"/>
      <c r="AA878" s="1537"/>
      <c r="AB878" s="1537"/>
      <c r="AC878" s="1537"/>
      <c r="AU878" s="4"/>
      <c r="AZ878" s="34"/>
      <c r="BA878" s="34"/>
      <c r="BB878" s="34"/>
      <c r="BC878" s="34"/>
    </row>
    <row r="879" spans="3:55" ht="12.9" customHeight="1">
      <c r="J879" s="45" t="s">
        <v>518</v>
      </c>
      <c r="K879" s="5"/>
      <c r="L879" s="5"/>
      <c r="M879" s="5"/>
      <c r="N879" s="5"/>
      <c r="O879" s="5"/>
      <c r="P879" s="5"/>
      <c r="Q879" s="5"/>
      <c r="R879" s="5"/>
      <c r="S879" s="5"/>
      <c r="T879" s="5"/>
      <c r="U879" s="5"/>
      <c r="V879" s="46"/>
      <c r="W879" s="1537">
        <v>15000</v>
      </c>
      <c r="X879" s="1537">
        <f t="shared" ref="X879:AC879" si="83">Z879</f>
        <v>0</v>
      </c>
      <c r="Y879" s="1537">
        <f t="shared" si="83"/>
        <v>0</v>
      </c>
      <c r="Z879" s="1537">
        <f t="shared" si="83"/>
        <v>0</v>
      </c>
      <c r="AA879" s="1537">
        <f t="shared" si="83"/>
        <v>0</v>
      </c>
      <c r="AB879" s="1537">
        <f t="shared" si="83"/>
        <v>0</v>
      </c>
      <c r="AC879" s="1537">
        <f t="shared" si="83"/>
        <v>0</v>
      </c>
      <c r="AU879" s="4"/>
      <c r="AZ879" s="34"/>
      <c r="BA879" s="34"/>
      <c r="BB879" s="34"/>
      <c r="BC879" s="34"/>
    </row>
    <row r="880" spans="3:55" ht="12.9" customHeight="1">
      <c r="J880" s="45" t="s">
        <v>170</v>
      </c>
      <c r="K880" s="5"/>
      <c r="L880" s="5"/>
      <c r="M880" s="1453" t="s">
        <v>2769</v>
      </c>
      <c r="N880" s="1454"/>
      <c r="O880" s="1454"/>
      <c r="P880" s="1454"/>
      <c r="Q880" s="1454"/>
      <c r="R880" s="1454"/>
      <c r="S880" s="1454"/>
      <c r="T880" s="1454"/>
      <c r="U880" s="1454"/>
      <c r="V880" s="1455"/>
      <c r="W880" s="1537">
        <v>12000</v>
      </c>
      <c r="X880" s="1537">
        <f t="shared" ref="X880:AC880" si="84">Z875</f>
        <v>0</v>
      </c>
      <c r="Y880" s="1537">
        <f t="shared" si="84"/>
        <v>0</v>
      </c>
      <c r="Z880" s="1537">
        <f t="shared" si="84"/>
        <v>0</v>
      </c>
      <c r="AA880" s="1537">
        <f t="shared" si="84"/>
        <v>0</v>
      </c>
      <c r="AB880" s="1537">
        <f t="shared" si="84"/>
        <v>0</v>
      </c>
      <c r="AC880" s="1537">
        <f t="shared" si="84"/>
        <v>0</v>
      </c>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275</v>
      </c>
      <c r="W881" s="1681">
        <f>SUM(W874:W880)</f>
        <v>52000</v>
      </c>
      <c r="X881" s="1681"/>
      <c r="Y881" s="1681"/>
      <c r="Z881" s="1681"/>
      <c r="AA881" s="1681"/>
      <c r="AB881" s="1681"/>
      <c r="AC881" s="1681"/>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1243</v>
      </c>
      <c r="J883" s="45" t="s">
        <v>170</v>
      </c>
      <c r="K883" s="5"/>
      <c r="L883" s="5"/>
      <c r="M883" s="1453" t="s">
        <v>2770</v>
      </c>
      <c r="N883" s="1454" t="s">
        <v>2770</v>
      </c>
      <c r="O883" s="1454" t="s">
        <v>2770</v>
      </c>
      <c r="P883" s="1454" t="s">
        <v>2770</v>
      </c>
      <c r="Q883" s="1454" t="s">
        <v>2770</v>
      </c>
      <c r="R883" s="1454" t="s">
        <v>2770</v>
      </c>
      <c r="S883" s="1454" t="s">
        <v>2770</v>
      </c>
      <c r="T883" s="1454" t="s">
        <v>2770</v>
      </c>
      <c r="U883" s="1454" t="s">
        <v>2770</v>
      </c>
      <c r="V883" s="1455" t="s">
        <v>2770</v>
      </c>
      <c r="W883" s="1459">
        <v>10067</v>
      </c>
      <c r="X883" s="1460"/>
      <c r="Y883" s="1460"/>
      <c r="Z883" s="1460"/>
      <c r="AA883" s="1460"/>
      <c r="AB883" s="1460"/>
      <c r="AC883" s="1461"/>
      <c r="AD883" s="533"/>
      <c r="AV883" s="14"/>
      <c r="AW883" s="14"/>
      <c r="AX883" s="14"/>
      <c r="AY883" s="14"/>
      <c r="AZ883" s="34"/>
      <c r="BA883" s="34"/>
      <c r="BB883" s="34"/>
      <c r="BC883" s="34"/>
    </row>
    <row r="884" spans="3:55" ht="12.9" customHeight="1">
      <c r="C884" s="2" t="s">
        <v>1244</v>
      </c>
      <c r="J884" s="45" t="s">
        <v>170</v>
      </c>
      <c r="K884" s="5"/>
      <c r="L884" s="5"/>
      <c r="M884" s="1453" t="s">
        <v>2771</v>
      </c>
      <c r="N884" s="1454" t="s">
        <v>2771</v>
      </c>
      <c r="O884" s="1454" t="s">
        <v>2771</v>
      </c>
      <c r="P884" s="1454" t="s">
        <v>2771</v>
      </c>
      <c r="Q884" s="1454" t="s">
        <v>2771</v>
      </c>
      <c r="R884" s="1454" t="s">
        <v>2771</v>
      </c>
      <c r="S884" s="1454" t="s">
        <v>2771</v>
      </c>
      <c r="T884" s="1454" t="s">
        <v>2771</v>
      </c>
      <c r="U884" s="1454" t="s">
        <v>2771</v>
      </c>
      <c r="V884" s="1455" t="s">
        <v>2771</v>
      </c>
      <c r="W884" s="1459">
        <v>55000</v>
      </c>
      <c r="X884" s="1460"/>
      <c r="Y884" s="1460"/>
      <c r="Z884" s="1460"/>
      <c r="AA884" s="1460"/>
      <c r="AB884" s="1460"/>
      <c r="AC884" s="1461"/>
      <c r="AD884" s="533"/>
      <c r="AV884" s="14"/>
      <c r="AW884" s="14"/>
      <c r="AX884" s="14"/>
      <c r="AY884" s="14"/>
      <c r="AZ884" s="34"/>
      <c r="BA884" s="34"/>
      <c r="BB884" s="34"/>
      <c r="BC884" s="34"/>
    </row>
    <row r="885" spans="3:55" ht="12.9" customHeight="1">
      <c r="J885" s="45" t="s">
        <v>170</v>
      </c>
      <c r="K885" s="5"/>
      <c r="L885" s="5"/>
      <c r="M885" s="1453" t="s">
        <v>334</v>
      </c>
      <c r="N885" s="1454"/>
      <c r="O885" s="1454"/>
      <c r="P885" s="1454"/>
      <c r="Q885" s="1454"/>
      <c r="R885" s="1454"/>
      <c r="S885" s="1454"/>
      <c r="T885" s="1454"/>
      <c r="U885" s="1454"/>
      <c r="V885" s="1455"/>
      <c r="W885" s="1459"/>
      <c r="X885" s="1460"/>
      <c r="Y885" s="1460"/>
      <c r="Z885" s="1460"/>
      <c r="AA885" s="1460"/>
      <c r="AB885" s="1460"/>
      <c r="AC885" s="1461"/>
      <c r="AL885" s="14"/>
      <c r="AM885" s="14"/>
      <c r="AN885" s="14"/>
      <c r="AO885" s="14"/>
      <c r="AP885" s="14"/>
      <c r="AQ885" s="14"/>
      <c r="AR885" s="14"/>
      <c r="AS885" s="14"/>
      <c r="AT885" s="14"/>
      <c r="AV885" s="4"/>
      <c r="AW885" s="4"/>
      <c r="AX885" s="4"/>
      <c r="AY885" s="4"/>
      <c r="AZ885" s="34"/>
      <c r="BA885" s="34"/>
      <c r="BB885" s="34"/>
      <c r="BC885" s="34"/>
    </row>
    <row r="886" spans="3:55" ht="12.9" customHeight="1">
      <c r="J886" s="45" t="s">
        <v>170</v>
      </c>
      <c r="K886" s="5"/>
      <c r="L886" s="5"/>
      <c r="M886" s="1453" t="s">
        <v>334</v>
      </c>
      <c r="N886" s="1454"/>
      <c r="O886" s="1454"/>
      <c r="P886" s="1454"/>
      <c r="Q886" s="1454"/>
      <c r="R886" s="1454"/>
      <c r="S886" s="1454"/>
      <c r="T886" s="1454"/>
      <c r="U886" s="1454"/>
      <c r="V886" s="1455"/>
      <c r="W886" s="1459"/>
      <c r="X886" s="1460"/>
      <c r="Y886" s="1460"/>
      <c r="Z886" s="1460"/>
      <c r="AA886" s="1460"/>
      <c r="AB886" s="1460"/>
      <c r="AC886" s="1461"/>
      <c r="AL886" s="14"/>
      <c r="AM886" s="14"/>
      <c r="AN886" s="14"/>
      <c r="AO886" s="14"/>
      <c r="AP886" s="14"/>
      <c r="AQ886" s="14"/>
      <c r="AR886" s="14"/>
      <c r="AS886" s="14"/>
      <c r="AT886" s="14"/>
      <c r="AV886" s="4"/>
      <c r="AW886" s="4"/>
      <c r="AX886" s="4"/>
      <c r="AY886" s="4"/>
      <c r="AZ886" s="34"/>
      <c r="BA886" s="34"/>
      <c r="BB886" s="34"/>
      <c r="BC886" s="34"/>
    </row>
    <row r="887" spans="3:55" ht="12.9" customHeight="1">
      <c r="J887" s="45" t="s">
        <v>170</v>
      </c>
      <c r="K887" s="5"/>
      <c r="L887" s="5"/>
      <c r="M887" s="1453" t="s">
        <v>334</v>
      </c>
      <c r="N887" s="1454"/>
      <c r="O887" s="1454"/>
      <c r="P887" s="1454"/>
      <c r="Q887" s="1454"/>
      <c r="R887" s="1454"/>
      <c r="S887" s="1454"/>
      <c r="T887" s="1454"/>
      <c r="U887" s="1454"/>
      <c r="V887" s="1455"/>
      <c r="W887" s="1459"/>
      <c r="X887" s="1460"/>
      <c r="Y887" s="1460"/>
      <c r="Z887" s="1460"/>
      <c r="AA887" s="1460"/>
      <c r="AB887" s="1460"/>
      <c r="AC887" s="1461"/>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276</v>
      </c>
      <c r="W888" s="1450">
        <f>SUM(W883:W887)</f>
        <v>65067</v>
      </c>
      <c r="X888" s="1451"/>
      <c r="Y888" s="1451"/>
      <c r="Z888" s="1451"/>
      <c r="AA888" s="1451"/>
      <c r="AB888" s="1451"/>
      <c r="AC888" s="1452"/>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51">
        <f>W855+W863+W870+W872+W881+W888+W857</f>
        <v>428400</v>
      </c>
      <c r="AD892" s="1451"/>
      <c r="AE892" s="1451"/>
      <c r="AF892" s="1451"/>
      <c r="AG892" s="1451"/>
      <c r="AH892" s="1452"/>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55">
        <f>O805+O785+G761</f>
        <v>63</v>
      </c>
      <c r="AD893" s="1755"/>
      <c r="AE893" s="1755"/>
      <c r="AF893" s="1755"/>
      <c r="AG893" s="1755"/>
      <c r="AH893" s="1756"/>
      <c r="AL893" s="4"/>
      <c r="AM893" s="4"/>
      <c r="AN893" s="4"/>
      <c r="AO893" s="4"/>
      <c r="AP893" s="4"/>
      <c r="AQ893" s="4"/>
      <c r="AR893" s="4"/>
      <c r="AS893" s="4"/>
      <c r="AT893" s="4"/>
      <c r="AZ893" s="34"/>
      <c r="BA893" s="34"/>
      <c r="BB893" s="34"/>
      <c r="BC893" s="34"/>
    </row>
    <row r="894" spans="3:55" ht="12.9" customHeight="1">
      <c r="C894" s="41"/>
      <c r="D894" s="42"/>
      <c r="E894" s="1565" t="s">
        <v>32</v>
      </c>
      <c r="F894" s="1565"/>
      <c r="G894" s="1565"/>
      <c r="H894" s="1565"/>
      <c r="I894" s="1565"/>
      <c r="J894" s="1565"/>
      <c r="K894" s="1565"/>
      <c r="L894" s="1565"/>
      <c r="M894" s="1565"/>
      <c r="N894" s="1565"/>
      <c r="O894" s="1565"/>
      <c r="P894" s="1565"/>
      <c r="Q894" s="1565"/>
      <c r="R894" s="1565"/>
      <c r="S894" s="1565"/>
      <c r="T894" s="1565"/>
      <c r="U894" s="1565"/>
      <c r="V894" s="1565"/>
      <c r="W894" s="1565"/>
      <c r="X894" s="1565"/>
      <c r="Y894" s="1565"/>
      <c r="Z894" s="1565"/>
      <c r="AA894" s="1565"/>
      <c r="AB894" s="1566"/>
      <c r="AC894" s="1681">
        <f>IF(ISERROR((ROUNDDOWN(AC892/AC893,0))),0,(ROUNDDOWN(AC892/AC893,0)))</f>
        <v>6800</v>
      </c>
      <c r="AD894" s="1681"/>
      <c r="AE894" s="1681"/>
      <c r="AF894" s="1681"/>
      <c r="AG894" s="1681"/>
      <c r="AH894" s="1681"/>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58">
        <v>398971</v>
      </c>
      <c r="AD895" s="1759"/>
      <c r="AE895" s="1759"/>
      <c r="AF895" s="1759"/>
      <c r="AG895" s="1759"/>
      <c r="AH895" s="1759"/>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61"/>
      <c r="AD896" s="1537"/>
      <c r="AE896" s="1537"/>
      <c r="AF896" s="1537"/>
      <c r="AG896" s="1537"/>
      <c r="AH896" s="1537"/>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60">
        <v>54800</v>
      </c>
      <c r="AD897" s="1460"/>
      <c r="AE897" s="1460"/>
      <c r="AF897" s="1460"/>
      <c r="AG897" s="1460"/>
      <c r="AH897" s="1461"/>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60">
        <v>15750</v>
      </c>
      <c r="AD898" s="1460"/>
      <c r="AE898" s="1460"/>
      <c r="AF898" s="1460"/>
      <c r="AG898" s="1460"/>
      <c r="AH898" s="1461"/>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29">
        <v>7900</v>
      </c>
      <c r="AD899" s="1530"/>
      <c r="AE899" s="1530"/>
      <c r="AF899" s="1530"/>
      <c r="AG899" s="1530"/>
      <c r="AH899" s="1531"/>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60"/>
      <c r="AD900" s="1460"/>
      <c r="AE900" s="1460"/>
      <c r="AF900" s="1460"/>
      <c r="AG900" s="1460"/>
      <c r="AH900" s="1461"/>
      <c r="AZ900" s="34"/>
      <c r="BA900" s="34"/>
      <c r="BB900" s="34"/>
      <c r="BC900" s="34"/>
    </row>
    <row r="901" spans="1:58" ht="12.9" hidden="1" customHeight="1">
      <c r="C901" s="1682" t="s">
        <v>2188</v>
      </c>
      <c r="D901" s="1683"/>
      <c r="E901" s="1683"/>
      <c r="F901" s="1683"/>
      <c r="G901" s="1683"/>
      <c r="H901" s="1683"/>
      <c r="I901" s="1683"/>
      <c r="J901" s="1683"/>
      <c r="K901" s="1683"/>
      <c r="L901" s="1683"/>
      <c r="M901" s="1683"/>
      <c r="N901" s="1683"/>
      <c r="O901" s="1683"/>
      <c r="P901" s="1683"/>
      <c r="Q901" s="1683"/>
      <c r="R901" s="1683"/>
      <c r="S901" s="1683"/>
      <c r="T901" s="1683"/>
      <c r="U901" s="1683"/>
      <c r="V901" s="1683"/>
      <c r="W901" s="1683"/>
      <c r="X901" s="1683"/>
      <c r="Y901" s="1683"/>
      <c r="Z901" s="1683"/>
      <c r="AA901" s="1683"/>
      <c r="AB901" s="1684"/>
      <c r="AC901" s="1460"/>
      <c r="AD901" s="1460"/>
      <c r="AE901" s="1460"/>
      <c r="AF901" s="1460"/>
      <c r="AG901" s="1460"/>
      <c r="AH901" s="1461"/>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60"/>
      <c r="AD902" s="1460"/>
      <c r="AE902" s="1460"/>
      <c r="AF902" s="1460"/>
      <c r="AG902" s="1460"/>
      <c r="AH902" s="1461"/>
      <c r="AZ902" s="34"/>
      <c r="BA902" s="34"/>
      <c r="BB902" s="34"/>
      <c r="BC902" s="34"/>
    </row>
    <row r="903" spans="1:58" ht="12.9" customHeight="1">
      <c r="C903" s="1559" t="s">
        <v>956</v>
      </c>
      <c r="D903" s="1560"/>
      <c r="E903" s="1560"/>
      <c r="F903" s="1560"/>
      <c r="G903" s="1560"/>
      <c r="H903" s="1560"/>
      <c r="I903" s="1560"/>
      <c r="J903" s="1560"/>
      <c r="K903" s="1560"/>
      <c r="L903" s="1560"/>
      <c r="M903" s="1560"/>
      <c r="N903" s="1560"/>
      <c r="O903" s="1560"/>
      <c r="P903" s="1560"/>
      <c r="Q903" s="1560"/>
      <c r="R903" s="1560"/>
      <c r="S903" s="1560"/>
      <c r="T903" s="1560"/>
      <c r="U903" s="1560"/>
      <c r="V903" s="1560"/>
      <c r="W903" s="1560"/>
      <c r="X903" s="1560"/>
      <c r="Y903" s="1560"/>
      <c r="Z903" s="1560"/>
      <c r="AA903" s="1560"/>
      <c r="AB903" s="1561"/>
      <c r="AC903" s="1537"/>
      <c r="AD903" s="1537"/>
      <c r="AE903" s="1537"/>
      <c r="AF903" s="1537"/>
      <c r="AG903" s="1537"/>
      <c r="AH903" s="1537"/>
      <c r="AZ903" s="34"/>
      <c r="BA903" s="34"/>
      <c r="BB903" s="34"/>
      <c r="BC903" s="34"/>
    </row>
    <row r="904" spans="1:58" ht="12.9" customHeight="1">
      <c r="C904" s="1559" t="s">
        <v>956</v>
      </c>
      <c r="D904" s="1560"/>
      <c r="E904" s="1560"/>
      <c r="F904" s="1560"/>
      <c r="G904" s="1560"/>
      <c r="H904" s="1560"/>
      <c r="I904" s="1560"/>
      <c r="J904" s="1560"/>
      <c r="K904" s="1560"/>
      <c r="L904" s="1560"/>
      <c r="M904" s="1560"/>
      <c r="N904" s="1560"/>
      <c r="O904" s="1560"/>
      <c r="P904" s="1560"/>
      <c r="Q904" s="1560"/>
      <c r="R904" s="1560"/>
      <c r="S904" s="1560"/>
      <c r="T904" s="1560"/>
      <c r="U904" s="1560"/>
      <c r="V904" s="1560"/>
      <c r="W904" s="1560"/>
      <c r="X904" s="1560"/>
      <c r="Y904" s="1560"/>
      <c r="Z904" s="1560"/>
      <c r="AA904" s="1560"/>
      <c r="AB904" s="1561"/>
      <c r="AC904" s="1537"/>
      <c r="AD904" s="1537"/>
      <c r="AE904" s="1537"/>
      <c r="AF904" s="1537"/>
      <c r="AG904" s="1537"/>
      <c r="AH904" s="1537"/>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613</v>
      </c>
      <c r="C906" s="2" t="s">
        <v>237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238</v>
      </c>
      <c r="I908" s="5"/>
      <c r="J908" s="5"/>
      <c r="K908" s="5"/>
      <c r="L908" s="5"/>
      <c r="M908" s="5"/>
      <c r="N908" s="5"/>
      <c r="O908" s="5"/>
      <c r="P908" s="5"/>
      <c r="Q908" s="5"/>
      <c r="R908" s="5"/>
      <c r="S908" s="5"/>
      <c r="T908" s="5"/>
      <c r="U908" s="5"/>
      <c r="V908" s="5"/>
      <c r="W908" s="5"/>
      <c r="X908" s="5"/>
      <c r="Y908" s="46"/>
      <c r="Z908" s="1459"/>
      <c r="AA908" s="1460"/>
      <c r="AB908" s="1460"/>
      <c r="AC908" s="1460"/>
      <c r="AD908" s="1460"/>
      <c r="AE908" s="1461"/>
      <c r="AF908" s="533"/>
      <c r="AZ908" s="34"/>
      <c r="BB908" s="30"/>
      <c r="BC908" s="812"/>
      <c r="BD908" s="1676"/>
      <c r="BE908" s="1676"/>
      <c r="BF908" s="14"/>
    </row>
    <row r="909" spans="1:58" ht="12.9" customHeight="1">
      <c r="H909" s="121" t="s">
        <v>239</v>
      </c>
      <c r="I909" s="5"/>
      <c r="J909" s="5"/>
      <c r="K909" s="5"/>
      <c r="L909" s="5"/>
      <c r="M909" s="5"/>
      <c r="N909" s="5"/>
      <c r="O909" s="5"/>
      <c r="P909" s="5"/>
      <c r="Q909" s="5"/>
      <c r="R909" s="5"/>
      <c r="S909" s="5"/>
      <c r="T909" s="5"/>
      <c r="U909" s="5"/>
      <c r="V909" s="5"/>
      <c r="W909" s="5"/>
      <c r="X909" s="5"/>
      <c r="Y909" s="5"/>
      <c r="Z909" s="1459"/>
      <c r="AA909" s="1460"/>
      <c r="AB909" s="1460"/>
      <c r="AC909" s="1460"/>
      <c r="AD909" s="1460"/>
      <c r="AE909" s="1461"/>
      <c r="AZ909" s="34"/>
      <c r="BB909" s="30"/>
      <c r="BC909" s="812"/>
      <c r="BD909" s="1676"/>
      <c r="BE909" s="1676"/>
      <c r="BF909" s="14"/>
    </row>
    <row r="910" spans="1:58" ht="12.9" customHeight="1">
      <c r="H910" s="121" t="s">
        <v>240</v>
      </c>
      <c r="I910" s="5"/>
      <c r="J910" s="5"/>
      <c r="K910" s="5"/>
      <c r="L910" s="5"/>
      <c r="M910" s="5"/>
      <c r="N910" s="5"/>
      <c r="O910" s="5"/>
      <c r="P910" s="5"/>
      <c r="Q910" s="5"/>
      <c r="R910" s="5"/>
      <c r="S910" s="5"/>
      <c r="T910" s="5"/>
      <c r="U910" s="5"/>
      <c r="V910" s="5"/>
      <c r="W910" s="5"/>
      <c r="X910" s="5"/>
      <c r="Y910" s="5"/>
      <c r="Z910" s="1459"/>
      <c r="AA910" s="1460"/>
      <c r="AB910" s="1460"/>
      <c r="AC910" s="1460"/>
      <c r="AD910" s="1460"/>
      <c r="AE910" s="1461"/>
      <c r="AZ910" s="34"/>
      <c r="BB910" s="30"/>
      <c r="BC910" s="812"/>
      <c r="BD910" s="1675"/>
      <c r="BE910" s="1675"/>
      <c r="BF910" s="14"/>
    </row>
    <row r="911" spans="1:58" ht="12.9" customHeight="1">
      <c r="H911" s="45"/>
      <c r="I911" s="5"/>
      <c r="J911" s="5"/>
      <c r="K911" s="5"/>
      <c r="L911" s="5"/>
      <c r="M911" s="5"/>
      <c r="N911" s="5"/>
      <c r="O911" s="5"/>
      <c r="P911" s="5"/>
      <c r="Q911" s="5"/>
      <c r="R911" s="5"/>
      <c r="S911" s="5"/>
      <c r="T911" s="5"/>
      <c r="U911" s="5"/>
      <c r="V911" s="5"/>
      <c r="W911" s="5"/>
      <c r="X911" s="5"/>
      <c r="Y911" s="181" t="s">
        <v>241</v>
      </c>
      <c r="Z911" s="1450">
        <f>Z908-(Z909+Z910)</f>
        <v>0</v>
      </c>
      <c r="AA911" s="1451"/>
      <c r="AB911" s="1451"/>
      <c r="AC911" s="1451"/>
      <c r="AD911" s="1451"/>
      <c r="AE911" s="1452"/>
      <c r="AZ911" s="34"/>
      <c r="BB911" s="30"/>
      <c r="BC911" s="812"/>
      <c r="BD911" s="1675"/>
      <c r="BE911" s="1675"/>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5"/>
      <c r="BE912" s="1675"/>
      <c r="BF912" s="14"/>
    </row>
    <row r="913" spans="1:58" ht="12.9"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6"/>
      <c r="BE913" s="1675"/>
      <c r="BF913" s="14"/>
    </row>
    <row r="914" spans="1:58" ht="12.9"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60"/>
      <c r="BE914" s="1760"/>
      <c r="BF914" s="1760"/>
    </row>
    <row r="915" spans="1:58" ht="12.9"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706"/>
      <c r="BE915" s="1706"/>
      <c r="BF915" s="1706"/>
    </row>
    <row r="916" spans="1:58" ht="12.9"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5"/>
      <c r="BE916" s="1675"/>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6"/>
      <c r="BE917" s="1675"/>
      <c r="BF917" s="14"/>
    </row>
    <row r="918" spans="1:58" ht="12.9" customHeight="1">
      <c r="AZ918" s="34"/>
      <c r="BB918" s="30"/>
      <c r="BC918" s="812"/>
    </row>
    <row r="919" spans="1:58" ht="12.9" customHeight="1">
      <c r="A919" s="1493" t="s">
        <v>96</v>
      </c>
      <c r="B919" s="1493"/>
      <c r="C919" s="1493"/>
      <c r="D919" s="1493"/>
      <c r="E919" s="1493"/>
      <c r="F919" s="1493"/>
      <c r="G919" s="1493"/>
      <c r="H919" s="1493"/>
      <c r="I919" s="1493"/>
      <c r="J919" s="1493"/>
      <c r="K919" s="1493"/>
      <c r="L919" s="1493"/>
      <c r="M919" s="1493"/>
      <c r="N919" s="1493"/>
      <c r="O919" s="1493"/>
      <c r="P919" s="1493"/>
      <c r="Q919" s="1493"/>
      <c r="R919" s="1493"/>
      <c r="S919" s="1493"/>
      <c r="T919" s="1493"/>
      <c r="U919" s="1493"/>
      <c r="V919" s="1493"/>
      <c r="W919" s="1493"/>
      <c r="X919" s="1493"/>
      <c r="Y919" s="1493"/>
      <c r="Z919" s="1493"/>
      <c r="AA919" s="1493"/>
      <c r="AB919" s="1493"/>
      <c r="AC919" s="1493"/>
      <c r="AD919" s="1493"/>
      <c r="AE919" s="1493"/>
      <c r="AF919" s="1493"/>
      <c r="AG919" s="1493"/>
      <c r="AH919" s="1493"/>
      <c r="AI919" s="1493"/>
      <c r="AJ919" s="1493"/>
      <c r="AK919" s="1493"/>
      <c r="AL919" s="1493"/>
      <c r="AM919" s="1493"/>
      <c r="AN919" s="1493"/>
      <c r="AO919" s="1493"/>
      <c r="AP919" s="1493"/>
      <c r="AQ919" s="1493"/>
      <c r="AR919" s="1493"/>
      <c r="AS919" s="1493"/>
      <c r="AT919" s="1493"/>
      <c r="AZ919" s="34"/>
      <c r="BA919" s="34"/>
      <c r="BB919" s="30"/>
      <c r="BC919" s="30"/>
      <c r="BD919" s="1676"/>
      <c r="BE919" s="1675"/>
      <c r="BF919" s="907"/>
    </row>
    <row r="920" spans="1:58" ht="12.9" customHeight="1">
      <c r="A920" s="1493"/>
      <c r="B920" s="1493"/>
      <c r="C920" s="1493"/>
      <c r="D920" s="1493"/>
      <c r="E920" s="1493"/>
      <c r="F920" s="1493"/>
      <c r="G920" s="1493"/>
      <c r="H920" s="1493"/>
      <c r="I920" s="1493"/>
      <c r="J920" s="1493"/>
      <c r="K920" s="1493"/>
      <c r="L920" s="1493"/>
      <c r="M920" s="1493"/>
      <c r="N920" s="1493"/>
      <c r="O920" s="1493"/>
      <c r="P920" s="1493"/>
      <c r="Q920" s="1493"/>
      <c r="R920" s="1493"/>
      <c r="S920" s="1493"/>
      <c r="T920" s="1493"/>
      <c r="U920" s="1493"/>
      <c r="V920" s="1493"/>
      <c r="W920" s="1493"/>
      <c r="X920" s="1493"/>
      <c r="Y920" s="1493"/>
      <c r="Z920" s="1493"/>
      <c r="AA920" s="1493"/>
      <c r="AB920" s="1493"/>
      <c r="AC920" s="1493"/>
      <c r="AD920" s="1493"/>
      <c r="AE920" s="1493"/>
      <c r="AF920" s="1493"/>
      <c r="AG920" s="1493"/>
      <c r="AH920" s="1493"/>
      <c r="AI920" s="1493"/>
      <c r="AJ920" s="1493"/>
      <c r="AK920" s="1493"/>
      <c r="AL920" s="1493"/>
      <c r="AM920" s="1493"/>
      <c r="AN920" s="1493"/>
      <c r="AO920" s="1493"/>
      <c r="AP920" s="1493"/>
      <c r="AQ920" s="1493"/>
      <c r="AR920" s="1493"/>
      <c r="AS920" s="1493"/>
      <c r="AT920" s="1493"/>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78" t="s">
        <v>792</v>
      </c>
      <c r="G924" s="1679"/>
      <c r="H924" s="1679"/>
      <c r="I924" s="1679"/>
      <c r="J924" s="1679"/>
      <c r="K924" s="1679"/>
      <c r="L924" s="1679"/>
      <c r="M924" s="1679"/>
      <c r="N924" s="1679"/>
      <c r="O924" s="1679"/>
      <c r="P924" s="1679"/>
      <c r="Q924" s="1679"/>
      <c r="R924" s="1679"/>
      <c r="S924" s="1679"/>
      <c r="T924" s="1680"/>
      <c r="U924" s="1612" t="s">
        <v>31</v>
      </c>
      <c r="V924" s="1613"/>
      <c r="W924" s="1613"/>
      <c r="X924" s="1613"/>
      <c r="Y924" s="1613"/>
      <c r="Z924" s="1613"/>
      <c r="AA924" s="43"/>
      <c r="AB924" s="105"/>
      <c r="AC924" s="105"/>
      <c r="AD924" s="105"/>
      <c r="AE924" s="105"/>
      <c r="AF924" s="106"/>
      <c r="AZ924" s="34"/>
      <c r="BA924" s="34"/>
      <c r="BB924" s="34"/>
      <c r="BC924" s="34"/>
    </row>
    <row r="925" spans="1:58" ht="12.9" customHeight="1">
      <c r="B925" s="2"/>
      <c r="F925" s="1614" t="s">
        <v>818</v>
      </c>
      <c r="G925" s="1615"/>
      <c r="H925" s="1615"/>
      <c r="I925" s="1615"/>
      <c r="J925" s="1615"/>
      <c r="K925" s="1615"/>
      <c r="L925" s="1615"/>
      <c r="M925" s="1615"/>
      <c r="N925" s="1615"/>
      <c r="O925" s="1615"/>
      <c r="P925" s="1615"/>
      <c r="Q925" s="1615"/>
      <c r="R925" s="1615"/>
      <c r="S925" s="1615"/>
      <c r="T925" s="1648"/>
      <c r="U925" s="1614"/>
      <c r="V925" s="1615"/>
      <c r="W925" s="1615"/>
      <c r="X925" s="1615"/>
      <c r="Y925" s="1615"/>
      <c r="Z925" s="1615"/>
      <c r="AA925" s="44"/>
      <c r="AB925" s="4"/>
      <c r="AC925" s="4"/>
      <c r="AD925" s="4"/>
      <c r="AE925" s="4"/>
      <c r="AF925" s="107"/>
      <c r="AZ925" s="34"/>
      <c r="BA925" s="34"/>
      <c r="BB925" s="34"/>
      <c r="BC925" s="34"/>
    </row>
    <row r="926" spans="1:58" ht="12.9" customHeight="1">
      <c r="B926" s="2"/>
      <c r="F926" s="1616"/>
      <c r="G926" s="1617"/>
      <c r="H926" s="1617"/>
      <c r="I926" s="1617"/>
      <c r="J926" s="1617"/>
      <c r="K926" s="1617"/>
      <c r="L926" s="1617"/>
      <c r="M926" s="1617"/>
      <c r="N926" s="1617"/>
      <c r="O926" s="1617"/>
      <c r="P926" s="1617"/>
      <c r="Q926" s="1617"/>
      <c r="R926" s="1617"/>
      <c r="S926" s="1617"/>
      <c r="T926" s="1649"/>
      <c r="U926" s="1616"/>
      <c r="V926" s="1617"/>
      <c r="W926" s="1617"/>
      <c r="X926" s="1617"/>
      <c r="Y926" s="1617"/>
      <c r="Z926" s="1617"/>
      <c r="AA926" s="108"/>
      <c r="AB926" s="1543" t="s">
        <v>391</v>
      </c>
      <c r="AC926" s="1543"/>
      <c r="AD926" s="1543"/>
      <c r="AE926" s="1543"/>
      <c r="AF926" s="109"/>
      <c r="AZ926" s="34"/>
      <c r="BA926" s="34"/>
      <c r="BB926" s="34"/>
      <c r="BC926" s="34"/>
    </row>
    <row r="927" spans="1:58" ht="12.9" customHeight="1">
      <c r="B927" s="2"/>
      <c r="F927" s="45" t="s">
        <v>758</v>
      </c>
      <c r="G927" s="48"/>
      <c r="H927" s="48"/>
      <c r="I927" s="48"/>
      <c r="J927" s="48"/>
      <c r="K927" s="48"/>
      <c r="L927" s="48"/>
      <c r="M927" s="48"/>
      <c r="N927" s="48"/>
      <c r="O927" s="48"/>
      <c r="P927" s="48"/>
      <c r="Q927" s="48"/>
      <c r="R927" s="48"/>
      <c r="S927" s="48"/>
      <c r="T927" s="49"/>
      <c r="U927" s="1377" t="s">
        <v>545</v>
      </c>
      <c r="V927" s="1378"/>
      <c r="W927" s="1378"/>
      <c r="X927" s="1378"/>
      <c r="Y927" s="1378"/>
      <c r="Z927" s="1379"/>
      <c r="AA927" s="1422">
        <v>15800000</v>
      </c>
      <c r="AB927" s="1423"/>
      <c r="AC927" s="1423"/>
      <c r="AD927" s="1423"/>
      <c r="AE927" s="1423"/>
      <c r="AF927" s="1424"/>
      <c r="AG927" s="1191" t="str">
        <f>IF(NOT(AA927=AW927),"!","")</f>
        <v/>
      </c>
      <c r="AH927" s="3"/>
      <c r="AW927" s="1343">
        <f>SUMIF($M$562:$M$573,"Loan, Tax-Exempt",$AM$562:$AM$573)</f>
        <v>15800000</v>
      </c>
      <c r="AX927" s="1343"/>
      <c r="AY927" s="1343"/>
      <c r="AZ927" s="3" t="s">
        <v>2540</v>
      </c>
      <c r="BA927" s="34"/>
      <c r="BB927" s="34"/>
      <c r="BC927" s="34"/>
    </row>
    <row r="928" spans="1:58" ht="12.9" customHeight="1">
      <c r="B928" s="2"/>
      <c r="F928" s="66" t="s">
        <v>675</v>
      </c>
      <c r="G928" s="48"/>
      <c r="H928" s="48"/>
      <c r="I928" s="48"/>
      <c r="J928" s="48"/>
      <c r="K928" s="48"/>
      <c r="L928" s="48"/>
      <c r="M928" s="48"/>
      <c r="N928" s="48"/>
      <c r="O928" s="48"/>
      <c r="P928" s="48"/>
      <c r="Q928" s="48"/>
      <c r="R928" s="48"/>
      <c r="S928" s="48"/>
      <c r="T928" s="49"/>
      <c r="U928" s="1377" t="s">
        <v>545</v>
      </c>
      <c r="V928" s="1378"/>
      <c r="W928" s="1378"/>
      <c r="X928" s="1378"/>
      <c r="Y928" s="1378"/>
      <c r="Z928" s="1379"/>
      <c r="AA928" s="1422">
        <v>25630241</v>
      </c>
      <c r="AB928" s="1423"/>
      <c r="AC928" s="1423"/>
      <c r="AD928" s="1423"/>
      <c r="AE928" s="1423"/>
      <c r="AF928" s="1424"/>
      <c r="AZ928" s="34"/>
      <c r="BA928" s="34"/>
      <c r="BB928" s="34"/>
      <c r="BC928" s="34"/>
    </row>
    <row r="929" spans="6:55" ht="12.9" customHeight="1">
      <c r="F929" s="45" t="s">
        <v>801</v>
      </c>
      <c r="G929" s="5"/>
      <c r="H929" s="5"/>
      <c r="I929" s="5"/>
      <c r="J929" s="5"/>
      <c r="K929" s="5"/>
      <c r="L929" s="5"/>
      <c r="M929" s="5"/>
      <c r="N929" s="5"/>
      <c r="O929" s="5"/>
      <c r="P929" s="5"/>
      <c r="Q929" s="5"/>
      <c r="R929" s="5"/>
      <c r="S929" s="5"/>
      <c r="T929" s="46"/>
      <c r="U929" s="1377" t="s">
        <v>591</v>
      </c>
      <c r="V929" s="1378"/>
      <c r="W929" s="1378"/>
      <c r="X929" s="1378"/>
      <c r="Y929" s="1378"/>
      <c r="Z929" s="1379"/>
      <c r="AA929" s="1422"/>
      <c r="AB929" s="1423"/>
      <c r="AC929" s="1423"/>
      <c r="AD929" s="1423"/>
      <c r="AE929" s="1423"/>
      <c r="AF929" s="1424"/>
      <c r="AZ929" s="34"/>
      <c r="BA929" s="34"/>
      <c r="BB929" s="34"/>
      <c r="BC929" s="34"/>
    </row>
    <row r="930" spans="6:55" ht="12.9" customHeight="1">
      <c r="F930" s="45" t="s">
        <v>678</v>
      </c>
      <c r="G930" s="5"/>
      <c r="H930" s="5"/>
      <c r="I930" s="5"/>
      <c r="J930" s="5"/>
      <c r="K930" s="5"/>
      <c r="L930" s="5"/>
      <c r="M930" s="5"/>
      <c r="N930" s="5"/>
      <c r="O930" s="5"/>
      <c r="P930" s="5"/>
      <c r="Q930" s="5"/>
      <c r="R930" s="5"/>
      <c r="S930" s="5"/>
      <c r="T930" s="46"/>
      <c r="U930" s="1377" t="s">
        <v>591</v>
      </c>
      <c r="V930" s="1378"/>
      <c r="W930" s="1378"/>
      <c r="X930" s="1378"/>
      <c r="Y930" s="1378"/>
      <c r="Z930" s="1379"/>
      <c r="AA930" s="1422"/>
      <c r="AB930" s="1423"/>
      <c r="AC930" s="1423"/>
      <c r="AD930" s="1423"/>
      <c r="AE930" s="1423"/>
      <c r="AF930" s="1424"/>
      <c r="AZ930" s="34"/>
      <c r="BA930" s="34"/>
      <c r="BB930" s="34"/>
      <c r="BC930" s="34"/>
    </row>
    <row r="931" spans="6:55" ht="12.9" customHeight="1">
      <c r="F931" s="66" t="s">
        <v>786</v>
      </c>
      <c r="G931" s="5"/>
      <c r="H931" s="5"/>
      <c r="I931" s="5"/>
      <c r="J931" s="5"/>
      <c r="K931" s="5"/>
      <c r="L931" s="5"/>
      <c r="M931" s="5"/>
      <c r="N931" s="5"/>
      <c r="O931" s="5"/>
      <c r="P931" s="5"/>
      <c r="Q931" s="5"/>
      <c r="R931" s="5"/>
      <c r="S931" s="5"/>
      <c r="T931" s="46"/>
      <c r="U931" s="1377" t="s">
        <v>591</v>
      </c>
      <c r="V931" s="1378"/>
      <c r="W931" s="1378"/>
      <c r="X931" s="1378"/>
      <c r="Y931" s="1378"/>
      <c r="Z931" s="1379"/>
      <c r="AA931" s="1422"/>
      <c r="AB931" s="1423"/>
      <c r="AC931" s="1423"/>
      <c r="AD931" s="1423"/>
      <c r="AE931" s="1423"/>
      <c r="AF931" s="1424"/>
      <c r="AZ931" s="34"/>
      <c r="BA931" s="34"/>
      <c r="BB931" s="34"/>
      <c r="BC931" s="34"/>
    </row>
    <row r="932" spans="6:55" ht="12.9" customHeight="1">
      <c r="F932" s="66" t="s">
        <v>787</v>
      </c>
      <c r="G932" s="5"/>
      <c r="H932" s="5"/>
      <c r="I932" s="5"/>
      <c r="J932" s="5"/>
      <c r="K932" s="5"/>
      <c r="L932" s="5"/>
      <c r="M932" s="5"/>
      <c r="N932" s="5"/>
      <c r="O932" s="5"/>
      <c r="P932" s="5"/>
      <c r="Q932" s="5"/>
      <c r="R932" s="5"/>
      <c r="S932" s="5"/>
      <c r="T932" s="46"/>
      <c r="U932" s="1377" t="s">
        <v>591</v>
      </c>
      <c r="V932" s="1378"/>
      <c r="W932" s="1378"/>
      <c r="X932" s="1378"/>
      <c r="Y932" s="1378"/>
      <c r="Z932" s="1379"/>
      <c r="AA932" s="1422"/>
      <c r="AB932" s="1423"/>
      <c r="AC932" s="1423"/>
      <c r="AD932" s="1423"/>
      <c r="AE932" s="1423"/>
      <c r="AF932" s="1424"/>
      <c r="AZ932" s="34"/>
      <c r="BA932" s="34"/>
      <c r="BB932" s="34"/>
      <c r="BC932" s="34"/>
    </row>
    <row r="933" spans="6:55" ht="12.9" customHeight="1">
      <c r="F933" s="66" t="s">
        <v>788</v>
      </c>
      <c r="G933" s="5"/>
      <c r="H933" s="5"/>
      <c r="I933" s="5"/>
      <c r="J933" s="5"/>
      <c r="K933" s="5"/>
      <c r="L933" s="5"/>
      <c r="M933" s="5"/>
      <c r="N933" s="5"/>
      <c r="O933" s="5"/>
      <c r="P933" s="5"/>
      <c r="Q933" s="5"/>
      <c r="R933" s="5"/>
      <c r="S933" s="5"/>
      <c r="T933" s="46"/>
      <c r="U933" s="1377" t="s">
        <v>591</v>
      </c>
      <c r="V933" s="1378"/>
      <c r="W933" s="1378"/>
      <c r="X933" s="1378"/>
      <c r="Y933" s="1378"/>
      <c r="Z933" s="1379"/>
      <c r="AA933" s="1422"/>
      <c r="AB933" s="1423"/>
      <c r="AC933" s="1423"/>
      <c r="AD933" s="1423"/>
      <c r="AE933" s="1423"/>
      <c r="AF933" s="1424"/>
      <c r="AZ933" s="34"/>
      <c r="BA933" s="34"/>
      <c r="BB933" s="34"/>
      <c r="BC933" s="34"/>
    </row>
    <row r="934" spans="6:55" ht="12.9" customHeight="1">
      <c r="F934" s="45" t="s">
        <v>677</v>
      </c>
      <c r="G934" s="5"/>
      <c r="H934" s="5"/>
      <c r="I934" s="5"/>
      <c r="J934" s="5"/>
      <c r="K934" s="5"/>
      <c r="L934" s="5"/>
      <c r="M934" s="5"/>
      <c r="N934" s="5"/>
      <c r="O934" s="5"/>
      <c r="P934" s="5"/>
      <c r="Q934" s="5"/>
      <c r="R934" s="5"/>
      <c r="S934" s="5"/>
      <c r="T934" s="46"/>
      <c r="U934" s="1377" t="s">
        <v>591</v>
      </c>
      <c r="V934" s="1378"/>
      <c r="W934" s="1378"/>
      <c r="X934" s="1378"/>
      <c r="Y934" s="1378"/>
      <c r="Z934" s="1379"/>
      <c r="AA934" s="1422"/>
      <c r="AB934" s="1423"/>
      <c r="AC934" s="1423"/>
      <c r="AD934" s="1423"/>
      <c r="AE934" s="1423"/>
      <c r="AF934" s="1424"/>
      <c r="AZ934" s="34"/>
      <c r="BA934" s="34"/>
      <c r="BB934" s="34"/>
      <c r="BC934" s="34"/>
    </row>
    <row r="935" spans="6:55" ht="12.9" customHeight="1">
      <c r="F935" s="1562" t="s">
        <v>2148</v>
      </c>
      <c r="G935" s="1563"/>
      <c r="H935" s="1563"/>
      <c r="I935" s="1563"/>
      <c r="J935" s="1563"/>
      <c r="K935" s="1563"/>
      <c r="L935" s="1563"/>
      <c r="M935" s="1563"/>
      <c r="N935" s="1563"/>
      <c r="O935" s="1563"/>
      <c r="P935" s="1563"/>
      <c r="Q935" s="1563"/>
      <c r="R935" s="1563"/>
      <c r="S935" s="1563"/>
      <c r="T935" s="1564"/>
      <c r="U935" s="1377" t="s">
        <v>591</v>
      </c>
      <c r="V935" s="1378"/>
      <c r="W935" s="1378"/>
      <c r="X935" s="1378"/>
      <c r="Y935" s="1378"/>
      <c r="Z935" s="1379"/>
      <c r="AA935" s="1422"/>
      <c r="AB935" s="1423"/>
      <c r="AC935" s="1423"/>
      <c r="AD935" s="1423"/>
      <c r="AE935" s="1423"/>
      <c r="AF935" s="1424"/>
      <c r="AZ935" s="34"/>
      <c r="BA935" s="34"/>
      <c r="BB935" s="34"/>
      <c r="BC935" s="34"/>
    </row>
    <row r="936" spans="6:55" ht="12.9" customHeight="1">
      <c r="F936" s="1562" t="s">
        <v>679</v>
      </c>
      <c r="G936" s="1563"/>
      <c r="H936" s="1563"/>
      <c r="I936" s="1563"/>
      <c r="J936" s="1563"/>
      <c r="K936" s="1563"/>
      <c r="L936" s="1563"/>
      <c r="M936" s="1563"/>
      <c r="N936" s="1563"/>
      <c r="O936" s="1563"/>
      <c r="P936" s="1563"/>
      <c r="Q936" s="1563"/>
      <c r="R936" s="1563"/>
      <c r="S936" s="1563"/>
      <c r="T936" s="1564"/>
      <c r="U936" s="1377" t="s">
        <v>591</v>
      </c>
      <c r="V936" s="1378"/>
      <c r="W936" s="1378"/>
      <c r="X936" s="1378"/>
      <c r="Y936" s="1378"/>
      <c r="Z936" s="1379"/>
      <c r="AA936" s="1422"/>
      <c r="AB936" s="1423"/>
      <c r="AC936" s="1423"/>
      <c r="AD936" s="1423"/>
      <c r="AE936" s="1423"/>
      <c r="AF936" s="1424"/>
      <c r="AU936" s="2"/>
      <c r="AZ936" s="34"/>
      <c r="BA936" s="34"/>
      <c r="BB936" s="34"/>
      <c r="BC936" s="34"/>
    </row>
    <row r="937" spans="6:55" ht="12.9" customHeight="1">
      <c r="F937" s="1562" t="s">
        <v>2149</v>
      </c>
      <c r="G937" s="1563"/>
      <c r="H937" s="1563"/>
      <c r="I937" s="1563"/>
      <c r="J937" s="1563"/>
      <c r="K937" s="1563"/>
      <c r="L937" s="1563"/>
      <c r="M937" s="1563"/>
      <c r="N937" s="1563"/>
      <c r="O937" s="1563"/>
      <c r="P937" s="1563"/>
      <c r="Q937" s="1563"/>
      <c r="R937" s="1563"/>
      <c r="S937" s="1563"/>
      <c r="T937" s="1564"/>
      <c r="U937" s="1377" t="s">
        <v>591</v>
      </c>
      <c r="V937" s="1378"/>
      <c r="W937" s="1378"/>
      <c r="X937" s="1378"/>
      <c r="Y937" s="1378"/>
      <c r="Z937" s="1379"/>
      <c r="AA937" s="1422"/>
      <c r="AB937" s="1423"/>
      <c r="AC937" s="1423"/>
      <c r="AD937" s="1423"/>
      <c r="AE937" s="1423"/>
      <c r="AF937" s="1424"/>
      <c r="AU937" s="2"/>
      <c r="AZ937" s="34"/>
      <c r="BA937" s="34"/>
      <c r="BB937" s="34"/>
      <c r="BC937" s="34"/>
    </row>
    <row r="938" spans="6:55" ht="12.9" customHeight="1">
      <c r="F938" s="1562" t="s">
        <v>2150</v>
      </c>
      <c r="G938" s="1563"/>
      <c r="H938" s="1563"/>
      <c r="I938" s="1563"/>
      <c r="J938" s="1563"/>
      <c r="K938" s="1563"/>
      <c r="L938" s="1563"/>
      <c r="M938" s="1563"/>
      <c r="N938" s="1563"/>
      <c r="O938" s="1563"/>
      <c r="P938" s="1563"/>
      <c r="Q938" s="1563"/>
      <c r="R938" s="1563"/>
      <c r="S938" s="1563"/>
      <c r="T938" s="1564"/>
      <c r="U938" s="1377" t="s">
        <v>591</v>
      </c>
      <c r="V938" s="1378"/>
      <c r="W938" s="1378"/>
      <c r="X938" s="1378"/>
      <c r="Y938" s="1378"/>
      <c r="Z938" s="1379"/>
      <c r="AA938" s="1422"/>
      <c r="AB938" s="1423"/>
      <c r="AC938" s="1423"/>
      <c r="AD938" s="1423"/>
      <c r="AE938" s="1423"/>
      <c r="AF938" s="1424"/>
      <c r="AU938" s="2"/>
      <c r="AZ938" s="34"/>
      <c r="BA938" s="34"/>
      <c r="BB938" s="34"/>
      <c r="BC938" s="34"/>
    </row>
    <row r="939" spans="6:55" ht="12.9" customHeight="1">
      <c r="F939" s="1562" t="s">
        <v>2151</v>
      </c>
      <c r="G939" s="1563"/>
      <c r="H939" s="1563"/>
      <c r="I939" s="1563"/>
      <c r="J939" s="1563"/>
      <c r="K939" s="1563"/>
      <c r="L939" s="1563"/>
      <c r="M939" s="1563"/>
      <c r="N939" s="1563"/>
      <c r="O939" s="1563"/>
      <c r="P939" s="1563"/>
      <c r="Q939" s="1563"/>
      <c r="R939" s="1563"/>
      <c r="S939" s="1563"/>
      <c r="T939" s="1564"/>
      <c r="U939" s="1377" t="s">
        <v>591</v>
      </c>
      <c r="V939" s="1378"/>
      <c r="W939" s="1378"/>
      <c r="X939" s="1378"/>
      <c r="Y939" s="1378"/>
      <c r="Z939" s="1379"/>
      <c r="AA939" s="1422"/>
      <c r="AB939" s="1423"/>
      <c r="AC939" s="1423"/>
      <c r="AD939" s="1423"/>
      <c r="AE939" s="1423"/>
      <c r="AF939" s="1424"/>
      <c r="AU939" s="2"/>
      <c r="AZ939" s="34"/>
      <c r="BA939" s="34"/>
      <c r="BB939" s="34"/>
      <c r="BC939" s="34"/>
    </row>
    <row r="940" spans="6:55" ht="12.9" customHeight="1">
      <c r="F940" s="1562" t="s">
        <v>2152</v>
      </c>
      <c r="G940" s="1563"/>
      <c r="H940" s="1563"/>
      <c r="I940" s="1563"/>
      <c r="J940" s="1563"/>
      <c r="K940" s="1563"/>
      <c r="L940" s="1563"/>
      <c r="M940" s="1563"/>
      <c r="N940" s="1563"/>
      <c r="O940" s="1563"/>
      <c r="P940" s="1563"/>
      <c r="Q940" s="1563"/>
      <c r="R940" s="1563"/>
      <c r="S940" s="1563"/>
      <c r="T940" s="1564"/>
      <c r="U940" s="1377" t="s">
        <v>591</v>
      </c>
      <c r="V940" s="1378"/>
      <c r="W940" s="1378"/>
      <c r="X940" s="1378"/>
      <c r="Y940" s="1378"/>
      <c r="Z940" s="1379"/>
      <c r="AA940" s="1422"/>
      <c r="AB940" s="1423"/>
      <c r="AC940" s="1423"/>
      <c r="AD940" s="1423"/>
      <c r="AE940" s="1423"/>
      <c r="AF940" s="1424"/>
      <c r="AU940" s="2"/>
      <c r="AZ940" s="34"/>
      <c r="BA940" s="34"/>
      <c r="BB940" s="34"/>
      <c r="BC940" s="34"/>
    </row>
    <row r="941" spans="6:55" ht="12.9" customHeight="1">
      <c r="F941" s="1562" t="s">
        <v>2153</v>
      </c>
      <c r="G941" s="1563"/>
      <c r="H941" s="1563"/>
      <c r="I941" s="1563"/>
      <c r="J941" s="1563"/>
      <c r="K941" s="1563"/>
      <c r="L941" s="1563"/>
      <c r="M941" s="1563"/>
      <c r="N941" s="1563"/>
      <c r="O941" s="1563"/>
      <c r="P941" s="1563"/>
      <c r="Q941" s="1563"/>
      <c r="R941" s="1563"/>
      <c r="S941" s="1563"/>
      <c r="T941" s="1564"/>
      <c r="U941" s="1377" t="s">
        <v>591</v>
      </c>
      <c r="V941" s="1378"/>
      <c r="W941" s="1378"/>
      <c r="X941" s="1378"/>
      <c r="Y941" s="1378"/>
      <c r="Z941" s="1379"/>
      <c r="AA941" s="1422"/>
      <c r="AB941" s="1423"/>
      <c r="AC941" s="1423"/>
      <c r="AD941" s="1423"/>
      <c r="AE941" s="1423"/>
      <c r="AF941" s="1424"/>
      <c r="AZ941" s="30"/>
      <c r="BA941" s="30"/>
    </row>
    <row r="942" spans="6:55" ht="12.9" customHeight="1">
      <c r="F942" s="178" t="s">
        <v>676</v>
      </c>
      <c r="G942" s="5"/>
      <c r="H942" s="5"/>
      <c r="I942" s="5"/>
      <c r="J942" s="5"/>
      <c r="K942" s="5"/>
      <c r="L942" s="5"/>
      <c r="M942" s="5"/>
      <c r="N942" s="5"/>
      <c r="O942" s="5"/>
      <c r="P942" s="5"/>
      <c r="Q942" s="5"/>
      <c r="R942" s="5"/>
      <c r="S942" s="5"/>
      <c r="T942" s="46"/>
      <c r="U942" s="1377" t="s">
        <v>591</v>
      </c>
      <c r="V942" s="1378"/>
      <c r="W942" s="1378"/>
      <c r="X942" s="1378"/>
      <c r="Y942" s="1378"/>
      <c r="Z942" s="1379"/>
      <c r="AA942" s="1422"/>
      <c r="AB942" s="1423"/>
      <c r="AC942" s="1423"/>
      <c r="AD942" s="1423"/>
      <c r="AE942" s="1423"/>
      <c r="AF942" s="1424"/>
    </row>
    <row r="943" spans="6:55" ht="12.9" customHeight="1">
      <c r="F943" s="121" t="s">
        <v>1277</v>
      </c>
      <c r="G943" s="5"/>
      <c r="H943" s="5"/>
      <c r="I943" s="5"/>
      <c r="J943" s="5"/>
      <c r="K943" s="5"/>
      <c r="L943" s="5"/>
      <c r="M943" s="5"/>
      <c r="N943" s="5"/>
      <c r="O943" s="5"/>
      <c r="P943" s="5"/>
      <c r="Q943" s="5"/>
      <c r="R943" s="5"/>
      <c r="S943" s="5"/>
      <c r="T943" s="46"/>
      <c r="U943" s="1377" t="s">
        <v>591</v>
      </c>
      <c r="V943" s="1378"/>
      <c r="W943" s="1378"/>
      <c r="X943" s="1378"/>
      <c r="Y943" s="1378"/>
      <c r="Z943" s="1379"/>
      <c r="AA943" s="1422"/>
      <c r="AB943" s="1423"/>
      <c r="AC943" s="1423"/>
      <c r="AD943" s="1423"/>
      <c r="AE943" s="1423"/>
      <c r="AF943" s="1424"/>
      <c r="AZ943" s="30"/>
      <c r="BA943" s="14"/>
    </row>
    <row r="944" spans="6:55" ht="12.9" customHeight="1">
      <c r="F944" s="66" t="s">
        <v>802</v>
      </c>
      <c r="G944" s="5"/>
      <c r="H944" s="5"/>
      <c r="I944" s="5"/>
      <c r="J944" s="5"/>
      <c r="K944" s="5"/>
      <c r="L944" s="5"/>
      <c r="M944" s="5"/>
      <c r="N944" s="5"/>
      <c r="O944" s="5"/>
      <c r="P944" s="5"/>
      <c r="Q944" s="5"/>
      <c r="R944" s="5"/>
      <c r="S944" s="5"/>
      <c r="T944" s="46"/>
      <c r="U944" s="1377" t="s">
        <v>591</v>
      </c>
      <c r="V944" s="1378"/>
      <c r="W944" s="1378"/>
      <c r="X944" s="1378"/>
      <c r="Y944" s="1378"/>
      <c r="Z944" s="1379"/>
      <c r="AA944" s="1422"/>
      <c r="AB944" s="1423"/>
      <c r="AC944" s="1423"/>
      <c r="AD944" s="1423"/>
      <c r="AE944" s="1423"/>
      <c r="AF944" s="1424"/>
      <c r="AZ944" s="30"/>
      <c r="BA944" s="14"/>
    </row>
    <row r="945" spans="6:55" ht="12.9" customHeight="1">
      <c r="F945" s="1662" t="s">
        <v>2157</v>
      </c>
      <c r="G945" s="1663"/>
      <c r="H945" s="1663"/>
      <c r="I945" s="1663"/>
      <c r="J945" s="1663"/>
      <c r="K945" s="1663"/>
      <c r="L945" s="1663"/>
      <c r="M945" s="1663"/>
      <c r="N945" s="1663"/>
      <c r="O945" s="1663"/>
      <c r="P945" s="1663"/>
      <c r="Q945" s="1663"/>
      <c r="R945" s="1663"/>
      <c r="S945" s="1663"/>
      <c r="T945" s="1664"/>
      <c r="U945" s="1377" t="s">
        <v>591</v>
      </c>
      <c r="V945" s="1378"/>
      <c r="W945" s="1378"/>
      <c r="X945" s="1378"/>
      <c r="Y945" s="1378"/>
      <c r="Z945" s="1379"/>
      <c r="AA945" s="1422"/>
      <c r="AB945" s="1423"/>
      <c r="AC945" s="1423"/>
      <c r="AD945" s="1423"/>
      <c r="AE945" s="1423"/>
      <c r="AF945" s="1424"/>
      <c r="AZ945" s="30"/>
      <c r="BA945" s="14"/>
    </row>
    <row r="946" spans="6:55" ht="12.9" customHeight="1">
      <c r="F946" s="1662" t="s">
        <v>2158</v>
      </c>
      <c r="G946" s="1663"/>
      <c r="H946" s="1663"/>
      <c r="I946" s="1663"/>
      <c r="J946" s="1663"/>
      <c r="K946" s="1663"/>
      <c r="L946" s="1663"/>
      <c r="M946" s="1663"/>
      <c r="N946" s="1663"/>
      <c r="O946" s="1663"/>
      <c r="P946" s="1663"/>
      <c r="Q946" s="1663"/>
      <c r="R946" s="1663"/>
      <c r="S946" s="1663"/>
      <c r="T946" s="1664"/>
      <c r="U946" s="1377" t="s">
        <v>591</v>
      </c>
      <c r="V946" s="1378"/>
      <c r="W946" s="1378"/>
      <c r="X946" s="1378"/>
      <c r="Y946" s="1378"/>
      <c r="Z946" s="1379"/>
      <c r="AA946" s="1422"/>
      <c r="AB946" s="1423"/>
      <c r="AC946" s="1423"/>
      <c r="AD946" s="1423"/>
      <c r="AE946" s="1423"/>
      <c r="AF946" s="1424"/>
      <c r="AZ946" s="30"/>
      <c r="BA946" s="30"/>
    </row>
    <row r="947" spans="6:55" ht="12.9" customHeight="1">
      <c r="F947" s="1562" t="s">
        <v>2154</v>
      </c>
      <c r="G947" s="1563"/>
      <c r="H947" s="1563"/>
      <c r="I947" s="1563"/>
      <c r="J947" s="1563"/>
      <c r="K947" s="1563"/>
      <c r="L947" s="1563"/>
      <c r="M947" s="1563"/>
      <c r="N947" s="1563"/>
      <c r="O947" s="1563"/>
      <c r="P947" s="1563"/>
      <c r="Q947" s="1563"/>
      <c r="R947" s="1563"/>
      <c r="S947" s="1563"/>
      <c r="T947" s="1564"/>
      <c r="U947" s="1377" t="s">
        <v>591</v>
      </c>
      <c r="V947" s="1378"/>
      <c r="W947" s="1378"/>
      <c r="X947" s="1378"/>
      <c r="Y947" s="1378"/>
      <c r="Z947" s="1379"/>
      <c r="AA947" s="1422"/>
      <c r="AB947" s="1423"/>
      <c r="AC947" s="1423"/>
      <c r="AD947" s="1423"/>
      <c r="AE947" s="1423"/>
      <c r="AF947" s="1424"/>
      <c r="AZ947" s="30"/>
      <c r="BA947" s="30"/>
    </row>
    <row r="948" spans="6:55" ht="12.9" customHeight="1">
      <c r="F948" s="1562" t="s">
        <v>2155</v>
      </c>
      <c r="G948" s="1563"/>
      <c r="H948" s="1563"/>
      <c r="I948" s="1563"/>
      <c r="J948" s="1563"/>
      <c r="K948" s="1563"/>
      <c r="L948" s="1563"/>
      <c r="M948" s="1563"/>
      <c r="N948" s="1563"/>
      <c r="O948" s="1563"/>
      <c r="P948" s="1563"/>
      <c r="Q948" s="1563"/>
      <c r="R948" s="1563"/>
      <c r="S948" s="1563"/>
      <c r="T948" s="1564"/>
      <c r="U948" s="1377" t="s">
        <v>591</v>
      </c>
      <c r="V948" s="1378"/>
      <c r="W948" s="1378"/>
      <c r="X948" s="1378"/>
      <c r="Y948" s="1378"/>
      <c r="Z948" s="1379"/>
      <c r="AA948" s="1422"/>
      <c r="AB948" s="1423"/>
      <c r="AC948" s="1423"/>
      <c r="AD948" s="1423"/>
      <c r="AE948" s="1423"/>
      <c r="AF948" s="1424"/>
      <c r="AZ948" s="30"/>
      <c r="BA948" s="30"/>
    </row>
    <row r="949" spans="6:55" ht="12.9" customHeight="1">
      <c r="F949" s="1562" t="s">
        <v>2156</v>
      </c>
      <c r="G949" s="1563"/>
      <c r="H949" s="1563"/>
      <c r="I949" s="1563"/>
      <c r="J949" s="1563"/>
      <c r="K949" s="1563"/>
      <c r="L949" s="1563"/>
      <c r="M949" s="1563"/>
      <c r="N949" s="1563"/>
      <c r="O949" s="1563"/>
      <c r="P949" s="1563"/>
      <c r="Q949" s="1563"/>
      <c r="R949" s="1563"/>
      <c r="S949" s="1563"/>
      <c r="T949" s="1564"/>
      <c r="U949" s="1377" t="s">
        <v>591</v>
      </c>
      <c r="V949" s="1378"/>
      <c r="W949" s="1378"/>
      <c r="X949" s="1378"/>
      <c r="Y949" s="1378"/>
      <c r="Z949" s="1379"/>
      <c r="AA949" s="1422"/>
      <c r="AB949" s="1423"/>
      <c r="AC949" s="1423"/>
      <c r="AD949" s="1423"/>
      <c r="AE949" s="1423"/>
      <c r="AF949" s="1424"/>
      <c r="AZ949" s="34"/>
      <c r="BA949" s="34"/>
      <c r="BB949" s="14"/>
      <c r="BC949" s="14"/>
    </row>
    <row r="950" spans="6:55" ht="12.9" customHeight="1">
      <c r="F950" s="121" t="s">
        <v>1261</v>
      </c>
      <c r="G950" s="5"/>
      <c r="H950" s="5"/>
      <c r="I950" s="5"/>
      <c r="J950" s="5"/>
      <c r="K950" s="5"/>
      <c r="L950" s="5"/>
      <c r="M950" s="5"/>
      <c r="N950" s="5"/>
      <c r="O950" s="5"/>
      <c r="P950" s="5"/>
      <c r="Q950" s="5"/>
      <c r="R950" s="5"/>
      <c r="S950" s="5"/>
      <c r="T950" s="46"/>
      <c r="U950" s="1377" t="s">
        <v>591</v>
      </c>
      <c r="V950" s="1378"/>
      <c r="W950" s="1378"/>
      <c r="X950" s="1378"/>
      <c r="Y950" s="1378"/>
      <c r="Z950" s="1379"/>
      <c r="AA950" s="1422"/>
      <c r="AB950" s="1423"/>
      <c r="AC950" s="1423"/>
      <c r="AD950" s="1423"/>
      <c r="AE950" s="1423"/>
      <c r="AF950" s="1424"/>
      <c r="AZ950" s="34"/>
      <c r="BA950" s="34"/>
      <c r="BB950" s="14"/>
      <c r="BC950" s="14"/>
    </row>
    <row r="951" spans="6:55" ht="12.9" customHeight="1">
      <c r="F951" s="1662" t="s">
        <v>2159</v>
      </c>
      <c r="G951" s="1663"/>
      <c r="H951" s="1663"/>
      <c r="I951" s="1663"/>
      <c r="J951" s="1663"/>
      <c r="K951" s="1663"/>
      <c r="L951" s="1663"/>
      <c r="M951" s="1663"/>
      <c r="N951" s="1663"/>
      <c r="O951" s="1663"/>
      <c r="P951" s="1663"/>
      <c r="Q951" s="1663"/>
      <c r="R951" s="1663"/>
      <c r="S951" s="1663"/>
      <c r="T951" s="1664"/>
      <c r="U951" s="1377" t="s">
        <v>591</v>
      </c>
      <c r="V951" s="1378"/>
      <c r="W951" s="1378"/>
      <c r="X951" s="1378"/>
      <c r="Y951" s="1378"/>
      <c r="Z951" s="1379"/>
      <c r="AA951" s="1422"/>
      <c r="AB951" s="1423"/>
      <c r="AC951" s="1423"/>
      <c r="AD951" s="1423"/>
      <c r="AE951" s="1423"/>
      <c r="AF951" s="1424"/>
      <c r="AZ951" s="34"/>
      <c r="BA951" s="34"/>
      <c r="BB951" s="34"/>
      <c r="BC951" s="34"/>
    </row>
    <row r="952" spans="6:55" ht="12.9" customHeight="1">
      <c r="F952" s="121" t="s">
        <v>1262</v>
      </c>
      <c r="G952" s="5"/>
      <c r="H952" s="5"/>
      <c r="I952" s="5"/>
      <c r="J952" s="5"/>
      <c r="K952" s="5"/>
      <c r="L952" s="5"/>
      <c r="M952" s="5"/>
      <c r="N952" s="5"/>
      <c r="O952" s="5"/>
      <c r="P952" s="5"/>
      <c r="Q952" s="5"/>
      <c r="R952" s="5"/>
      <c r="S952" s="5"/>
      <c r="T952" s="46"/>
      <c r="U952" s="1377" t="s">
        <v>591</v>
      </c>
      <c r="V952" s="1378"/>
      <c r="W952" s="1378"/>
      <c r="X952" s="1378"/>
      <c r="Y952" s="1378"/>
      <c r="Z952" s="1379"/>
      <c r="AA952" s="1422"/>
      <c r="AB952" s="1423"/>
      <c r="AC952" s="1423"/>
      <c r="AD952" s="1423"/>
      <c r="AE952" s="1423"/>
      <c r="AF952" s="1424"/>
      <c r="AZ952" s="34"/>
      <c r="BA952" s="34"/>
      <c r="BB952" s="34"/>
      <c r="BC952" s="34"/>
    </row>
    <row r="953" spans="6:55" ht="12.9" customHeight="1">
      <c r="F953" s="1662" t="s">
        <v>2160</v>
      </c>
      <c r="G953" s="1663"/>
      <c r="H953" s="1663"/>
      <c r="I953" s="1663"/>
      <c r="J953" s="1663"/>
      <c r="K953" s="1663"/>
      <c r="L953" s="1663"/>
      <c r="M953" s="1663"/>
      <c r="N953" s="1663"/>
      <c r="O953" s="1663"/>
      <c r="P953" s="1663"/>
      <c r="Q953" s="1663"/>
      <c r="R953" s="1663"/>
      <c r="S953" s="1663"/>
      <c r="T953" s="1664"/>
      <c r="U953" s="1377" t="s">
        <v>591</v>
      </c>
      <c r="V953" s="1378"/>
      <c r="W953" s="1378"/>
      <c r="X953" s="1378"/>
      <c r="Y953" s="1378"/>
      <c r="Z953" s="1379"/>
      <c r="AA953" s="1422"/>
      <c r="AB953" s="1423"/>
      <c r="AC953" s="1423"/>
      <c r="AD953" s="1423"/>
      <c r="AE953" s="1423"/>
      <c r="AF953" s="1424"/>
      <c r="AZ953" s="34"/>
      <c r="BA953" s="34"/>
      <c r="BB953" s="34"/>
      <c r="BC953" s="34"/>
    </row>
    <row r="954" spans="6:55" ht="12.9" customHeight="1">
      <c r="F954" s="45" t="s">
        <v>806</v>
      </c>
      <c r="G954" s="5"/>
      <c r="H954" s="5"/>
      <c r="I954" s="5"/>
      <c r="J954" s="5"/>
      <c r="K954" s="5"/>
      <c r="L954" s="5"/>
      <c r="M954" s="5"/>
      <c r="N954" s="5"/>
      <c r="O954" s="5"/>
      <c r="P954" s="1377" t="s">
        <v>669</v>
      </c>
      <c r="Q954" s="1378"/>
      <c r="R954" s="1378"/>
      <c r="S954" s="1378"/>
      <c r="T954" s="1379"/>
      <c r="U954" s="1377" t="s">
        <v>591</v>
      </c>
      <c r="V954" s="1378"/>
      <c r="W954" s="1378"/>
      <c r="X954" s="1378"/>
      <c r="Y954" s="1378"/>
      <c r="Z954" s="1379"/>
      <c r="AA954" s="1422"/>
      <c r="AB954" s="1423"/>
      <c r="AC954" s="1423"/>
      <c r="AD954" s="1423"/>
      <c r="AE954" s="1423"/>
      <c r="AF954" s="1424"/>
      <c r="AZ954" s="34"/>
      <c r="BA954" s="34"/>
      <c r="BB954" s="34"/>
      <c r="BC954" s="34"/>
    </row>
    <row r="955" spans="6:55" ht="12.9" customHeight="1">
      <c r="F955" s="1562" t="s">
        <v>2147</v>
      </c>
      <c r="G955" s="1563"/>
      <c r="H955" s="1564"/>
      <c r="I955" s="1453" t="s">
        <v>2782</v>
      </c>
      <c r="J955" s="1454"/>
      <c r="K955" s="1454"/>
      <c r="L955" s="1454"/>
      <c r="M955" s="1454"/>
      <c r="N955" s="1454"/>
      <c r="O955" s="1454"/>
      <c r="P955" s="1454"/>
      <c r="Q955" s="1454"/>
      <c r="R955" s="1454"/>
      <c r="S955" s="1454"/>
      <c r="T955" s="1455"/>
      <c r="U955" s="1377" t="s">
        <v>545</v>
      </c>
      <c r="V955" s="1378"/>
      <c r="W955" s="1378"/>
      <c r="X955" s="1378"/>
      <c r="Y955" s="1378"/>
      <c r="Z955" s="1379"/>
      <c r="AA955" s="1422">
        <v>21053061</v>
      </c>
      <c r="AB955" s="1423"/>
      <c r="AC955" s="1423"/>
      <c r="AD955" s="1423"/>
      <c r="AE955" s="1423"/>
      <c r="AF955" s="1424"/>
      <c r="AZ955" s="34"/>
      <c r="BA955" s="34"/>
      <c r="BB955" s="34"/>
      <c r="BC955" s="34"/>
    </row>
    <row r="956" spans="6:55" ht="12.9" customHeight="1">
      <c r="F956" s="45" t="s">
        <v>86</v>
      </c>
      <c r="G956" s="48"/>
      <c r="H956" s="48"/>
      <c r="I956" s="1453" t="s">
        <v>2781</v>
      </c>
      <c r="J956" s="1454"/>
      <c r="K956" s="1454"/>
      <c r="L956" s="1454"/>
      <c r="M956" s="1454"/>
      <c r="N956" s="1454"/>
      <c r="O956" s="1454"/>
      <c r="P956" s="1454"/>
      <c r="Q956" s="1454"/>
      <c r="R956" s="1454"/>
      <c r="S956" s="1454"/>
      <c r="T956" s="1455"/>
      <c r="U956" s="1377" t="s">
        <v>545</v>
      </c>
      <c r="V956" s="1378"/>
      <c r="W956" s="1378"/>
      <c r="X956" s="1378"/>
      <c r="Y956" s="1378"/>
      <c r="Z956" s="1379"/>
      <c r="AA956" s="1422">
        <v>11340000</v>
      </c>
      <c r="AB956" s="1423"/>
      <c r="AC956" s="1423"/>
      <c r="AD956" s="1423"/>
      <c r="AE956" s="1423"/>
      <c r="AF956" s="1424"/>
      <c r="AZ956" s="34"/>
      <c r="BA956" s="34"/>
      <c r="BB956" s="34"/>
      <c r="BC956" s="34"/>
    </row>
    <row r="957" spans="6:55" ht="12.9" customHeight="1">
      <c r="F957" s="45" t="s">
        <v>10</v>
      </c>
      <c r="G957" s="48"/>
      <c r="H957" s="48"/>
      <c r="I957" s="1659" t="s">
        <v>334</v>
      </c>
      <c r="J957" s="1660"/>
      <c r="K957" s="1660"/>
      <c r="L957" s="1660"/>
      <c r="M957" s="1660"/>
      <c r="N957" s="1660"/>
      <c r="O957" s="1660"/>
      <c r="P957" s="1660"/>
      <c r="Q957" s="1660"/>
      <c r="R957" s="1660"/>
      <c r="S957" s="1660"/>
      <c r="T957" s="1661"/>
      <c r="U957" s="1377" t="s">
        <v>591</v>
      </c>
      <c r="V957" s="1378"/>
      <c r="W957" s="1378"/>
      <c r="X957" s="1378"/>
      <c r="Y957" s="1378"/>
      <c r="Z957" s="1379"/>
      <c r="AA957" s="1422"/>
      <c r="AB957" s="1423"/>
      <c r="AC957" s="1423"/>
      <c r="AD957" s="1423"/>
      <c r="AE957" s="1423"/>
      <c r="AF957" s="1424"/>
      <c r="AV957" s="2"/>
      <c r="AW957" s="2"/>
      <c r="AX957" s="2"/>
      <c r="AY957" s="2"/>
      <c r="AZ957" s="34"/>
      <c r="BA957" s="34"/>
      <c r="BB957" s="34"/>
      <c r="BC957" s="34"/>
    </row>
    <row r="958" spans="6:55" ht="12.9" customHeight="1">
      <c r="F958" s="47" t="s">
        <v>170</v>
      </c>
      <c r="G958" s="48"/>
      <c r="H958" s="48"/>
      <c r="I958" s="1453" t="s">
        <v>2780</v>
      </c>
      <c r="J958" s="1660"/>
      <c r="K958" s="1660"/>
      <c r="L958" s="1660"/>
      <c r="M958" s="1660"/>
      <c r="N958" s="1660"/>
      <c r="O958" s="1660"/>
      <c r="P958" s="1660"/>
      <c r="Q958" s="1660"/>
      <c r="R958" s="1660"/>
      <c r="S958" s="1660"/>
      <c r="T958" s="1661"/>
      <c r="U958" s="1377" t="s">
        <v>545</v>
      </c>
      <c r="V958" s="1378"/>
      <c r="W958" s="1378"/>
      <c r="X958" s="1378"/>
      <c r="Y958" s="1378"/>
      <c r="Z958" s="1379"/>
      <c r="AA958" s="1422">
        <v>1000000</v>
      </c>
      <c r="AB958" s="1423"/>
      <c r="AC958" s="1423"/>
      <c r="AD958" s="1423"/>
      <c r="AE958" s="1423"/>
      <c r="AF958" s="1424"/>
      <c r="AU958" s="2"/>
      <c r="AZ958" s="34"/>
      <c r="BA958" s="34"/>
      <c r="BB958" s="34"/>
      <c r="BC958" s="34"/>
    </row>
    <row r="959" spans="6:55" ht="12.9" customHeight="1">
      <c r="F959" s="47" t="s">
        <v>170</v>
      </c>
      <c r="G959" s="48"/>
      <c r="H959" s="48"/>
      <c r="I959" s="1659" t="s">
        <v>334</v>
      </c>
      <c r="J959" s="1660"/>
      <c r="K959" s="1660"/>
      <c r="L959" s="1660"/>
      <c r="M959" s="1660"/>
      <c r="N959" s="1660"/>
      <c r="O959" s="1660"/>
      <c r="P959" s="1660"/>
      <c r="Q959" s="1660"/>
      <c r="R959" s="1660"/>
      <c r="S959" s="1660"/>
      <c r="T959" s="1661"/>
      <c r="U959" s="1377" t="s">
        <v>591</v>
      </c>
      <c r="V959" s="1378"/>
      <c r="W959" s="1378"/>
      <c r="X959" s="1378"/>
      <c r="Y959" s="1378"/>
      <c r="Z959" s="1379"/>
      <c r="AA959" s="1422"/>
      <c r="AB959" s="1423"/>
      <c r="AC959" s="1423"/>
      <c r="AD959" s="1423"/>
      <c r="AE959" s="1423"/>
      <c r="AF959" s="1424"/>
      <c r="AU959" s="2"/>
      <c r="AZ959" s="34"/>
      <c r="BA959" s="34"/>
      <c r="BB959" s="34"/>
      <c r="BC959" s="34"/>
    </row>
    <row r="960" spans="6:55" ht="12.9" customHeight="1">
      <c r="AU960" s="2"/>
      <c r="AZ960" s="34"/>
      <c r="BA960" s="34"/>
      <c r="BB960" s="34"/>
      <c r="BC960" s="34"/>
    </row>
    <row r="961" spans="1:64" ht="12.9" customHeight="1">
      <c r="A961" s="2" t="s">
        <v>576</v>
      </c>
      <c r="C961" s="2" t="s">
        <v>751</v>
      </c>
      <c r="AZ961" s="34"/>
      <c r="BA961" s="34"/>
      <c r="BB961" s="34"/>
      <c r="BC961" s="34"/>
    </row>
    <row r="962" spans="1:64" ht="12.9"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56"/>
      <c r="N964" s="1657"/>
      <c r="O964" s="1657"/>
      <c r="P964" s="1657"/>
      <c r="Q964" s="1657"/>
      <c r="R964" s="1657"/>
      <c r="S964" s="1658"/>
      <c r="U964" s="66" t="s">
        <v>11</v>
      </c>
      <c r="V964" s="5"/>
      <c r="W964" s="5"/>
      <c r="X964" s="5"/>
      <c r="Y964" s="5"/>
      <c r="Z964" s="5"/>
      <c r="AA964" s="5"/>
      <c r="AB964" s="5"/>
      <c r="AC964" s="5"/>
      <c r="AD964" s="46"/>
      <c r="AE964" s="1656"/>
      <c r="AF964" s="1657"/>
      <c r="AG964" s="1657"/>
      <c r="AH964" s="1657"/>
      <c r="AI964" s="1657"/>
      <c r="AJ964" s="1657"/>
      <c r="AK964" s="1658"/>
      <c r="AZ964" s="34"/>
      <c r="BA964" s="34"/>
      <c r="BB964" s="34"/>
      <c r="BC964" s="34"/>
    </row>
    <row r="965" spans="1:64" ht="12.9" customHeight="1">
      <c r="C965" s="66" t="s">
        <v>12</v>
      </c>
      <c r="D965" s="5"/>
      <c r="E965" s="5"/>
      <c r="F965" s="5"/>
      <c r="G965" s="5"/>
      <c r="H965" s="5"/>
      <c r="I965" s="5"/>
      <c r="J965" s="5"/>
      <c r="K965" s="5"/>
      <c r="L965" s="46"/>
      <c r="M965" s="1383"/>
      <c r="N965" s="1384"/>
      <c r="O965" s="1384"/>
      <c r="P965" s="1384"/>
      <c r="Q965" s="1384"/>
      <c r="R965" s="1384"/>
      <c r="S965" s="1385"/>
      <c r="U965" s="66" t="s">
        <v>12</v>
      </c>
      <c r="V965" s="5"/>
      <c r="W965" s="5"/>
      <c r="X965" s="5"/>
      <c r="Y965" s="5"/>
      <c r="Z965" s="5"/>
      <c r="AA965" s="5"/>
      <c r="AB965" s="5"/>
      <c r="AC965" s="5"/>
      <c r="AD965" s="46"/>
      <c r="AE965" s="1383"/>
      <c r="AF965" s="1384"/>
      <c r="AG965" s="1384"/>
      <c r="AH965" s="1384"/>
      <c r="AI965" s="1384"/>
      <c r="AJ965" s="1384"/>
      <c r="AK965" s="1385"/>
      <c r="AZ965" s="34"/>
      <c r="BA965" s="34"/>
      <c r="BB965" s="34"/>
      <c r="BC965" s="34"/>
    </row>
    <row r="966" spans="1:64" ht="12.9" customHeight="1">
      <c r="C966" s="66" t="s">
        <v>880</v>
      </c>
      <c r="D966" s="5"/>
      <c r="E966" s="5"/>
      <c r="J966" s="1386" t="s">
        <v>307</v>
      </c>
      <c r="K966" s="1387"/>
      <c r="L966" s="1387"/>
      <c r="M966" s="1387"/>
      <c r="N966" s="1387"/>
      <c r="O966" s="1387"/>
      <c r="P966" s="1387"/>
      <c r="Q966" s="1387"/>
      <c r="R966" s="1387"/>
      <c r="S966" s="1388"/>
      <c r="U966" s="66" t="s">
        <v>880</v>
      </c>
      <c r="V966" s="5"/>
      <c r="W966" s="5"/>
      <c r="AB966" s="1386" t="s">
        <v>307</v>
      </c>
      <c r="AC966" s="1387"/>
      <c r="AD966" s="1387"/>
      <c r="AE966" s="1387"/>
      <c r="AF966" s="1387"/>
      <c r="AG966" s="1387"/>
      <c r="AH966" s="1387"/>
      <c r="AI966" s="1387"/>
      <c r="AJ966" s="1387"/>
      <c r="AK966" s="1388"/>
      <c r="AZ966" s="34"/>
      <c r="BA966" s="34"/>
      <c r="BB966" s="34"/>
      <c r="BC966" s="34"/>
    </row>
    <row r="967" spans="1:64" ht="12.9" customHeight="1">
      <c r="C967" s="66" t="s">
        <v>13</v>
      </c>
      <c r="D967" s="5"/>
      <c r="E967" s="5"/>
      <c r="F967" s="5"/>
      <c r="G967" s="5"/>
      <c r="H967" s="5"/>
      <c r="I967" s="5"/>
      <c r="J967" s="5"/>
      <c r="K967" s="5"/>
      <c r="L967" s="46"/>
      <c r="M967" s="1677"/>
      <c r="N967" s="1646"/>
      <c r="O967" s="1646"/>
      <c r="P967" s="1646"/>
      <c r="Q967" s="1646"/>
      <c r="R967" s="1646"/>
      <c r="S967" s="1647"/>
      <c r="U967" s="66" t="s">
        <v>13</v>
      </c>
      <c r="V967" s="5"/>
      <c r="W967" s="5"/>
      <c r="X967" s="5"/>
      <c r="Y967" s="5"/>
      <c r="Z967" s="5"/>
      <c r="AA967" s="5"/>
      <c r="AB967" s="5"/>
      <c r="AC967" s="5"/>
      <c r="AD967" s="46"/>
      <c r="AE967" s="1645"/>
      <c r="AF967" s="1646"/>
      <c r="AG967" s="1646"/>
      <c r="AH967" s="1646"/>
      <c r="AI967" s="1646"/>
      <c r="AJ967" s="1646"/>
      <c r="AK967" s="1647"/>
      <c r="AZ967" s="34"/>
      <c r="BA967" s="34"/>
      <c r="BB967" s="34"/>
      <c r="BC967" s="34"/>
    </row>
    <row r="968" spans="1:64" ht="12.9" customHeight="1">
      <c r="C968" s="66" t="s">
        <v>14</v>
      </c>
      <c r="D968" s="5"/>
      <c r="E968" s="5"/>
      <c r="F968" s="5"/>
      <c r="G968" s="5"/>
      <c r="H968" s="5"/>
      <c r="I968" s="5"/>
      <c r="J968" s="5"/>
      <c r="K968" s="5"/>
      <c r="L968" s="46"/>
      <c r="M968" s="1650"/>
      <c r="N968" s="1651"/>
      <c r="O968" s="1651"/>
      <c r="P968" s="1651"/>
      <c r="Q968" s="1651"/>
      <c r="R968" s="1651"/>
      <c r="S968" s="1652"/>
      <c r="U968" s="66" t="s">
        <v>14</v>
      </c>
      <c r="V968" s="5"/>
      <c r="W968" s="5"/>
      <c r="X968" s="5"/>
      <c r="Y968" s="5"/>
      <c r="Z968" s="5"/>
      <c r="AA968" s="5"/>
      <c r="AB968" s="5"/>
      <c r="AC968" s="5"/>
      <c r="AD968" s="46"/>
      <c r="AE968" s="1650"/>
      <c r="AF968" s="1651"/>
      <c r="AG968" s="1651"/>
      <c r="AH968" s="1651"/>
      <c r="AI968" s="1651"/>
      <c r="AJ968" s="1651"/>
      <c r="AK968" s="1652"/>
      <c r="AV968" s="2"/>
      <c r="AW968" s="2"/>
      <c r="AX968" s="2"/>
      <c r="AY968" s="2"/>
      <c r="AZ968" s="34"/>
      <c r="BA968" s="34"/>
      <c r="BB968" s="34"/>
      <c r="BC968" s="34"/>
    </row>
    <row r="969" spans="1:64" ht="12.9" customHeight="1">
      <c r="C969" s="66" t="s">
        <v>15</v>
      </c>
      <c r="D969" s="5"/>
      <c r="E969" s="5"/>
      <c r="F969" s="5"/>
      <c r="G969" s="5"/>
      <c r="H969" s="5"/>
      <c r="I969" s="5"/>
      <c r="J969" s="5"/>
      <c r="K969" s="5"/>
      <c r="L969" s="46"/>
      <c r="M969" s="1422"/>
      <c r="N969" s="1423"/>
      <c r="O969" s="1423"/>
      <c r="P969" s="1423"/>
      <c r="Q969" s="1423"/>
      <c r="R969" s="1423"/>
      <c r="S969" s="1424"/>
      <c r="U969" s="66" t="s">
        <v>15</v>
      </c>
      <c r="V969" s="5"/>
      <c r="W969" s="5"/>
      <c r="X969" s="5"/>
      <c r="Y969" s="5"/>
      <c r="Z969" s="5"/>
      <c r="AA969" s="5"/>
      <c r="AB969" s="5"/>
      <c r="AC969" s="5"/>
      <c r="AD969" s="46"/>
      <c r="AE969" s="1422"/>
      <c r="AF969" s="1423"/>
      <c r="AG969" s="1423"/>
      <c r="AH969" s="1423"/>
      <c r="AI969" s="1423"/>
      <c r="AJ969" s="1423"/>
      <c r="AK969" s="1424"/>
      <c r="AV969" s="2"/>
      <c r="AW969" s="2"/>
      <c r="AX969" s="2"/>
      <c r="AY969" s="2"/>
      <c r="AZ969" s="34"/>
      <c r="BA969" s="34"/>
      <c r="BB969" s="34"/>
      <c r="BC969" s="34"/>
    </row>
    <row r="970" spans="1:64" ht="12.9" customHeight="1">
      <c r="C970" s="66" t="s">
        <v>16</v>
      </c>
      <c r="D970" s="5"/>
      <c r="E970" s="5"/>
      <c r="F970" s="5"/>
      <c r="G970" s="5"/>
      <c r="H970" s="5"/>
      <c r="I970" s="5"/>
      <c r="J970" s="5"/>
      <c r="K970" s="5"/>
      <c r="L970" s="46"/>
      <c r="M970" s="1422"/>
      <c r="N970" s="1423"/>
      <c r="O970" s="1423"/>
      <c r="P970" s="1423"/>
      <c r="Q970" s="1423"/>
      <c r="R970" s="1423"/>
      <c r="S970" s="1424"/>
      <c r="U970" s="66" t="s">
        <v>16</v>
      </c>
      <c r="V970" s="5"/>
      <c r="W970" s="5"/>
      <c r="X970" s="5"/>
      <c r="Y970" s="5"/>
      <c r="Z970" s="5"/>
      <c r="AA970" s="5"/>
      <c r="AB970" s="5"/>
      <c r="AC970" s="5"/>
      <c r="AD970" s="46"/>
      <c r="AE970" s="1422"/>
      <c r="AF970" s="1423"/>
      <c r="AG970" s="1423"/>
      <c r="AH970" s="1423"/>
      <c r="AI970" s="1423"/>
      <c r="AJ970" s="1423"/>
      <c r="AK970" s="1424"/>
      <c r="AV970" s="2"/>
      <c r="AW970" s="2"/>
      <c r="AX970" s="2"/>
      <c r="AY970" s="2"/>
      <c r="AZ970" s="34"/>
      <c r="BB970" s="34"/>
      <c r="BC970" s="34"/>
    </row>
    <row r="971" spans="1:64" ht="12.9" customHeight="1">
      <c r="C971" s="121" t="s">
        <v>1650</v>
      </c>
      <c r="D971" s="5"/>
      <c r="E971" s="5"/>
      <c r="F971" s="5"/>
      <c r="G971" s="5"/>
      <c r="H971" s="5"/>
      <c r="I971" s="5"/>
      <c r="J971" s="5"/>
      <c r="K971" s="5"/>
      <c r="L971" s="46"/>
      <c r="M971" s="1419"/>
      <c r="N971" s="1420"/>
      <c r="O971" s="1420"/>
      <c r="P971" s="1420"/>
      <c r="Q971" s="1420"/>
      <c r="R971" s="1420"/>
      <c r="S971" s="1421"/>
      <c r="U971" s="121" t="s">
        <v>1650</v>
      </c>
      <c r="V971" s="5"/>
      <c r="W971" s="5"/>
      <c r="X971" s="5"/>
      <c r="Y971" s="5"/>
      <c r="Z971" s="5"/>
      <c r="AA971" s="5"/>
      <c r="AB971" s="5"/>
      <c r="AC971" s="5"/>
      <c r="AD971" s="46"/>
      <c r="AE971" s="1419"/>
      <c r="AF971" s="1420"/>
      <c r="AG971" s="1420"/>
      <c r="AH971" s="1420"/>
      <c r="AI971" s="1420"/>
      <c r="AJ971" s="1420"/>
      <c r="AK971" s="1421"/>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571</v>
      </c>
      <c r="G976" s="5"/>
      <c r="H976" s="5"/>
      <c r="I976" s="5"/>
      <c r="J976" s="5"/>
      <c r="K976" s="5"/>
      <c r="L976" s="46"/>
      <c r="M976" s="1380"/>
      <c r="N976" s="1381"/>
      <c r="O976" s="1381"/>
      <c r="P976" s="1381"/>
      <c r="Q976" s="1381"/>
      <c r="R976" s="1381"/>
      <c r="S976" s="1382"/>
      <c r="T976" s="66" t="s">
        <v>790</v>
      </c>
      <c r="U976" s="5"/>
      <c r="V976" s="5"/>
      <c r="W976" s="5"/>
      <c r="X976" s="5"/>
      <c r="Y976" s="5"/>
      <c r="Z976" s="46"/>
      <c r="AA976" s="1380"/>
      <c r="AB976" s="1381"/>
      <c r="AC976" s="1381"/>
      <c r="AD976" s="1381"/>
      <c r="AE976" s="1381"/>
      <c r="AF976" s="1381"/>
      <c r="AG976" s="13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572</v>
      </c>
      <c r="G977" s="5"/>
      <c r="H977" s="5"/>
      <c r="I977" s="5"/>
      <c r="J977" s="5"/>
      <c r="K977" s="5"/>
      <c r="L977" s="46"/>
      <c r="M977" s="1380"/>
      <c r="N977" s="1381"/>
      <c r="O977" s="1381"/>
      <c r="P977" s="1381"/>
      <c r="Q977" s="1381"/>
      <c r="R977" s="1381"/>
      <c r="S977" s="1382"/>
      <c r="T977" s="66" t="s">
        <v>789</v>
      </c>
      <c r="U977" s="5"/>
      <c r="V977" s="5"/>
      <c r="W977" s="5"/>
      <c r="X977" s="5"/>
      <c r="Y977" s="5"/>
      <c r="Z977" s="46"/>
      <c r="AA977" s="1380"/>
      <c r="AB977" s="1381"/>
      <c r="AC977" s="1381"/>
      <c r="AD977" s="1381"/>
      <c r="AE977" s="1381"/>
      <c r="AF977" s="1381"/>
      <c r="AG977" s="13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901</v>
      </c>
      <c r="G978" s="5"/>
      <c r="H978" s="5"/>
      <c r="I978" s="5"/>
      <c r="J978" s="5"/>
      <c r="K978" s="5"/>
      <c r="L978" s="46"/>
      <c r="M978" s="1665" t="s">
        <v>591</v>
      </c>
      <c r="N978" s="1666"/>
      <c r="O978" s="1666"/>
      <c r="P978" s="1666"/>
      <c r="Q978" s="1666"/>
      <c r="R978" s="1666"/>
      <c r="S978" s="1667"/>
      <c r="T978" s="45" t="s">
        <v>337</v>
      </c>
      <c r="U978" s="5"/>
      <c r="V978" s="5"/>
      <c r="W978" s="5"/>
      <c r="X978" s="5"/>
      <c r="Y978" s="5"/>
      <c r="Z978" s="46"/>
      <c r="AA978" s="1380"/>
      <c r="AB978" s="1381"/>
      <c r="AC978" s="1381"/>
      <c r="AD978" s="1381"/>
      <c r="AE978" s="1381"/>
      <c r="AF978" s="1381"/>
      <c r="AG978" s="13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573</v>
      </c>
      <c r="G979" s="5"/>
      <c r="H979" s="5"/>
      <c r="I979" s="5"/>
      <c r="J979" s="5"/>
      <c r="K979" s="5"/>
      <c r="L979" s="46"/>
      <c r="M979" s="1380"/>
      <c r="N979" s="1381"/>
      <c r="O979" s="1381"/>
      <c r="P979" s="1381"/>
      <c r="Q979" s="1381"/>
      <c r="R979" s="1381"/>
      <c r="S979" s="1382"/>
      <c r="T979" s="45" t="s">
        <v>338</v>
      </c>
      <c r="U979" s="5"/>
      <c r="V979" s="5"/>
      <c r="W979" s="5"/>
      <c r="X979" s="5"/>
      <c r="Y979" s="5"/>
      <c r="Z979" s="46"/>
      <c r="AA979" s="1380"/>
      <c r="AB979" s="1381"/>
      <c r="AC979" s="1381"/>
      <c r="AD979" s="1381"/>
      <c r="AE979" s="1381"/>
      <c r="AF979" s="1381"/>
      <c r="AG979" s="13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464</v>
      </c>
      <c r="G980" s="5"/>
      <c r="H980" s="5"/>
      <c r="I980" s="5"/>
      <c r="J980" s="5"/>
      <c r="K980" s="5"/>
      <c r="L980" s="46"/>
      <c r="M980" s="1380"/>
      <c r="N980" s="1381"/>
      <c r="O980" s="1381"/>
      <c r="P980" s="1381"/>
      <c r="Q980" s="1381"/>
      <c r="R980" s="1381"/>
      <c r="S980" s="1382"/>
      <c r="T980" s="45" t="s">
        <v>376</v>
      </c>
      <c r="U980" s="5"/>
      <c r="V980" s="5"/>
      <c r="W980" s="5"/>
      <c r="X980" s="5"/>
      <c r="Y980" s="5"/>
      <c r="Z980" s="46"/>
      <c r="AA980" s="1380"/>
      <c r="AB980" s="1381"/>
      <c r="AC980" s="1381"/>
      <c r="AD980" s="1381"/>
      <c r="AE980" s="1381"/>
      <c r="AF980" s="1381"/>
      <c r="AG980" s="13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880</v>
      </c>
      <c r="G981" s="42"/>
      <c r="H981" s="42"/>
      <c r="I981" s="42"/>
      <c r="J981" s="42"/>
      <c r="K981" s="42"/>
      <c r="L981" s="58"/>
      <c r="M981" s="1386" t="s">
        <v>307</v>
      </c>
      <c r="N981" s="1387"/>
      <c r="O981" s="1387"/>
      <c r="P981" s="1387"/>
      <c r="Q981" s="1387"/>
      <c r="R981" s="1387"/>
      <c r="S981" s="1388"/>
      <c r="T981" s="1390"/>
      <c r="U981" s="1391"/>
      <c r="V981" s="1391"/>
      <c r="W981" s="1391"/>
      <c r="X981" s="1391"/>
      <c r="Y981" s="1391"/>
      <c r="Z981" s="1392"/>
      <c r="AA981" s="1380"/>
      <c r="AB981" s="1381"/>
      <c r="AC981" s="1381"/>
      <c r="AD981" s="1381"/>
      <c r="AE981" s="1381"/>
      <c r="AF981" s="1381"/>
      <c r="AG981" s="13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465</v>
      </c>
      <c r="G982" s="42"/>
      <c r="H982" s="42"/>
      <c r="I982" s="42"/>
      <c r="J982" s="42"/>
      <c r="K982" s="42"/>
      <c r="L982" s="58"/>
      <c r="M982" s="1380"/>
      <c r="N982" s="1381"/>
      <c r="O982" s="1381"/>
      <c r="P982" s="1381"/>
      <c r="Q982" s="1381"/>
      <c r="R982" s="1381"/>
      <c r="S982" s="1382"/>
      <c r="T982" s="1390"/>
      <c r="U982" s="1391"/>
      <c r="V982" s="1391"/>
      <c r="W982" s="1391"/>
      <c r="X982" s="1391"/>
      <c r="Y982" s="1391"/>
      <c r="Z982" s="1392"/>
      <c r="AA982" s="1380"/>
      <c r="AB982" s="1381"/>
      <c r="AC982" s="1381"/>
      <c r="AD982" s="1381"/>
      <c r="AE982" s="1381"/>
      <c r="AF982" s="1381"/>
      <c r="AG982" s="13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336</v>
      </c>
      <c r="G983" s="42"/>
      <c r="H983" s="42"/>
      <c r="I983" s="42"/>
      <c r="J983" s="42"/>
      <c r="K983" s="42"/>
      <c r="L983" s="42"/>
      <c r="M983" s="42"/>
      <c r="N983" s="42"/>
      <c r="O983" s="1568" t="s">
        <v>669</v>
      </c>
      <c r="P983" s="1569"/>
      <c r="Q983" s="92"/>
      <c r="R983" s="92"/>
      <c r="S983" s="93"/>
      <c r="T983" s="41" t="s">
        <v>170</v>
      </c>
      <c r="U983" s="42"/>
      <c r="V983" s="42"/>
      <c r="W983" s="1587" t="s">
        <v>334</v>
      </c>
      <c r="X983" s="1588"/>
      <c r="Y983" s="1588"/>
      <c r="Z983" s="1588"/>
      <c r="AA983" s="1588"/>
      <c r="AB983" s="1588"/>
      <c r="AC983" s="1588"/>
      <c r="AD983" s="1588"/>
      <c r="AE983" s="1588"/>
      <c r="AF983" s="1588"/>
      <c r="AG983" s="1589"/>
      <c r="AU983" s="68"/>
      <c r="AV983" s="95"/>
      <c r="AW983" s="95"/>
      <c r="AX983" s="95"/>
      <c r="AY983" s="95"/>
      <c r="AZ983" s="34"/>
      <c r="BB983" s="34"/>
      <c r="BC983" s="34"/>
      <c r="BD983" s="34"/>
      <c r="BE983" s="34"/>
      <c r="BF983" s="34"/>
      <c r="BG983" s="34"/>
      <c r="BH983" s="34"/>
      <c r="BI983" s="34"/>
      <c r="BJ983" s="34"/>
      <c r="BK983" s="34"/>
      <c r="BL983" s="34"/>
    </row>
    <row r="984" spans="1:64" ht="12.9" customHeight="1">
      <c r="F984" s="1635" t="s">
        <v>33</v>
      </c>
      <c r="G984" s="1471"/>
      <c r="H984" s="1471"/>
      <c r="I984" s="1471"/>
      <c r="J984" s="1471"/>
      <c r="K984" s="1471"/>
      <c r="L984" s="1471"/>
      <c r="M984" s="1380"/>
      <c r="N984" s="1381"/>
      <c r="O984" s="1381"/>
      <c r="P984" s="1381"/>
      <c r="Q984" s="1381"/>
      <c r="R984" s="1381"/>
      <c r="S984" s="1382"/>
      <c r="T984" s="47"/>
      <c r="U984" s="48"/>
      <c r="V984" s="48"/>
      <c r="W984" s="48"/>
      <c r="X984" s="48"/>
      <c r="Y984" s="48"/>
      <c r="Z984" s="124" t="s">
        <v>134</v>
      </c>
      <c r="AA984" s="1618"/>
      <c r="AB984" s="1619"/>
      <c r="AC984" s="1619"/>
      <c r="AD984" s="1619"/>
      <c r="AE984" s="1619"/>
      <c r="AF984" s="1619"/>
      <c r="AG984" s="1620"/>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75"/>
      <c r="BH985" s="1675"/>
      <c r="BI985" s="1675"/>
      <c r="BJ985" s="1675"/>
      <c r="BK985" s="1675"/>
      <c r="BL985" s="1675"/>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493" t="s">
        <v>548</v>
      </c>
      <c r="B988" s="1493"/>
      <c r="C988" s="1493"/>
      <c r="D988" s="1493"/>
      <c r="E988" s="1493"/>
      <c r="F988" s="1493"/>
      <c r="G988" s="1493"/>
      <c r="H988" s="1493"/>
      <c r="I988" s="1493"/>
      <c r="J988" s="1493"/>
      <c r="K988" s="1493"/>
      <c r="L988" s="1493"/>
      <c r="M988" s="1493"/>
      <c r="N988" s="1493"/>
      <c r="O988" s="1493"/>
      <c r="P988" s="1493"/>
      <c r="Q988" s="1493"/>
      <c r="R988" s="1493"/>
      <c r="S988" s="1493"/>
      <c r="T988" s="1493"/>
      <c r="U988" s="1493"/>
      <c r="V988" s="1493"/>
      <c r="W988" s="1493"/>
      <c r="X988" s="1493"/>
      <c r="Y988" s="1493"/>
      <c r="Z988" s="1493"/>
      <c r="AA988" s="1493"/>
      <c r="AB988" s="1493"/>
      <c r="AC988" s="1493"/>
      <c r="AD988" s="1493"/>
      <c r="AE988" s="1493"/>
      <c r="AF988" s="1493"/>
      <c r="AG988" s="1493"/>
      <c r="AH988" s="1493"/>
      <c r="AI988" s="1493"/>
      <c r="AJ988" s="1493"/>
      <c r="AK988" s="1493"/>
      <c r="AL988" s="1493"/>
      <c r="AM988" s="1493"/>
      <c r="AN988" s="1493"/>
      <c r="AO988" s="1493"/>
      <c r="AP988" s="1493"/>
      <c r="AQ988" s="1493"/>
      <c r="AR988" s="1493"/>
      <c r="AS988" s="1493"/>
      <c r="AT988" s="1493"/>
      <c r="AU988" s="68"/>
      <c r="AV988" s="68"/>
      <c r="AW988" s="68"/>
      <c r="AX988" s="68"/>
      <c r="AY988" s="68"/>
      <c r="AZ988" s="14"/>
      <c r="BA988" s="14"/>
      <c r="BB988" s="908"/>
      <c r="BC988" s="908"/>
    </row>
    <row r="989" spans="1:64" ht="12.9" customHeight="1">
      <c r="A989" s="1493"/>
      <c r="B989" s="1493"/>
      <c r="C989" s="1493"/>
      <c r="D989" s="1493"/>
      <c r="E989" s="1493"/>
      <c r="F989" s="1493"/>
      <c r="G989" s="1493"/>
      <c r="H989" s="1493"/>
      <c r="I989" s="1493"/>
      <c r="J989" s="1493"/>
      <c r="K989" s="1493"/>
      <c r="L989" s="1493"/>
      <c r="M989" s="1493"/>
      <c r="N989" s="1493"/>
      <c r="O989" s="1493"/>
      <c r="P989" s="1493"/>
      <c r="Q989" s="1493"/>
      <c r="R989" s="1493"/>
      <c r="S989" s="1493"/>
      <c r="T989" s="1493"/>
      <c r="U989" s="1493"/>
      <c r="V989" s="1493"/>
      <c r="W989" s="1493"/>
      <c r="X989" s="1493"/>
      <c r="Y989" s="1493"/>
      <c r="Z989" s="1493"/>
      <c r="AA989" s="1493"/>
      <c r="AB989" s="1493"/>
      <c r="AC989" s="1493"/>
      <c r="AD989" s="1493"/>
      <c r="AE989" s="1493"/>
      <c r="AF989" s="1493"/>
      <c r="AG989" s="1493"/>
      <c r="AH989" s="1493"/>
      <c r="AI989" s="1493"/>
      <c r="AJ989" s="1493"/>
      <c r="AK989" s="1493"/>
      <c r="AL989" s="1493"/>
      <c r="AM989" s="1493"/>
      <c r="AN989" s="1493"/>
      <c r="AO989" s="1493"/>
      <c r="AP989" s="1493"/>
      <c r="AQ989" s="1493"/>
      <c r="AR989" s="1493"/>
      <c r="AS989" s="1493"/>
      <c r="AT989" s="1493"/>
      <c r="AU989" s="68"/>
      <c r="AV989" s="68"/>
      <c r="AW989" s="68"/>
      <c r="AX989" s="68"/>
      <c r="AY989" s="68"/>
      <c r="AZ989" s="30"/>
      <c r="BA989" s="14"/>
      <c r="BB989" s="14"/>
      <c r="BC989" s="14"/>
    </row>
    <row r="990" spans="1:64" ht="12.9" customHeight="1">
      <c r="A990" s="1493"/>
      <c r="B990" s="1493"/>
      <c r="C990" s="1493"/>
      <c r="D990" s="1493"/>
      <c r="E990" s="1493"/>
      <c r="F990" s="1493"/>
      <c r="G990" s="1493"/>
      <c r="H990" s="1493"/>
      <c r="I990" s="1493"/>
      <c r="J990" s="1493"/>
      <c r="K990" s="1493"/>
      <c r="L990" s="1493"/>
      <c r="M990" s="1493"/>
      <c r="N990" s="1493"/>
      <c r="O990" s="1493"/>
      <c r="P990" s="1493"/>
      <c r="Q990" s="1493"/>
      <c r="R990" s="1493"/>
      <c r="S990" s="1493"/>
      <c r="T990" s="1493"/>
      <c r="U990" s="1493"/>
      <c r="V990" s="1493"/>
      <c r="W990" s="1493"/>
      <c r="X990" s="1493"/>
      <c r="Y990" s="1493"/>
      <c r="Z990" s="1493"/>
      <c r="AA990" s="1493"/>
      <c r="AB990" s="1493"/>
      <c r="AC990" s="1493"/>
      <c r="AD990" s="1493"/>
      <c r="AE990" s="1493"/>
      <c r="AF990" s="1493"/>
      <c r="AG990" s="1493"/>
      <c r="AH990" s="1493"/>
      <c r="AI990" s="1493"/>
      <c r="AJ990" s="1493"/>
      <c r="AK990" s="1493"/>
      <c r="AL990" s="1493"/>
      <c r="AM990" s="1493"/>
      <c r="AN990" s="1493"/>
      <c r="AO990" s="1493"/>
      <c r="AP990" s="1493"/>
      <c r="AQ990" s="1493"/>
      <c r="AR990" s="1493"/>
      <c r="AS990" s="1493"/>
      <c r="AT990" s="1493"/>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440" t="s">
        <v>638</v>
      </c>
      <c r="E994" s="1441"/>
      <c r="F994" s="1441"/>
      <c r="G994" s="1441"/>
      <c r="H994" s="1441"/>
      <c r="I994" s="1441"/>
      <c r="J994" s="1441"/>
      <c r="K994" s="1441"/>
      <c r="L994" s="1441"/>
      <c r="M994" s="1441"/>
      <c r="N994" s="1441"/>
      <c r="O994" s="1441"/>
      <c r="P994" s="1441"/>
      <c r="Q994" s="1442"/>
      <c r="R994" s="1440" t="s">
        <v>639</v>
      </c>
      <c r="S994" s="1441"/>
      <c r="T994" s="1441"/>
      <c r="U994" s="1441"/>
      <c r="V994" s="1441"/>
      <c r="W994" s="1441"/>
      <c r="X994" s="1441"/>
      <c r="Y994" s="1441"/>
      <c r="Z994" s="1441"/>
      <c r="AA994" s="1442"/>
      <c r="AB994" s="1440" t="s">
        <v>640</v>
      </c>
      <c r="AC994" s="1441"/>
      <c r="AD994" s="1441"/>
      <c r="AE994" s="1441"/>
      <c r="AF994" s="1441"/>
      <c r="AG994" s="1441"/>
      <c r="AH994" s="1441"/>
      <c r="AI994" s="1442"/>
      <c r="AJ994" s="1440" t="s">
        <v>641</v>
      </c>
      <c r="AK994" s="1441"/>
      <c r="AL994" s="1441"/>
      <c r="AM994" s="1441"/>
      <c r="AN994" s="1441"/>
      <c r="AO994" s="1441"/>
      <c r="AP994" s="1441"/>
      <c r="AQ994" s="1442"/>
      <c r="AR994" s="68"/>
      <c r="AS994" s="68"/>
      <c r="AT994" s="68"/>
      <c r="AU994" s="68"/>
      <c r="AV994" s="68"/>
      <c r="AW994" s="68"/>
      <c r="AX994" s="68"/>
      <c r="AY994" s="68"/>
      <c r="AZ994" s="30"/>
      <c r="BB994" s="14"/>
      <c r="BC994" s="14"/>
    </row>
    <row r="995" spans="1:55" ht="12.9" customHeight="1">
      <c r="A995" s="14"/>
      <c r="B995" s="73"/>
      <c r="C995" s="925"/>
      <c r="D995" s="1396" t="s">
        <v>633</v>
      </c>
      <c r="E995" s="1397"/>
      <c r="F995" s="1397"/>
      <c r="G995" s="1397"/>
      <c r="H995" s="1397"/>
      <c r="I995" s="1397"/>
      <c r="J995" s="1397"/>
      <c r="K995" s="1397"/>
      <c r="L995" s="1397"/>
      <c r="M995" s="1397"/>
      <c r="N995" s="1397"/>
      <c r="O995" s="1397"/>
      <c r="P995" s="1397"/>
      <c r="Q995" s="1398"/>
      <c r="R995" s="1399">
        <f>IF(ISNA(IF($CU$122="4%",(INDEX($CS$160:$CW$217,MATCH($DG$122,$CR$160:$CR$217,0),MATCH(D995,$CS$159:$CW$159,0))),(INDEX($CZ$160:$DD$217,MATCH($DG$122,$CY$160:$CY$217,0),MATCH(D995,$CZ$159:$DD$159,0))))),0,IF($CU$122="4%",(INDEX($CS$160:$CW$217,MATCH($DG$122,$CR$160:$CR$217,0),MATCH(D995,$CS$159:$CW$159,0))),(INDEX($CZ$160:$DD$217,MATCH($DG$122,$CY$160:$CY$217,0),MATCH(D995,$CZ$159:$DD$159,0)))))</f>
        <v>532060</v>
      </c>
      <c r="S995" s="1399"/>
      <c r="T995" s="1399"/>
      <c r="U995" s="1399"/>
      <c r="V995" s="1399"/>
      <c r="W995" s="1399"/>
      <c r="X995" s="1399"/>
      <c r="Y995" s="1399"/>
      <c r="Z995" s="1399"/>
      <c r="AA995" s="1399"/>
      <c r="AB995" s="1393">
        <f>CP810</f>
        <v>0</v>
      </c>
      <c r="AC995" s="1394"/>
      <c r="AD995" s="1394"/>
      <c r="AE995" s="1394"/>
      <c r="AF995" s="1394"/>
      <c r="AG995" s="1394"/>
      <c r="AH995" s="1394"/>
      <c r="AI995" s="1395"/>
      <c r="AJ995" s="1400">
        <f>IF(ISERROR((R995*AB995)),0,(R995*AB995))</f>
        <v>0</v>
      </c>
      <c r="AK995" s="1401"/>
      <c r="AL995" s="1401"/>
      <c r="AM995" s="1401"/>
      <c r="AN995" s="1401"/>
      <c r="AO995" s="1401"/>
      <c r="AP995" s="1401"/>
      <c r="AQ995" s="1402"/>
      <c r="AR995" s="68"/>
      <c r="AS995" s="68"/>
      <c r="AT995" s="68"/>
      <c r="AU995" s="68"/>
      <c r="AV995" s="68"/>
      <c r="AW995" s="68"/>
      <c r="AX995" s="68"/>
      <c r="AY995" s="68"/>
      <c r="AZ995" s="30"/>
      <c r="BB995" s="14"/>
      <c r="BC995" s="14"/>
    </row>
    <row r="996" spans="1:55" ht="12.9" customHeight="1">
      <c r="A996" s="14"/>
      <c r="B996" s="73"/>
      <c r="C996" s="83"/>
      <c r="D996" s="1396" t="s">
        <v>325</v>
      </c>
      <c r="E996" s="1397"/>
      <c r="F996" s="1397"/>
      <c r="G996" s="1397"/>
      <c r="H996" s="1397"/>
      <c r="I996" s="1397"/>
      <c r="J996" s="1397"/>
      <c r="K996" s="1397"/>
      <c r="L996" s="1397"/>
      <c r="M996" s="1397"/>
      <c r="N996" s="1397"/>
      <c r="O996" s="1397"/>
      <c r="P996" s="1397"/>
      <c r="Q996" s="1398"/>
      <c r="R996" s="1399">
        <f>IF(ISNA(IF($CU$122="4%",(INDEX($CS$160:$CW$217,MATCH($DG$122,$CR$160:$CR$217,0),MATCH(D996,$CS$159:$CW$159,0))),(INDEX($CZ$160:$DD$217,MATCH($DG$122,$CY$160:$CY$217,0),MATCH(D996,$CZ$159:$DD$159,0))))),0,IF($CU$122="4%",(INDEX($CS$160:$CW$217,MATCH($DG$122,$CR$160:$CR$217,0),MATCH(D996,$CS$159:$CW$159,0))),(INDEX($CZ$160:$DD$217,MATCH($DG$122,$CY$160:$CY$217,0),MATCH(D996,$CZ$159:$DD$159,0)))))</f>
        <v>613460</v>
      </c>
      <c r="S996" s="1399"/>
      <c r="T996" s="1399"/>
      <c r="U996" s="1399"/>
      <c r="V996" s="1399"/>
      <c r="W996" s="1399"/>
      <c r="X996" s="1399"/>
      <c r="Y996" s="1399"/>
      <c r="Z996" s="1399"/>
      <c r="AA996" s="1399"/>
      <c r="AB996" s="1393">
        <f>CU810</f>
        <v>21</v>
      </c>
      <c r="AC996" s="1394"/>
      <c r="AD996" s="1394"/>
      <c r="AE996" s="1394"/>
      <c r="AF996" s="1394"/>
      <c r="AG996" s="1394"/>
      <c r="AH996" s="1394"/>
      <c r="AI996" s="1395"/>
      <c r="AJ996" s="1400">
        <f>IF(ISERROR((R996*AB996)),0,(R996*AB996))</f>
        <v>12882660</v>
      </c>
      <c r="AK996" s="1401"/>
      <c r="AL996" s="1401"/>
      <c r="AM996" s="1401"/>
      <c r="AN996" s="1401"/>
      <c r="AO996" s="1401"/>
      <c r="AP996" s="1401"/>
      <c r="AQ996" s="1402"/>
      <c r="AR996" s="68"/>
      <c r="AS996" s="68"/>
      <c r="AT996" s="68"/>
      <c r="AU996" s="68"/>
      <c r="AV996" s="68"/>
      <c r="AW996" s="68"/>
      <c r="AX996" s="68"/>
      <c r="AY996" s="68"/>
      <c r="AZ996" s="30"/>
      <c r="BB996" s="14"/>
      <c r="BC996" s="14"/>
    </row>
    <row r="997" spans="1:55" ht="12.9" customHeight="1">
      <c r="A997" s="14"/>
      <c r="B997" s="73"/>
      <c r="C997" s="83"/>
      <c r="D997" s="1396" t="s">
        <v>163</v>
      </c>
      <c r="E997" s="1397"/>
      <c r="F997" s="1397"/>
      <c r="G997" s="1397"/>
      <c r="H997" s="1397"/>
      <c r="I997" s="1397"/>
      <c r="J997" s="1397"/>
      <c r="K997" s="1397"/>
      <c r="L997" s="1397"/>
      <c r="M997" s="1397"/>
      <c r="N997" s="1397"/>
      <c r="O997" s="1397"/>
      <c r="P997" s="1397"/>
      <c r="Q997" s="1398"/>
      <c r="R997" s="1399">
        <f>IF(ISNA(IF($CU$122="4%",(INDEX($CS$160:$CW$217,MATCH($DG$122,$CR$160:$CR$217,0),MATCH(D997,$CS$159:$CW$159,0))),(INDEX($CZ$160:$DD$217,MATCH($DG$122,$CY$160:$CY$217,0),MATCH(D997,$CZ$159:$DD$159,0))))),0,IF($CU$122="4%",(INDEX($CS$160:$CW$217,MATCH($DG$122,$CR$160:$CR$217,0),MATCH(D997,$CS$159:$CW$159,0))),(INDEX($CZ$160:$DD$217,MATCH($DG$122,$CY$160:$CY$217,0),MATCH(D997,$CZ$159:$DD$159,0)))))</f>
        <v>740000</v>
      </c>
      <c r="S997" s="1399"/>
      <c r="T997" s="1399"/>
      <c r="U997" s="1399"/>
      <c r="V997" s="1399"/>
      <c r="W997" s="1399"/>
      <c r="X997" s="1399"/>
      <c r="Y997" s="1399"/>
      <c r="Z997" s="1399"/>
      <c r="AA997" s="1399"/>
      <c r="AB997" s="1393">
        <f>CZ810</f>
        <v>21</v>
      </c>
      <c r="AC997" s="1394"/>
      <c r="AD997" s="1394"/>
      <c r="AE997" s="1394"/>
      <c r="AF997" s="1394"/>
      <c r="AG997" s="1394"/>
      <c r="AH997" s="1394"/>
      <c r="AI997" s="1395"/>
      <c r="AJ997" s="1400">
        <f>IF(ISERROR((R997*AB997)),0,(R997*AB997))</f>
        <v>15540000</v>
      </c>
      <c r="AK997" s="1401"/>
      <c r="AL997" s="1401"/>
      <c r="AM997" s="1401"/>
      <c r="AN997" s="1401"/>
      <c r="AO997" s="1401"/>
      <c r="AP997" s="1401"/>
      <c r="AQ997" s="1402"/>
      <c r="AR997" s="68"/>
      <c r="AS997" s="68"/>
      <c r="AT997" s="68"/>
      <c r="AU997" s="68"/>
      <c r="AV997" s="68"/>
      <c r="AW997" s="68"/>
      <c r="AX997" s="68"/>
      <c r="AY997" s="68"/>
      <c r="AZ997" s="30"/>
      <c r="BB997" s="14"/>
      <c r="BC997" s="14"/>
    </row>
    <row r="998" spans="1:55" ht="12.9" customHeight="1">
      <c r="A998" s="14"/>
      <c r="B998" s="73"/>
      <c r="C998" s="83"/>
      <c r="D998" s="1396" t="s">
        <v>164</v>
      </c>
      <c r="E998" s="1397"/>
      <c r="F998" s="1397"/>
      <c r="G998" s="1397"/>
      <c r="H998" s="1397"/>
      <c r="I998" s="1397"/>
      <c r="J998" s="1397"/>
      <c r="K998" s="1397"/>
      <c r="L998" s="1397"/>
      <c r="M998" s="1397"/>
      <c r="N998" s="1397"/>
      <c r="O998" s="1397"/>
      <c r="P998" s="1397"/>
      <c r="Q998" s="1398"/>
      <c r="R998" s="1399">
        <f>IF(ISNA(IF($CU$122="4%",(INDEX($CS$160:$CW$217,MATCH($DG$122,$CR$160:$CR$217,0),MATCH(D998,$CS$159:$CW$159,0))),(INDEX($CZ$160:$DD$217,MATCH($DG$122,$CY$160:$CY$217,0),MATCH(D998,$CZ$159:$DD$159,0))))),0,IF($CU$122="4%",(INDEX($CS$160:$CW$217,MATCH($DG$122,$CR$160:$CR$217,0),MATCH(D998,$CS$159:$CW$159,0))),(INDEX($CZ$160:$DD$217,MATCH($DG$122,$CY$160:$CY$217,0),MATCH(D998,$CZ$159:$DD$159,0)))))</f>
        <v>947200</v>
      </c>
      <c r="S998" s="1399"/>
      <c r="T998" s="1399"/>
      <c r="U998" s="1399"/>
      <c r="V998" s="1399"/>
      <c r="W998" s="1399"/>
      <c r="X998" s="1399"/>
      <c r="Y998" s="1399"/>
      <c r="Z998" s="1399"/>
      <c r="AA998" s="1399"/>
      <c r="AB998" s="1393">
        <f>DE810</f>
        <v>21</v>
      </c>
      <c r="AC998" s="1394"/>
      <c r="AD998" s="1394"/>
      <c r="AE998" s="1394"/>
      <c r="AF998" s="1394"/>
      <c r="AG998" s="1394"/>
      <c r="AH998" s="1394"/>
      <c r="AI998" s="1395"/>
      <c r="AJ998" s="1400">
        <f>IF(ISERROR((R998*AB998)),0,(R998*AB998))</f>
        <v>19891200</v>
      </c>
      <c r="AK998" s="1401"/>
      <c r="AL998" s="1401"/>
      <c r="AM998" s="1401"/>
      <c r="AN998" s="1401"/>
      <c r="AO998" s="1401"/>
      <c r="AP998" s="1401"/>
      <c r="AQ998" s="1402"/>
      <c r="AR998" s="68"/>
      <c r="AS998" s="68"/>
      <c r="AT998" s="68"/>
      <c r="AU998" s="68"/>
      <c r="AV998" s="68"/>
      <c r="AW998" s="68"/>
      <c r="AX998" s="68"/>
      <c r="AY998" s="68"/>
      <c r="AZ998" s="30"/>
      <c r="BA998" s="34"/>
      <c r="BB998" s="14"/>
      <c r="BC998" s="14"/>
    </row>
    <row r="999" spans="1:55" ht="12.9" customHeight="1">
      <c r="A999" s="14"/>
      <c r="B999" s="47"/>
      <c r="C999" s="78"/>
      <c r="D999" s="1396" t="s">
        <v>460</v>
      </c>
      <c r="E999" s="1397"/>
      <c r="F999" s="1397"/>
      <c r="G999" s="1397"/>
      <c r="H999" s="1397"/>
      <c r="I999" s="1397"/>
      <c r="J999" s="1397"/>
      <c r="K999" s="1397"/>
      <c r="L999" s="1397"/>
      <c r="M999" s="1397"/>
      <c r="N999" s="1397"/>
      <c r="O999" s="1397"/>
      <c r="P999" s="1397"/>
      <c r="Q999" s="1398"/>
      <c r="R999" s="1399">
        <f>IF(ISNA(IF($CU$122="4%",(INDEX($CS$160:$CW$217,MATCH($DG$122,$CR$160:$CR$217,0),MATCH(D999,$CS$159:$CW$159,0))),(INDEX($CZ$160:$DD$217,MATCH($DG$122,$CY$160:$CY$217,0),MATCH(D999,$CZ$159:$DD$159,0))))),0,IF($CU$122="4%",(INDEX($CS$160:$CW$217,MATCH($DG$122,$CR$160:$CR$217,0),MATCH(D999,$CS$159:$CW$159,0))),(INDEX($CZ$160:$DD$217,MATCH($DG$122,$CY$160:$CY$217,0),MATCH(D999,$CZ$159:$DD$159,0)))))</f>
        <v>1055240</v>
      </c>
      <c r="S999" s="1399"/>
      <c r="T999" s="1399"/>
      <c r="U999" s="1399"/>
      <c r="V999" s="1399"/>
      <c r="W999" s="1399"/>
      <c r="X999" s="1399"/>
      <c r="Y999" s="1399"/>
      <c r="Z999" s="1399"/>
      <c r="AA999" s="1399"/>
      <c r="AB999" s="1393">
        <f>DO810+DJ810</f>
        <v>0</v>
      </c>
      <c r="AC999" s="1394"/>
      <c r="AD999" s="1394"/>
      <c r="AE999" s="1394"/>
      <c r="AF999" s="1394"/>
      <c r="AG999" s="1394"/>
      <c r="AH999" s="1394"/>
      <c r="AI999" s="1395"/>
      <c r="AJ999" s="1400">
        <f>IF(ISERROR((R999*AB999)),0,(R999*AB999))</f>
        <v>0</v>
      </c>
      <c r="AK999" s="1401"/>
      <c r="AL999" s="1401"/>
      <c r="AM999" s="1401"/>
      <c r="AN999" s="1401"/>
      <c r="AO999" s="1401"/>
      <c r="AP999" s="1401"/>
      <c r="AQ999" s="1402"/>
      <c r="AR999" s="68"/>
      <c r="AS999" s="68"/>
      <c r="AT999" s="68"/>
      <c r="AU999" s="68"/>
      <c r="AV999" s="68"/>
      <c r="AW999" s="68"/>
      <c r="AX999" s="68"/>
      <c r="AY999" s="68"/>
      <c r="AZ999" s="30"/>
      <c r="BB999" s="14"/>
      <c r="BC999" s="14"/>
    </row>
    <row r="1000" spans="1:55" ht="12.9" customHeight="1">
      <c r="A1000" s="14"/>
      <c r="B1000" s="1639" t="s">
        <v>791</v>
      </c>
      <c r="C1000" s="1640"/>
      <c r="D1000" s="1640"/>
      <c r="E1000" s="1640"/>
      <c r="F1000" s="1640"/>
      <c r="G1000" s="1640"/>
      <c r="H1000" s="1640"/>
      <c r="I1000" s="1640"/>
      <c r="J1000" s="1640"/>
      <c r="K1000" s="1640"/>
      <c r="L1000" s="1640"/>
      <c r="M1000" s="1640"/>
      <c r="N1000" s="1640"/>
      <c r="O1000" s="1640"/>
      <c r="P1000" s="1640"/>
      <c r="Q1000" s="1640"/>
      <c r="R1000" s="1640"/>
      <c r="S1000" s="1640"/>
      <c r="T1000" s="1640"/>
      <c r="U1000" s="1640"/>
      <c r="V1000" s="1640"/>
      <c r="W1000" s="1640"/>
      <c r="X1000" s="1640"/>
      <c r="Y1000" s="1640"/>
      <c r="Z1000" s="1640"/>
      <c r="AA1000" s="1641"/>
      <c r="AB1000" s="1393">
        <f>SUM(AB995:AI999)</f>
        <v>63</v>
      </c>
      <c r="AC1000" s="1394"/>
      <c r="AD1000" s="1394"/>
      <c r="AE1000" s="1394"/>
      <c r="AF1000" s="1394"/>
      <c r="AG1000" s="1394"/>
      <c r="AH1000" s="1394"/>
      <c r="AI1000" s="1395"/>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14"/>
      <c r="BC1000" s="14"/>
    </row>
    <row r="1001" spans="1:55" ht="12.9" customHeight="1">
      <c r="A1001" s="14"/>
      <c r="B1001" s="1636" t="s">
        <v>512</v>
      </c>
      <c r="C1001" s="1637"/>
      <c r="D1001" s="1637"/>
      <c r="E1001" s="1637"/>
      <c r="F1001" s="1637"/>
      <c r="G1001" s="1637"/>
      <c r="H1001" s="1637"/>
      <c r="I1001" s="1637"/>
      <c r="J1001" s="1637"/>
      <c r="K1001" s="1637"/>
      <c r="L1001" s="1637"/>
      <c r="M1001" s="1637"/>
      <c r="N1001" s="1637"/>
      <c r="O1001" s="1637"/>
      <c r="P1001" s="1637"/>
      <c r="Q1001" s="1637"/>
      <c r="R1001" s="1637"/>
      <c r="S1001" s="1637"/>
      <c r="T1001" s="1637"/>
      <c r="U1001" s="1637"/>
      <c r="V1001" s="1637"/>
      <c r="W1001" s="1637"/>
      <c r="X1001" s="1637"/>
      <c r="Y1001" s="1637"/>
      <c r="Z1001" s="1637"/>
      <c r="AA1001" s="1637"/>
      <c r="AB1001" s="1637"/>
      <c r="AC1001" s="1637"/>
      <c r="AD1001" s="1637"/>
      <c r="AE1001" s="1637"/>
      <c r="AF1001" s="1637"/>
      <c r="AG1001" s="1637"/>
      <c r="AH1001" s="1637"/>
      <c r="AI1001" s="1638"/>
      <c r="AJ1001" s="1400">
        <f>SUM(AJ995:AQ999)</f>
        <v>48313860</v>
      </c>
      <c r="AK1001" s="1401"/>
      <c r="AL1001" s="1401"/>
      <c r="AM1001" s="1401"/>
      <c r="AN1001" s="1401"/>
      <c r="AO1001" s="1401"/>
      <c r="AP1001" s="1401"/>
      <c r="AQ1001" s="1402"/>
      <c r="AR1001" s="68"/>
      <c r="AS1001" s="68"/>
      <c r="AT1001" s="68"/>
      <c r="AU1001" s="68"/>
      <c r="AV1001" s="68"/>
      <c r="AW1001" s="68"/>
      <c r="AX1001" s="68"/>
      <c r="AY1001" s="68"/>
      <c r="AZ1001" s="34"/>
      <c r="BB1001" s="34"/>
      <c r="BC1001" s="34"/>
    </row>
    <row r="1002" spans="1:55" ht="12.9" customHeight="1">
      <c r="A1002" s="14"/>
      <c r="B1002" s="1406"/>
      <c r="C1002" s="1407"/>
      <c r="D1002" s="1407"/>
      <c r="E1002" s="1407"/>
      <c r="F1002" s="1407"/>
      <c r="G1002" s="1407"/>
      <c r="H1002" s="1407"/>
      <c r="I1002" s="1407"/>
      <c r="J1002" s="1407"/>
      <c r="K1002" s="1407"/>
      <c r="L1002" s="1407"/>
      <c r="M1002" s="1407"/>
      <c r="N1002" s="1407"/>
      <c r="O1002" s="1407"/>
      <c r="P1002" s="1407"/>
      <c r="Q1002" s="1407"/>
      <c r="R1002" s="1407"/>
      <c r="S1002" s="1407"/>
      <c r="T1002" s="1407"/>
      <c r="U1002" s="1407"/>
      <c r="V1002" s="1407"/>
      <c r="W1002" s="1407"/>
      <c r="X1002" s="1407"/>
      <c r="Y1002" s="1407"/>
      <c r="Z1002" s="1407"/>
      <c r="AA1002" s="1407"/>
      <c r="AB1002" s="1407"/>
      <c r="AC1002" s="1407"/>
      <c r="AD1002" s="1407"/>
      <c r="AE1002" s="1408"/>
      <c r="AF1002" s="1621" t="s">
        <v>666</v>
      </c>
      <c r="AG1002" s="1622"/>
      <c r="AH1002" s="1622"/>
      <c r="AI1002" s="1623"/>
      <c r="AJ1002" s="1406"/>
      <c r="AK1002" s="1407"/>
      <c r="AL1002" s="1407"/>
      <c r="AM1002" s="1407"/>
      <c r="AN1002" s="1407"/>
      <c r="AO1002" s="1407"/>
      <c r="AP1002" s="1407"/>
      <c r="AQ1002" s="1408"/>
      <c r="AR1002" s="68"/>
      <c r="AS1002" s="68"/>
      <c r="AT1002" s="68"/>
      <c r="AU1002" s="68"/>
      <c r="AV1002" s="68"/>
      <c r="AW1002" s="68"/>
      <c r="AX1002" s="68"/>
      <c r="AY1002" s="68"/>
      <c r="AZ1002" s="34"/>
      <c r="BA1002" s="34"/>
      <c r="BB1002" s="34"/>
      <c r="BC1002" s="34"/>
    </row>
    <row r="1003" spans="1:55" ht="12.9" customHeight="1">
      <c r="A1003" s="14"/>
      <c r="B1003" s="73"/>
      <c r="C1003" s="923" t="s">
        <v>668</v>
      </c>
      <c r="D1003" s="1590" t="s">
        <v>1220</v>
      </c>
      <c r="E1003" s="1591"/>
      <c r="F1003" s="1591"/>
      <c r="G1003" s="1591"/>
      <c r="H1003" s="1591"/>
      <c r="I1003" s="1591"/>
      <c r="J1003" s="1591"/>
      <c r="K1003" s="1591"/>
      <c r="L1003" s="1591"/>
      <c r="M1003" s="1591"/>
      <c r="N1003" s="1591"/>
      <c r="O1003" s="1591"/>
      <c r="P1003" s="1591"/>
      <c r="Q1003" s="1591"/>
      <c r="R1003" s="1591"/>
      <c r="S1003" s="1591"/>
      <c r="T1003" s="1591"/>
      <c r="U1003" s="1591"/>
      <c r="V1003" s="1591"/>
      <c r="W1003" s="1591"/>
      <c r="X1003" s="1591"/>
      <c r="Y1003" s="1591"/>
      <c r="Z1003" s="1591"/>
      <c r="AA1003" s="1591"/>
      <c r="AB1003" s="1591"/>
      <c r="AC1003" s="1591"/>
      <c r="AD1003" s="1591"/>
      <c r="AE1003" s="1592"/>
      <c r="AF1003" s="79"/>
      <c r="AG1003" s="1624" t="s">
        <v>545</v>
      </c>
      <c r="AH1003" s="1625"/>
      <c r="AI1003" s="87"/>
      <c r="AJ1003" s="1368">
        <f>ROUND(IF(AND(AG1003="yes",D1009&gt;0),AJ1001*0.2,0),0)</f>
        <v>9662772</v>
      </c>
      <c r="AK1003" s="1369"/>
      <c r="AL1003" s="1369"/>
      <c r="AM1003" s="1369"/>
      <c r="AN1003" s="1369"/>
      <c r="AO1003" s="1369"/>
      <c r="AP1003" s="1369"/>
      <c r="AQ1003" s="1370"/>
      <c r="AR1003" s="68"/>
      <c r="AS1003" s="68"/>
      <c r="AT1003" s="68"/>
      <c r="AU1003" s="68"/>
      <c r="AV1003" s="68"/>
      <c r="AW1003" s="68"/>
      <c r="AX1003" s="68"/>
      <c r="AY1003" s="68"/>
      <c r="AZ1003" s="34"/>
      <c r="BA1003" s="34"/>
      <c r="BB1003" s="34"/>
      <c r="BC1003" s="34"/>
    </row>
    <row r="1004" spans="1:55" ht="12.9" customHeight="1">
      <c r="A1004" s="14"/>
      <c r="B1004" s="257"/>
      <c r="C1004" s="256"/>
      <c r="D1004" s="1593" t="s">
        <v>2190</v>
      </c>
      <c r="E1004" s="1594"/>
      <c r="F1004" s="1594"/>
      <c r="G1004" s="1594"/>
      <c r="H1004" s="1594"/>
      <c r="I1004" s="1594"/>
      <c r="J1004" s="1594"/>
      <c r="K1004" s="1594"/>
      <c r="L1004" s="1594"/>
      <c r="M1004" s="1594"/>
      <c r="N1004" s="1594"/>
      <c r="O1004" s="1594"/>
      <c r="P1004" s="1594"/>
      <c r="Q1004" s="1594"/>
      <c r="R1004" s="1594"/>
      <c r="S1004" s="1594"/>
      <c r="T1004" s="1594"/>
      <c r="U1004" s="1594"/>
      <c r="V1004" s="1594"/>
      <c r="W1004" s="1594"/>
      <c r="X1004" s="1594"/>
      <c r="Y1004" s="1594"/>
      <c r="Z1004" s="1594"/>
      <c r="AA1004" s="1594"/>
      <c r="AB1004" s="1594"/>
      <c r="AC1004" s="1594"/>
      <c r="AD1004" s="1594"/>
      <c r="AE1004" s="1595"/>
      <c r="AF1004" s="73"/>
      <c r="AG1004" s="14"/>
      <c r="AH1004" s="14"/>
      <c r="AI1004" s="83"/>
      <c r="AJ1004" s="1371"/>
      <c r="AK1004" s="1372"/>
      <c r="AL1004" s="1372"/>
      <c r="AM1004" s="1372"/>
      <c r="AN1004" s="1372"/>
      <c r="AO1004" s="1372"/>
      <c r="AP1004" s="1372"/>
      <c r="AQ1004" s="1373"/>
      <c r="AR1004" s="68"/>
      <c r="AS1004" s="68"/>
      <c r="AT1004" s="68"/>
      <c r="AU1004" s="68"/>
      <c r="AV1004" s="68"/>
      <c r="AW1004" s="68"/>
      <c r="AX1004" s="68"/>
      <c r="AY1004" s="68"/>
      <c r="AZ1004" s="34"/>
      <c r="BA1004" s="34"/>
      <c r="BB1004" s="34"/>
      <c r="BC1004" s="34"/>
    </row>
    <row r="1005" spans="1:55" ht="12.9" customHeight="1">
      <c r="A1005" s="14"/>
      <c r="B1005" s="257"/>
      <c r="C1005" s="256"/>
      <c r="D1005" s="1593"/>
      <c r="E1005" s="1594"/>
      <c r="F1005" s="1594"/>
      <c r="G1005" s="1594"/>
      <c r="H1005" s="1594"/>
      <c r="I1005" s="1594"/>
      <c r="J1005" s="1594"/>
      <c r="K1005" s="1594"/>
      <c r="L1005" s="1594"/>
      <c r="M1005" s="1594"/>
      <c r="N1005" s="1594"/>
      <c r="O1005" s="1594"/>
      <c r="P1005" s="1594"/>
      <c r="Q1005" s="1594"/>
      <c r="R1005" s="1594"/>
      <c r="S1005" s="1594"/>
      <c r="T1005" s="1594"/>
      <c r="U1005" s="1594"/>
      <c r="V1005" s="1594"/>
      <c r="W1005" s="1594"/>
      <c r="X1005" s="1594"/>
      <c r="Y1005" s="1594"/>
      <c r="Z1005" s="1594"/>
      <c r="AA1005" s="1594"/>
      <c r="AB1005" s="1594"/>
      <c r="AC1005" s="1594"/>
      <c r="AD1005" s="1594"/>
      <c r="AE1005" s="1595"/>
      <c r="AF1005" s="73"/>
      <c r="AG1005" s="14"/>
      <c r="AH1005" s="14"/>
      <c r="AI1005" s="83"/>
      <c r="AJ1005" s="1371"/>
      <c r="AK1005" s="1372"/>
      <c r="AL1005" s="1372"/>
      <c r="AM1005" s="1372"/>
      <c r="AN1005" s="1372"/>
      <c r="AO1005" s="1372"/>
      <c r="AP1005" s="1372"/>
      <c r="AQ1005" s="1373"/>
      <c r="AR1005" s="68"/>
      <c r="AS1005" s="68"/>
      <c r="AT1005" s="68"/>
      <c r="AU1005" s="68"/>
      <c r="AV1005" s="68"/>
      <c r="AW1005" s="68"/>
      <c r="AX1005" s="68"/>
      <c r="AY1005" s="68"/>
      <c r="AZ1005" s="34"/>
      <c r="BA1005" s="34"/>
      <c r="BB1005" s="34"/>
      <c r="BC1005" s="34"/>
    </row>
    <row r="1006" spans="1:55" ht="12.9" customHeight="1">
      <c r="A1006" s="14"/>
      <c r="B1006" s="257"/>
      <c r="C1006" s="256"/>
      <c r="D1006" s="1593"/>
      <c r="E1006" s="1594"/>
      <c r="F1006" s="1594"/>
      <c r="G1006" s="1594"/>
      <c r="H1006" s="1594"/>
      <c r="I1006" s="1594"/>
      <c r="J1006" s="1594"/>
      <c r="K1006" s="1594"/>
      <c r="L1006" s="1594"/>
      <c r="M1006" s="1594"/>
      <c r="N1006" s="1594"/>
      <c r="O1006" s="1594"/>
      <c r="P1006" s="1594"/>
      <c r="Q1006" s="1594"/>
      <c r="R1006" s="1594"/>
      <c r="S1006" s="1594"/>
      <c r="T1006" s="1594"/>
      <c r="U1006" s="1594"/>
      <c r="V1006" s="1594"/>
      <c r="W1006" s="1594"/>
      <c r="X1006" s="1594"/>
      <c r="Y1006" s="1594"/>
      <c r="Z1006" s="1594"/>
      <c r="AA1006" s="1594"/>
      <c r="AB1006" s="1594"/>
      <c r="AC1006" s="1594"/>
      <c r="AD1006" s="1594"/>
      <c r="AE1006" s="1595"/>
      <c r="AF1006" s="73"/>
      <c r="AG1006" s="14"/>
      <c r="AH1006" s="14"/>
      <c r="AI1006" s="83"/>
      <c r="AJ1006" s="1371"/>
      <c r="AK1006" s="1372"/>
      <c r="AL1006" s="1372"/>
      <c r="AM1006" s="1372"/>
      <c r="AN1006" s="1372"/>
      <c r="AO1006" s="1372"/>
      <c r="AP1006" s="1372"/>
      <c r="AQ1006" s="1373"/>
      <c r="AR1006" s="68"/>
      <c r="AS1006" s="68"/>
      <c r="AT1006" s="68"/>
      <c r="AU1006" s="68"/>
      <c r="AV1006" s="68"/>
      <c r="AW1006" s="68"/>
      <c r="AX1006" s="68"/>
      <c r="AY1006" s="68"/>
      <c r="AZ1006" s="34"/>
      <c r="BA1006" s="34"/>
      <c r="BB1006" s="34"/>
      <c r="BC1006" s="34"/>
    </row>
    <row r="1007" spans="1:55" ht="12.9" customHeight="1">
      <c r="A1007" s="14"/>
      <c r="B1007" s="257"/>
      <c r="C1007" s="256"/>
      <c r="D1007" s="1593"/>
      <c r="E1007" s="1594"/>
      <c r="F1007" s="1594"/>
      <c r="G1007" s="1594"/>
      <c r="H1007" s="1594"/>
      <c r="I1007" s="1594"/>
      <c r="J1007" s="1594"/>
      <c r="K1007" s="1594"/>
      <c r="L1007" s="1594"/>
      <c r="M1007" s="1594"/>
      <c r="N1007" s="1594"/>
      <c r="O1007" s="1594"/>
      <c r="P1007" s="1594"/>
      <c r="Q1007" s="1594"/>
      <c r="R1007" s="1594"/>
      <c r="S1007" s="1594"/>
      <c r="T1007" s="1594"/>
      <c r="U1007" s="1594"/>
      <c r="V1007" s="1594"/>
      <c r="W1007" s="1594"/>
      <c r="X1007" s="1594"/>
      <c r="Y1007" s="1594"/>
      <c r="Z1007" s="1594"/>
      <c r="AA1007" s="1594"/>
      <c r="AB1007" s="1594"/>
      <c r="AC1007" s="1594"/>
      <c r="AD1007" s="1594"/>
      <c r="AE1007" s="1595"/>
      <c r="AF1007" s="73"/>
      <c r="AG1007" s="14"/>
      <c r="AH1007" s="14"/>
      <c r="AI1007" s="83"/>
      <c r="AJ1007" s="1371"/>
      <c r="AK1007" s="1372"/>
      <c r="AL1007" s="1372"/>
      <c r="AM1007" s="1372"/>
      <c r="AN1007" s="1372"/>
      <c r="AO1007" s="1372"/>
      <c r="AP1007" s="1372"/>
      <c r="AQ1007" s="1373"/>
      <c r="AR1007" s="68"/>
      <c r="AS1007" s="68"/>
      <c r="AT1007" s="68"/>
      <c r="AU1007" s="68"/>
      <c r="AV1007" s="68"/>
      <c r="AW1007" s="68"/>
      <c r="AX1007" s="68"/>
      <c r="AY1007" s="68"/>
      <c r="AZ1007" s="34"/>
      <c r="BA1007" s="34"/>
      <c r="BB1007" s="34"/>
      <c r="BC1007" s="34"/>
    </row>
    <row r="1008" spans="1:55" ht="12.9" customHeight="1">
      <c r="A1008" s="14"/>
      <c r="B1008" s="257"/>
      <c r="C1008" s="256"/>
      <c r="D1008" s="1596" t="s">
        <v>2161</v>
      </c>
      <c r="E1008" s="1597"/>
      <c r="F1008" s="1597"/>
      <c r="G1008" s="1597"/>
      <c r="H1008" s="1597"/>
      <c r="I1008" s="1597"/>
      <c r="J1008" s="1597"/>
      <c r="K1008" s="1597"/>
      <c r="L1008" s="1597"/>
      <c r="M1008" s="1597"/>
      <c r="N1008" s="1597"/>
      <c r="O1008" s="1597"/>
      <c r="P1008" s="1597"/>
      <c r="Q1008" s="1597"/>
      <c r="R1008" s="1597"/>
      <c r="S1008" s="1597"/>
      <c r="T1008" s="1597"/>
      <c r="U1008" s="1597"/>
      <c r="V1008" s="1597"/>
      <c r="W1008" s="1597"/>
      <c r="X1008" s="1597"/>
      <c r="Y1008" s="1597"/>
      <c r="Z1008" s="1597"/>
      <c r="AA1008" s="1597"/>
      <c r="AB1008" s="1597"/>
      <c r="AC1008" s="1597"/>
      <c r="AD1008" s="1597"/>
      <c r="AE1008" s="1598"/>
      <c r="AF1008" s="73"/>
      <c r="AG1008" s="14"/>
      <c r="AH1008" s="14"/>
      <c r="AI1008" s="83"/>
      <c r="AJ1008" s="1371"/>
      <c r="AK1008" s="1372"/>
      <c r="AL1008" s="1372"/>
      <c r="AM1008" s="1372"/>
      <c r="AN1008" s="1372"/>
      <c r="AO1008" s="1372"/>
      <c r="AP1008" s="1372"/>
      <c r="AQ1008" s="1373"/>
      <c r="AR1008" s="68"/>
      <c r="AS1008" s="68"/>
      <c r="AT1008" s="68"/>
      <c r="AU1008" s="68"/>
      <c r="AV1008" s="68"/>
      <c r="AW1008" s="68"/>
      <c r="AX1008" s="68"/>
      <c r="AY1008" s="68"/>
      <c r="AZ1008" s="34"/>
      <c r="BA1008" s="34"/>
      <c r="BB1008" s="34"/>
      <c r="BC1008" s="34"/>
    </row>
    <row r="1009" spans="1:55" ht="12.9" customHeight="1">
      <c r="A1009" s="14"/>
      <c r="B1009" s="257"/>
      <c r="C1009" s="256"/>
      <c r="D1009" s="1669" t="s">
        <v>2750</v>
      </c>
      <c r="E1009" s="1670"/>
      <c r="F1009" s="1670"/>
      <c r="G1009" s="1670"/>
      <c r="H1009" s="1670"/>
      <c r="I1009" s="1670"/>
      <c r="J1009" s="1670"/>
      <c r="K1009" s="1670"/>
      <c r="L1009" s="1670"/>
      <c r="M1009" s="1670"/>
      <c r="N1009" s="1670"/>
      <c r="O1009" s="1670"/>
      <c r="P1009" s="1670"/>
      <c r="Q1009" s="1670"/>
      <c r="R1009" s="1670"/>
      <c r="S1009" s="1670"/>
      <c r="T1009" s="1670"/>
      <c r="U1009" s="1670"/>
      <c r="V1009" s="1670"/>
      <c r="W1009" s="1670"/>
      <c r="X1009" s="1670"/>
      <c r="Y1009" s="1670"/>
      <c r="Z1009" s="1670"/>
      <c r="AA1009" s="1670"/>
      <c r="AB1009" s="1670"/>
      <c r="AC1009" s="1670"/>
      <c r="AD1009" s="1670"/>
      <c r="AE1009" s="1671"/>
      <c r="AF1009" s="77"/>
      <c r="AG1009" s="7"/>
      <c r="AH1009" s="7"/>
      <c r="AI1009" s="78"/>
      <c r="AJ1009" s="1374"/>
      <c r="AK1009" s="1375"/>
      <c r="AL1009" s="1375"/>
      <c r="AM1009" s="1375"/>
      <c r="AN1009" s="1375"/>
      <c r="AO1009" s="1375"/>
      <c r="AP1009" s="1375"/>
      <c r="AQ1009" s="1376"/>
      <c r="AR1009" s="68"/>
      <c r="AS1009" s="68"/>
      <c r="AT1009" s="68"/>
      <c r="AU1009" s="68"/>
      <c r="AV1009" s="68"/>
      <c r="AW1009" s="68"/>
      <c r="AX1009" s="68"/>
      <c r="AY1009" s="68"/>
      <c r="AZ1009" s="34"/>
      <c r="BA1009" s="34"/>
      <c r="BB1009" s="34"/>
      <c r="BC1009" s="34"/>
    </row>
    <row r="1010" spans="1:55" ht="12.9" customHeight="1">
      <c r="A1010" s="14"/>
      <c r="B1010" s="255"/>
      <c r="C1010" s="318"/>
      <c r="D1010" s="1573" t="s">
        <v>1286</v>
      </c>
      <c r="E1010" s="1574"/>
      <c r="F1010" s="1574"/>
      <c r="G1010" s="1574"/>
      <c r="H1010" s="1574"/>
      <c r="I1010" s="1574"/>
      <c r="J1010" s="1574"/>
      <c r="K1010" s="1574"/>
      <c r="L1010" s="1574"/>
      <c r="M1010" s="1574"/>
      <c r="N1010" s="1574"/>
      <c r="O1010" s="1574"/>
      <c r="P1010" s="1574"/>
      <c r="Q1010" s="1574"/>
      <c r="R1010" s="1574"/>
      <c r="S1010" s="1574"/>
      <c r="T1010" s="1574"/>
      <c r="U1010" s="1574"/>
      <c r="V1010" s="1574"/>
      <c r="W1010" s="1574"/>
      <c r="X1010" s="1574"/>
      <c r="Y1010" s="1574"/>
      <c r="Z1010" s="1574"/>
      <c r="AA1010" s="1574"/>
      <c r="AB1010" s="1574"/>
      <c r="AC1010" s="1574"/>
      <c r="AD1010" s="1574"/>
      <c r="AE1010" s="1575"/>
      <c r="AF1010" s="79"/>
      <c r="AG1010" s="1585" t="s">
        <v>669</v>
      </c>
      <c r="AH1010" s="1586"/>
      <c r="AI1010" s="87"/>
      <c r="AJ1010" s="1368">
        <f>ROUND(IF(AG1010="yes",AJ1001*0.05,0),0)</f>
        <v>0</v>
      </c>
      <c r="AK1010" s="1369"/>
      <c r="AL1010" s="1369"/>
      <c r="AM1010" s="1369"/>
      <c r="AN1010" s="1369"/>
      <c r="AO1010" s="1369"/>
      <c r="AP1010" s="1369"/>
      <c r="AQ1010" s="1370"/>
      <c r="AR1010" s="68"/>
      <c r="AS1010" s="68"/>
      <c r="AT1010" s="68"/>
      <c r="AU1010" s="68"/>
      <c r="AV1010" s="68"/>
      <c r="AW1010" s="68"/>
      <c r="AX1010" s="68"/>
      <c r="AY1010" s="68"/>
      <c r="AZ1010" s="34"/>
      <c r="BA1010" s="34"/>
      <c r="BB1010" s="34"/>
      <c r="BC1010" s="34"/>
    </row>
    <row r="1011" spans="1:55" ht="12.9" customHeight="1">
      <c r="A1011" s="14"/>
      <c r="B1011" s="257"/>
      <c r="C1011" s="82"/>
      <c r="D1011" s="1593" t="s">
        <v>1284</v>
      </c>
      <c r="E1011" s="1594"/>
      <c r="F1011" s="1594"/>
      <c r="G1011" s="1594"/>
      <c r="H1011" s="1594"/>
      <c r="I1011" s="1594"/>
      <c r="J1011" s="1594"/>
      <c r="K1011" s="1594"/>
      <c r="L1011" s="1594"/>
      <c r="M1011" s="1594"/>
      <c r="N1011" s="1594"/>
      <c r="O1011" s="1594"/>
      <c r="P1011" s="1594"/>
      <c r="Q1011" s="1594"/>
      <c r="R1011" s="1594"/>
      <c r="S1011" s="1594"/>
      <c r="T1011" s="1594"/>
      <c r="U1011" s="1594"/>
      <c r="V1011" s="1594"/>
      <c r="W1011" s="1594"/>
      <c r="X1011" s="1594"/>
      <c r="Y1011" s="1594"/>
      <c r="Z1011" s="1594"/>
      <c r="AA1011" s="1594"/>
      <c r="AB1011" s="1594"/>
      <c r="AC1011" s="1594"/>
      <c r="AD1011" s="1594"/>
      <c r="AE1011" s="1595"/>
      <c r="AF1011" s="73"/>
      <c r="AG1011" s="14"/>
      <c r="AH1011" s="14"/>
      <c r="AI1011" s="83"/>
      <c r="AJ1011" s="1371"/>
      <c r="AK1011" s="1372"/>
      <c r="AL1011" s="1372"/>
      <c r="AM1011" s="1372"/>
      <c r="AN1011" s="1372"/>
      <c r="AO1011" s="1372"/>
      <c r="AP1011" s="1372"/>
      <c r="AQ1011" s="1373"/>
      <c r="AR1011" s="68"/>
      <c r="AS1011" s="68"/>
      <c r="AT1011" s="68"/>
      <c r="AU1011" s="68"/>
      <c r="AV1011" s="68"/>
      <c r="AW1011" s="68"/>
      <c r="AX1011" s="68"/>
      <c r="AY1011" s="34"/>
      <c r="AZ1011" s="34"/>
      <c r="BB1011" s="34"/>
    </row>
    <row r="1012" spans="1:55" ht="12.9" customHeight="1">
      <c r="A1012" s="14"/>
      <c r="B1012" s="257"/>
      <c r="C1012" s="82"/>
      <c r="D1012" s="1593"/>
      <c r="E1012" s="1594"/>
      <c r="F1012" s="1594"/>
      <c r="G1012" s="1594"/>
      <c r="H1012" s="1594"/>
      <c r="I1012" s="1594"/>
      <c r="J1012" s="1594"/>
      <c r="K1012" s="1594"/>
      <c r="L1012" s="1594"/>
      <c r="M1012" s="1594"/>
      <c r="N1012" s="1594"/>
      <c r="O1012" s="1594"/>
      <c r="P1012" s="1594"/>
      <c r="Q1012" s="1594"/>
      <c r="R1012" s="1594"/>
      <c r="S1012" s="1594"/>
      <c r="T1012" s="1594"/>
      <c r="U1012" s="1594"/>
      <c r="V1012" s="1594"/>
      <c r="W1012" s="1594"/>
      <c r="X1012" s="1594"/>
      <c r="Y1012" s="1594"/>
      <c r="Z1012" s="1594"/>
      <c r="AA1012" s="1594"/>
      <c r="AB1012" s="1594"/>
      <c r="AC1012" s="1594"/>
      <c r="AD1012" s="1594"/>
      <c r="AE1012" s="1595"/>
      <c r="AF1012" s="73"/>
      <c r="AG1012" s="14"/>
      <c r="AH1012" s="14"/>
      <c r="AI1012" s="83"/>
      <c r="AJ1012" s="1371"/>
      <c r="AK1012" s="1372"/>
      <c r="AL1012" s="1372"/>
      <c r="AM1012" s="1372"/>
      <c r="AN1012" s="1372"/>
      <c r="AO1012" s="1372"/>
      <c r="AP1012" s="1372"/>
      <c r="AQ1012" s="1373"/>
      <c r="AR1012" s="68"/>
      <c r="AS1012" s="68"/>
      <c r="AT1012" s="68"/>
      <c r="AU1012" s="68"/>
      <c r="AV1012" s="68"/>
      <c r="AW1012" s="68"/>
      <c r="AX1012" s="68"/>
      <c r="AY1012" s="910">
        <f>G761+O805</f>
        <v>62</v>
      </c>
      <c r="AZ1012" s="34"/>
      <c r="BB1012" s="34"/>
    </row>
    <row r="1013" spans="1:55" ht="12.9" customHeight="1">
      <c r="A1013" s="14"/>
      <c r="B1013" s="257"/>
      <c r="C1013" s="82"/>
      <c r="D1013" s="1593"/>
      <c r="E1013" s="1594"/>
      <c r="F1013" s="1594"/>
      <c r="G1013" s="1594"/>
      <c r="H1013" s="1594"/>
      <c r="I1013" s="1594"/>
      <c r="J1013" s="1594"/>
      <c r="K1013" s="1594"/>
      <c r="L1013" s="1594"/>
      <c r="M1013" s="1594"/>
      <c r="N1013" s="1594"/>
      <c r="O1013" s="1594"/>
      <c r="P1013" s="1594"/>
      <c r="Q1013" s="1594"/>
      <c r="R1013" s="1594"/>
      <c r="S1013" s="1594"/>
      <c r="T1013" s="1594"/>
      <c r="U1013" s="1594"/>
      <c r="V1013" s="1594"/>
      <c r="W1013" s="1594"/>
      <c r="X1013" s="1594"/>
      <c r="Y1013" s="1594"/>
      <c r="Z1013" s="1594"/>
      <c r="AA1013" s="1594"/>
      <c r="AB1013" s="1594"/>
      <c r="AC1013" s="1594"/>
      <c r="AD1013" s="1594"/>
      <c r="AE1013" s="1595"/>
      <c r="AF1013" s="73"/>
      <c r="AG1013" s="14"/>
      <c r="AH1013" s="14"/>
      <c r="AI1013" s="83"/>
      <c r="AJ1013" s="1371"/>
      <c r="AK1013" s="1372"/>
      <c r="AL1013" s="1372"/>
      <c r="AM1013" s="1372"/>
      <c r="AN1013" s="1372"/>
      <c r="AO1013" s="1372"/>
      <c r="AP1013" s="1372"/>
      <c r="AQ1013" s="1373"/>
      <c r="AR1013" s="68"/>
      <c r="AS1013" s="68"/>
      <c r="AT1013" s="68"/>
      <c r="AU1013" s="68"/>
      <c r="AV1013" s="68"/>
      <c r="AW1013" s="68"/>
      <c r="AX1013" s="68"/>
      <c r="AY1013" s="14"/>
      <c r="AZ1013" s="34"/>
      <c r="BB1013" s="34"/>
    </row>
    <row r="1014" spans="1:55" ht="12.9" customHeight="1">
      <c r="A1014" s="14"/>
      <c r="B1014" s="257"/>
      <c r="C1014" s="82"/>
      <c r="D1014" s="1593"/>
      <c r="E1014" s="1594"/>
      <c r="F1014" s="1594"/>
      <c r="G1014" s="1594"/>
      <c r="H1014" s="1594"/>
      <c r="I1014" s="1594"/>
      <c r="J1014" s="1594"/>
      <c r="K1014" s="1594"/>
      <c r="L1014" s="1594"/>
      <c r="M1014" s="1594"/>
      <c r="N1014" s="1594"/>
      <c r="O1014" s="1594"/>
      <c r="P1014" s="1594"/>
      <c r="Q1014" s="1594"/>
      <c r="R1014" s="1594"/>
      <c r="S1014" s="1594"/>
      <c r="T1014" s="1594"/>
      <c r="U1014" s="1594"/>
      <c r="V1014" s="1594"/>
      <c r="W1014" s="1594"/>
      <c r="X1014" s="1594"/>
      <c r="Y1014" s="1594"/>
      <c r="Z1014" s="1594"/>
      <c r="AA1014" s="1594"/>
      <c r="AB1014" s="1594"/>
      <c r="AC1014" s="1594"/>
      <c r="AD1014" s="1594"/>
      <c r="AE1014" s="1595"/>
      <c r="AF1014" s="73"/>
      <c r="AG1014" s="14"/>
      <c r="AH1014" s="14"/>
      <c r="AI1014" s="83"/>
      <c r="AJ1014" s="1371"/>
      <c r="AK1014" s="1372"/>
      <c r="AL1014" s="1372"/>
      <c r="AM1014" s="1372"/>
      <c r="AN1014" s="1372"/>
      <c r="AO1014" s="1372"/>
      <c r="AP1014" s="1372"/>
      <c r="AQ1014" s="1373"/>
      <c r="AR1014" s="68"/>
      <c r="AS1014" s="68"/>
      <c r="AT1014" s="68"/>
      <c r="AU1014" s="68"/>
      <c r="AV1014" s="68"/>
      <c r="AW1014" s="68"/>
      <c r="AX1014" s="68"/>
      <c r="AY1014" s="909">
        <f>ROUNDDOWN(X1057/I1057,2)</f>
        <v>0.11</v>
      </c>
      <c r="AZ1014" s="34"/>
      <c r="BB1014" s="34"/>
    </row>
    <row r="1015" spans="1:55" ht="12.9" customHeight="1">
      <c r="A1015" s="14"/>
      <c r="B1015" s="75"/>
      <c r="C1015" s="76"/>
      <c r="D1015" s="1596"/>
      <c r="E1015" s="1597"/>
      <c r="F1015" s="1597"/>
      <c r="G1015" s="1597"/>
      <c r="H1015" s="1597"/>
      <c r="I1015" s="1597"/>
      <c r="J1015" s="1597"/>
      <c r="K1015" s="1597"/>
      <c r="L1015" s="1597"/>
      <c r="M1015" s="1597"/>
      <c r="N1015" s="1597"/>
      <c r="O1015" s="1597"/>
      <c r="P1015" s="1597"/>
      <c r="Q1015" s="1597"/>
      <c r="R1015" s="1597"/>
      <c r="S1015" s="1597"/>
      <c r="T1015" s="1597"/>
      <c r="U1015" s="1597"/>
      <c r="V1015" s="1597"/>
      <c r="W1015" s="1597"/>
      <c r="X1015" s="1597"/>
      <c r="Y1015" s="1597"/>
      <c r="Z1015" s="1597"/>
      <c r="AA1015" s="1597"/>
      <c r="AB1015" s="1597"/>
      <c r="AC1015" s="1597"/>
      <c r="AD1015" s="1597"/>
      <c r="AE1015" s="1598"/>
      <c r="AF1015" s="77"/>
      <c r="AG1015" s="7"/>
      <c r="AH1015" s="7"/>
      <c r="AI1015" s="78"/>
      <c r="AJ1015" s="1374"/>
      <c r="AK1015" s="1375"/>
      <c r="AL1015" s="1375"/>
      <c r="AM1015" s="1375"/>
      <c r="AN1015" s="1375"/>
      <c r="AO1015" s="1375"/>
      <c r="AP1015" s="1375"/>
      <c r="AQ1015" s="1376"/>
      <c r="AR1015" s="68"/>
      <c r="AS1015" s="68"/>
      <c r="AT1015" s="68"/>
      <c r="AU1015" s="68"/>
      <c r="AV1015" s="68"/>
      <c r="AW1015" s="68"/>
      <c r="AX1015" s="68"/>
      <c r="AY1015" s="909">
        <f>ROUNDDOWN(X1061/I1061,2)</f>
        <v>0.16</v>
      </c>
      <c r="AZ1015" s="34"/>
      <c r="BB1015" s="34"/>
    </row>
    <row r="1016" spans="1:55" ht="12.9" customHeight="1">
      <c r="A1016" s="14"/>
      <c r="B1016" s="255"/>
      <c r="C1016" s="80" t="s">
        <v>672</v>
      </c>
      <c r="D1016" s="1573" t="s">
        <v>1672</v>
      </c>
      <c r="E1016" s="1574"/>
      <c r="F1016" s="1574"/>
      <c r="G1016" s="1574"/>
      <c r="H1016" s="1574"/>
      <c r="I1016" s="1574"/>
      <c r="J1016" s="1574"/>
      <c r="K1016" s="1574"/>
      <c r="L1016" s="1574"/>
      <c r="M1016" s="1574"/>
      <c r="N1016" s="1574"/>
      <c r="O1016" s="1574"/>
      <c r="P1016" s="1574"/>
      <c r="Q1016" s="1574"/>
      <c r="R1016" s="1574"/>
      <c r="S1016" s="1574"/>
      <c r="T1016" s="1574"/>
      <c r="U1016" s="1574"/>
      <c r="V1016" s="1574"/>
      <c r="W1016" s="1574"/>
      <c r="X1016" s="1574"/>
      <c r="Y1016" s="1574"/>
      <c r="Z1016" s="1574"/>
      <c r="AA1016" s="1574"/>
      <c r="AB1016" s="1574"/>
      <c r="AC1016" s="1574"/>
      <c r="AD1016" s="1574"/>
      <c r="AE1016" s="1575"/>
      <c r="AF1016" s="86"/>
      <c r="AG1016" s="1585" t="s">
        <v>669</v>
      </c>
      <c r="AH1016" s="1586"/>
      <c r="AI1016" s="87"/>
      <c r="AJ1016" s="1368">
        <f>ROUND(IF(AG1016="yes",AJ1001*0.1,0),0)</f>
        <v>0</v>
      </c>
      <c r="AK1016" s="1369"/>
      <c r="AL1016" s="1369"/>
      <c r="AM1016" s="1369"/>
      <c r="AN1016" s="1369"/>
      <c r="AO1016" s="1369"/>
      <c r="AP1016" s="1369"/>
      <c r="AQ1016" s="1370"/>
      <c r="AR1016" s="68"/>
      <c r="AS1016" s="68"/>
      <c r="AT1016" s="68"/>
      <c r="AU1016" s="68"/>
      <c r="AV1016" s="68"/>
      <c r="AW1016" s="68"/>
      <c r="AX1016" s="68"/>
      <c r="BB1016" s="34"/>
    </row>
    <row r="1017" spans="1:55" ht="12.9" customHeight="1">
      <c r="A1017" s="14"/>
      <c r="B1017" s="73"/>
      <c r="C1017" s="74"/>
      <c r="D1017" s="1576" t="s">
        <v>1285</v>
      </c>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8"/>
      <c r="AF1017" s="73"/>
      <c r="AI1017" s="83"/>
      <c r="AJ1017" s="1371"/>
      <c r="AK1017" s="1372"/>
      <c r="AL1017" s="1372"/>
      <c r="AM1017" s="1372"/>
      <c r="AN1017" s="1372"/>
      <c r="AO1017" s="1372"/>
      <c r="AP1017" s="1372"/>
      <c r="AQ1017" s="1373"/>
      <c r="AR1017" s="68"/>
      <c r="AS1017" s="68"/>
      <c r="AT1017" s="68"/>
      <c r="AU1017" s="68"/>
      <c r="AV1017" s="68"/>
      <c r="AW1017" s="68"/>
      <c r="AX1017" s="68"/>
    </row>
    <row r="1018" spans="1:55" ht="12.9" customHeight="1">
      <c r="A1018" s="14"/>
      <c r="B1018" s="73"/>
      <c r="C1018" s="74"/>
      <c r="D1018" s="1576"/>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8"/>
      <c r="AF1018" s="73"/>
      <c r="AG1018" s="14"/>
      <c r="AH1018" s="14"/>
      <c r="AI1018" s="83"/>
      <c r="AJ1018" s="1371"/>
      <c r="AK1018" s="1372"/>
      <c r="AL1018" s="1372"/>
      <c r="AM1018" s="1372"/>
      <c r="AN1018" s="1372"/>
      <c r="AO1018" s="1372"/>
      <c r="AP1018" s="1372"/>
      <c r="AQ1018" s="1373"/>
      <c r="AR1018" s="68"/>
      <c r="AS1018" s="68"/>
      <c r="AT1018" s="68"/>
      <c r="AU1018" s="68"/>
      <c r="AV1018" s="68"/>
      <c r="AW1018" s="68"/>
      <c r="AX1018" s="68"/>
    </row>
    <row r="1019" spans="1:55" ht="12.9" customHeight="1">
      <c r="A1019" s="14"/>
      <c r="B1019" s="85"/>
      <c r="C1019" s="76"/>
      <c r="D1019" s="1599"/>
      <c r="E1019" s="1600"/>
      <c r="F1019" s="1600"/>
      <c r="G1019" s="1600"/>
      <c r="H1019" s="1600"/>
      <c r="I1019" s="1600"/>
      <c r="J1019" s="1600"/>
      <c r="K1019" s="1600"/>
      <c r="L1019" s="1600"/>
      <c r="M1019" s="1600"/>
      <c r="N1019" s="1600"/>
      <c r="O1019" s="1600"/>
      <c r="P1019" s="1600"/>
      <c r="Q1019" s="1600"/>
      <c r="R1019" s="1600"/>
      <c r="S1019" s="1600"/>
      <c r="T1019" s="1600"/>
      <c r="U1019" s="1600"/>
      <c r="V1019" s="1600"/>
      <c r="W1019" s="1600"/>
      <c r="X1019" s="1600"/>
      <c r="Y1019" s="1600"/>
      <c r="Z1019" s="1600"/>
      <c r="AA1019" s="1600"/>
      <c r="AB1019" s="1600"/>
      <c r="AC1019" s="1600"/>
      <c r="AD1019" s="1600"/>
      <c r="AE1019" s="1601"/>
      <c r="AF1019" s="77"/>
      <c r="AG1019" s="7"/>
      <c r="AH1019" s="7"/>
      <c r="AI1019" s="78"/>
      <c r="AJ1019" s="1374"/>
      <c r="AK1019" s="1375"/>
      <c r="AL1019" s="1375"/>
      <c r="AM1019" s="1375"/>
      <c r="AN1019" s="1375"/>
      <c r="AO1019" s="1375"/>
      <c r="AP1019" s="1375"/>
      <c r="AQ1019" s="1376"/>
      <c r="AR1019" s="68"/>
      <c r="AS1019" s="68"/>
      <c r="AT1019" s="68"/>
      <c r="AU1019" s="68"/>
      <c r="AV1019" s="68"/>
      <c r="AW1019" s="68"/>
      <c r="AX1019" s="68"/>
    </row>
    <row r="1020" spans="1:55" ht="12.9" customHeight="1">
      <c r="A1020" s="14"/>
      <c r="B1020" s="79"/>
      <c r="C1020" s="80" t="s">
        <v>212</v>
      </c>
      <c r="D1020" s="1573" t="s">
        <v>1287</v>
      </c>
      <c r="E1020" s="1574"/>
      <c r="F1020" s="1574"/>
      <c r="G1020" s="1574"/>
      <c r="H1020" s="1574"/>
      <c r="I1020" s="1574"/>
      <c r="J1020" s="1574"/>
      <c r="K1020" s="1574"/>
      <c r="L1020" s="1574"/>
      <c r="M1020" s="1574"/>
      <c r="N1020" s="1574"/>
      <c r="O1020" s="1574"/>
      <c r="P1020" s="1574"/>
      <c r="Q1020" s="1574"/>
      <c r="R1020" s="1574"/>
      <c r="S1020" s="1574"/>
      <c r="T1020" s="1574"/>
      <c r="U1020" s="1574"/>
      <c r="V1020" s="1574"/>
      <c r="W1020" s="1574"/>
      <c r="X1020" s="1574"/>
      <c r="Y1020" s="1574"/>
      <c r="Z1020" s="1574"/>
      <c r="AA1020" s="1574"/>
      <c r="AB1020" s="1574"/>
      <c r="AC1020" s="1574"/>
      <c r="AD1020" s="1574"/>
      <c r="AE1020" s="1575"/>
      <c r="AF1020" s="79"/>
      <c r="AG1020" s="1585" t="s">
        <v>669</v>
      </c>
      <c r="AH1020" s="1586"/>
      <c r="AI1020" s="87"/>
      <c r="AJ1020" s="1368">
        <f>ROUND(IF(AG1020="yes",AJ1001*0.02,0),0)</f>
        <v>0</v>
      </c>
      <c r="AK1020" s="1369"/>
      <c r="AL1020" s="1369"/>
      <c r="AM1020" s="1369"/>
      <c r="AN1020" s="1369"/>
      <c r="AO1020" s="1369"/>
      <c r="AP1020" s="1369"/>
      <c r="AQ1020" s="1370"/>
      <c r="AR1020" s="68"/>
      <c r="AS1020" s="68"/>
      <c r="AT1020" s="68"/>
      <c r="AU1020" s="68"/>
      <c r="AV1020" s="68"/>
      <c r="AW1020" s="68"/>
      <c r="AX1020" s="68"/>
    </row>
    <row r="1021" spans="1:55" ht="14.25" customHeight="1">
      <c r="A1021" s="14"/>
      <c r="B1021" s="73"/>
      <c r="C1021" s="74"/>
      <c r="D1021" s="1599" t="s">
        <v>1288</v>
      </c>
      <c r="E1021" s="1600"/>
      <c r="F1021" s="1600"/>
      <c r="G1021" s="1600"/>
      <c r="H1021" s="1600"/>
      <c r="I1021" s="1600"/>
      <c r="J1021" s="1600"/>
      <c r="K1021" s="1600"/>
      <c r="L1021" s="1600"/>
      <c r="M1021" s="1600"/>
      <c r="N1021" s="1600"/>
      <c r="O1021" s="1600"/>
      <c r="P1021" s="1600"/>
      <c r="Q1021" s="1600"/>
      <c r="R1021" s="1600"/>
      <c r="S1021" s="1600"/>
      <c r="T1021" s="1600"/>
      <c r="U1021" s="1600"/>
      <c r="V1021" s="1600"/>
      <c r="W1021" s="1600"/>
      <c r="X1021" s="1600"/>
      <c r="Y1021" s="1600"/>
      <c r="Z1021" s="1600"/>
      <c r="AA1021" s="1600"/>
      <c r="AB1021" s="1600"/>
      <c r="AC1021" s="1600"/>
      <c r="AD1021" s="1600"/>
      <c r="AE1021" s="1601"/>
      <c r="AF1021" s="77"/>
      <c r="AG1021" s="7"/>
      <c r="AH1021" s="7"/>
      <c r="AI1021" s="78"/>
      <c r="AJ1021" s="1374"/>
      <c r="AK1021" s="1375"/>
      <c r="AL1021" s="1375"/>
      <c r="AM1021" s="1375"/>
      <c r="AN1021" s="1375"/>
      <c r="AO1021" s="1375"/>
      <c r="AP1021" s="1375"/>
      <c r="AQ1021" s="1376"/>
      <c r="AR1021" s="68"/>
      <c r="AS1021" s="68"/>
      <c r="AT1021" s="68"/>
      <c r="AU1021" s="68"/>
      <c r="AV1021" s="68"/>
      <c r="AW1021" s="68"/>
      <c r="AX1021" s="3" t="s">
        <v>1818</v>
      </c>
      <c r="AZ1021" s="3" t="s">
        <v>2534</v>
      </c>
    </row>
    <row r="1022" spans="1:55" ht="12.9" customHeight="1">
      <c r="A1022" s="14"/>
      <c r="B1022" s="79"/>
      <c r="C1022" s="80" t="s">
        <v>215</v>
      </c>
      <c r="D1022" s="1573" t="s">
        <v>1289</v>
      </c>
      <c r="E1022" s="1574"/>
      <c r="F1022" s="1574"/>
      <c r="G1022" s="1574"/>
      <c r="H1022" s="1574"/>
      <c r="I1022" s="1574"/>
      <c r="J1022" s="1574"/>
      <c r="K1022" s="1574"/>
      <c r="L1022" s="1574"/>
      <c r="M1022" s="1574"/>
      <c r="N1022" s="1574"/>
      <c r="O1022" s="1574"/>
      <c r="P1022" s="1574"/>
      <c r="Q1022" s="1574"/>
      <c r="R1022" s="1574"/>
      <c r="S1022" s="1574"/>
      <c r="T1022" s="1574"/>
      <c r="U1022" s="1574"/>
      <c r="V1022" s="1574"/>
      <c r="W1022" s="1574"/>
      <c r="X1022" s="1574"/>
      <c r="Y1022" s="1574"/>
      <c r="Z1022" s="1574"/>
      <c r="AA1022" s="1574"/>
      <c r="AB1022" s="1574"/>
      <c r="AC1022" s="1574"/>
      <c r="AD1022" s="1574"/>
      <c r="AE1022" s="1575"/>
      <c r="AF1022" s="79"/>
      <c r="AG1022" s="1585" t="s">
        <v>669</v>
      </c>
      <c r="AH1022" s="1586"/>
      <c r="AI1022" s="79"/>
      <c r="AJ1022" s="1368">
        <f>ROUND(IF(AG1022="yes",AJ1001*0.02,0),0)</f>
        <v>0</v>
      </c>
      <c r="AK1022" s="1369"/>
      <c r="AL1022" s="1369"/>
      <c r="AM1022" s="1369"/>
      <c r="AN1022" s="1369"/>
      <c r="AO1022" s="1369"/>
      <c r="AP1022" s="1369"/>
      <c r="AQ1022" s="1370"/>
      <c r="AR1022" s="68"/>
      <c r="AS1022" s="68"/>
      <c r="AT1022" s="68"/>
      <c r="AU1022" s="68"/>
      <c r="AV1022" s="68"/>
      <c r="AW1022" s="68"/>
      <c r="AX1022" s="3">
        <v>1</v>
      </c>
      <c r="AY1022" s="200">
        <f>IF((_xlfn.XLOOKUP(AX1022,$C$1074:$C$1112,$A$1074:$A$1112,"",0,1))="Yes",AZ1022,0)</f>
        <v>0.2</v>
      </c>
      <c r="AZ1022" s="1189">
        <v>0.2</v>
      </c>
    </row>
    <row r="1023" spans="1:55" ht="12.9" customHeight="1">
      <c r="A1023" s="14"/>
      <c r="B1023" s="73"/>
      <c r="C1023" s="74"/>
      <c r="D1023" s="1576" t="s">
        <v>1290</v>
      </c>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8"/>
      <c r="AF1023" s="1352" t="str">
        <f>IF(AND(AG1022="yes",T212&lt;&gt;1),"The project may not be eligible for this boost","")</f>
        <v/>
      </c>
      <c r="AG1023" s="1353"/>
      <c r="AH1023" s="1353"/>
      <c r="AI1023" s="1354"/>
      <c r="AJ1023" s="1371"/>
      <c r="AK1023" s="1372"/>
      <c r="AL1023" s="1372"/>
      <c r="AM1023" s="1372"/>
      <c r="AN1023" s="1372"/>
      <c r="AO1023" s="1372"/>
      <c r="AP1023" s="1372"/>
      <c r="AQ1023" s="1373"/>
      <c r="AR1023" s="68"/>
      <c r="AS1023" s="68"/>
      <c r="AT1023" s="68"/>
      <c r="AU1023" s="68"/>
      <c r="AV1023" s="68"/>
      <c r="AW1023" s="68"/>
      <c r="AX1023" s="3">
        <v>2</v>
      </c>
      <c r="AY1023" s="200">
        <f t="shared" ref="AY1023:AY1032" si="85">IF((_xlfn.XLOOKUP(AX1023,$C$1074:$C$1112,$A$1074:$A$1112,"",0,1))="Yes",AZ1023,0)</f>
        <v>0</v>
      </c>
      <c r="AZ1023" s="1189">
        <v>0.15</v>
      </c>
    </row>
    <row r="1024" spans="1:55" ht="12.9" customHeight="1">
      <c r="A1024" s="14"/>
      <c r="B1024" s="75"/>
      <c r="C1024" s="76"/>
      <c r="D1024" s="1599"/>
      <c r="E1024" s="1600"/>
      <c r="F1024" s="1600"/>
      <c r="G1024" s="1600"/>
      <c r="H1024" s="1600"/>
      <c r="I1024" s="1600"/>
      <c r="J1024" s="1600"/>
      <c r="K1024" s="1600"/>
      <c r="L1024" s="1600"/>
      <c r="M1024" s="1600"/>
      <c r="N1024" s="1600"/>
      <c r="O1024" s="1600"/>
      <c r="P1024" s="1600"/>
      <c r="Q1024" s="1600"/>
      <c r="R1024" s="1600"/>
      <c r="S1024" s="1600"/>
      <c r="T1024" s="1600"/>
      <c r="U1024" s="1600"/>
      <c r="V1024" s="1600"/>
      <c r="W1024" s="1600"/>
      <c r="X1024" s="1600"/>
      <c r="Y1024" s="1600"/>
      <c r="Z1024" s="1600"/>
      <c r="AA1024" s="1600"/>
      <c r="AB1024" s="1600"/>
      <c r="AC1024" s="1600"/>
      <c r="AD1024" s="1600"/>
      <c r="AE1024" s="1601"/>
      <c r="AF1024" s="1355"/>
      <c r="AG1024" s="1356"/>
      <c r="AH1024" s="1356"/>
      <c r="AI1024" s="1357"/>
      <c r="AJ1024" s="1374"/>
      <c r="AK1024" s="1375"/>
      <c r="AL1024" s="1375"/>
      <c r="AM1024" s="1375"/>
      <c r="AN1024" s="1375"/>
      <c r="AO1024" s="1375"/>
      <c r="AP1024" s="1375"/>
      <c r="AQ1024" s="1376"/>
      <c r="AR1024" s="68"/>
      <c r="AS1024" s="68"/>
      <c r="AT1024" s="68"/>
      <c r="AU1024" s="68"/>
      <c r="AV1024" s="68"/>
      <c r="AW1024" s="68"/>
      <c r="AX1024" s="3">
        <v>3</v>
      </c>
      <c r="AY1024" s="200">
        <f t="shared" si="85"/>
        <v>0</v>
      </c>
      <c r="AZ1024" s="1189">
        <v>0.05</v>
      </c>
    </row>
    <row r="1025" spans="1:52" ht="12.9" customHeight="1">
      <c r="A1025" s="14"/>
      <c r="B1025" s="79"/>
      <c r="C1025" s="80" t="s">
        <v>218</v>
      </c>
      <c r="D1025" s="1590" t="s">
        <v>2191</v>
      </c>
      <c r="E1025" s="1591"/>
      <c r="F1025" s="1591"/>
      <c r="G1025" s="1591"/>
      <c r="H1025" s="1591"/>
      <c r="I1025" s="1591"/>
      <c r="J1025" s="1591"/>
      <c r="K1025" s="1591"/>
      <c r="L1025" s="1591"/>
      <c r="M1025" s="1591"/>
      <c r="N1025" s="1591"/>
      <c r="O1025" s="1591"/>
      <c r="P1025" s="1591"/>
      <c r="Q1025" s="1591"/>
      <c r="R1025" s="1591"/>
      <c r="S1025" s="1591"/>
      <c r="T1025" s="1591"/>
      <c r="U1025" s="1591"/>
      <c r="V1025" s="1591"/>
      <c r="W1025" s="1591"/>
      <c r="X1025" s="1591"/>
      <c r="Y1025" s="1591"/>
      <c r="Z1025" s="1591"/>
      <c r="AA1025" s="1591"/>
      <c r="AB1025" s="1591"/>
      <c r="AC1025" s="1591"/>
      <c r="AD1025" s="1591"/>
      <c r="AE1025" s="1592"/>
      <c r="AF1025" s="79"/>
      <c r="AG1025" s="1585" t="s">
        <v>545</v>
      </c>
      <c r="AH1025" s="1586"/>
      <c r="AI1025" s="87"/>
      <c r="AJ1025" s="1368">
        <f>IF(AG1025="yes",AJ1001*AY1033,0)</f>
        <v>9662772</v>
      </c>
      <c r="AK1025" s="1369"/>
      <c r="AL1025" s="1369"/>
      <c r="AM1025" s="1369"/>
      <c r="AN1025" s="1369"/>
      <c r="AO1025" s="1369"/>
      <c r="AP1025" s="1369"/>
      <c r="AQ1025" s="1370"/>
      <c r="AR1025" s="68"/>
      <c r="AS1025" s="68"/>
      <c r="AT1025" s="68"/>
      <c r="AU1025" s="68"/>
      <c r="AV1025" s="68"/>
      <c r="AW1025" s="68"/>
      <c r="AX1025" s="3">
        <v>4</v>
      </c>
      <c r="AY1025" s="200">
        <f t="shared" si="85"/>
        <v>0</v>
      </c>
      <c r="AZ1025" s="1189">
        <v>0.02</v>
      </c>
    </row>
    <row r="1026" spans="1:52" ht="12.9" customHeight="1">
      <c r="A1026" s="14"/>
      <c r="B1026" s="73"/>
      <c r="C1026" s="74"/>
      <c r="D1026" s="1576" t="s">
        <v>2600</v>
      </c>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8"/>
      <c r="AF1026" s="1346" t="str">
        <f>IF(AND(AG1025="Yes",AY1033=0),AY1036,"")</f>
        <v/>
      </c>
      <c r="AG1026" s="1347"/>
      <c r="AH1026" s="1347"/>
      <c r="AI1026" s="1348"/>
      <c r="AJ1026" s="1371"/>
      <c r="AK1026" s="1372"/>
      <c r="AL1026" s="1372"/>
      <c r="AM1026" s="1372"/>
      <c r="AN1026" s="1372"/>
      <c r="AO1026" s="1372"/>
      <c r="AP1026" s="1372"/>
      <c r="AQ1026" s="1373"/>
      <c r="AR1026" s="68"/>
      <c r="AS1026" s="68"/>
      <c r="AT1026" s="68"/>
      <c r="AU1026" s="68"/>
      <c r="AV1026" s="68"/>
      <c r="AW1026" s="68"/>
      <c r="AX1026" s="3">
        <v>5</v>
      </c>
      <c r="AY1026" s="200">
        <f t="shared" si="85"/>
        <v>0</v>
      </c>
      <c r="AZ1026" s="1189">
        <v>0.04</v>
      </c>
    </row>
    <row r="1027" spans="1:52" ht="12.9" customHeight="1">
      <c r="A1027" s="14"/>
      <c r="B1027" s="73"/>
      <c r="C1027" s="74"/>
      <c r="D1027" s="1576"/>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8"/>
      <c r="AF1027" s="1346"/>
      <c r="AG1027" s="1347"/>
      <c r="AH1027" s="1347"/>
      <c r="AI1027" s="1348"/>
      <c r="AJ1027" s="1371"/>
      <c r="AK1027" s="1372"/>
      <c r="AL1027" s="1372"/>
      <c r="AM1027" s="1372"/>
      <c r="AN1027" s="1372"/>
      <c r="AO1027" s="1372"/>
      <c r="AP1027" s="1372"/>
      <c r="AQ1027" s="1373"/>
      <c r="AR1027" s="68"/>
      <c r="AS1027" s="68"/>
      <c r="AT1027" s="68"/>
      <c r="AU1027" s="68"/>
      <c r="AV1027" s="68"/>
      <c r="AW1027" s="68"/>
      <c r="AX1027" s="3">
        <v>6</v>
      </c>
      <c r="AY1027" s="200">
        <f t="shared" si="85"/>
        <v>0</v>
      </c>
      <c r="AZ1027" s="1189">
        <v>0.04</v>
      </c>
    </row>
    <row r="1028" spans="1:52" ht="12.9" customHeight="1">
      <c r="A1028" s="14"/>
      <c r="B1028" s="81"/>
      <c r="C1028" s="82"/>
      <c r="D1028" s="1599"/>
      <c r="E1028" s="1600"/>
      <c r="F1028" s="1600"/>
      <c r="G1028" s="1600"/>
      <c r="H1028" s="1600"/>
      <c r="I1028" s="1600"/>
      <c r="J1028" s="1600"/>
      <c r="K1028" s="1600"/>
      <c r="L1028" s="1600"/>
      <c r="M1028" s="1600"/>
      <c r="N1028" s="1600"/>
      <c r="O1028" s="1600"/>
      <c r="P1028" s="1600"/>
      <c r="Q1028" s="1600"/>
      <c r="R1028" s="1600"/>
      <c r="S1028" s="1600"/>
      <c r="T1028" s="1600"/>
      <c r="U1028" s="1600"/>
      <c r="V1028" s="1600"/>
      <c r="W1028" s="1600"/>
      <c r="X1028" s="1600"/>
      <c r="Y1028" s="1600"/>
      <c r="Z1028" s="1600"/>
      <c r="AA1028" s="1600"/>
      <c r="AB1028" s="1600"/>
      <c r="AC1028" s="1600"/>
      <c r="AD1028" s="1600"/>
      <c r="AE1028" s="1601"/>
      <c r="AF1028" s="1349"/>
      <c r="AG1028" s="1350"/>
      <c r="AH1028" s="1350"/>
      <c r="AI1028" s="1351"/>
      <c r="AJ1028" s="1374"/>
      <c r="AK1028" s="1375"/>
      <c r="AL1028" s="1375"/>
      <c r="AM1028" s="1375"/>
      <c r="AN1028" s="1375"/>
      <c r="AO1028" s="1375"/>
      <c r="AP1028" s="1375"/>
      <c r="AQ1028" s="1376"/>
      <c r="AR1028" s="68"/>
      <c r="AS1028" s="68"/>
      <c r="AT1028" s="68"/>
      <c r="AU1028" s="68"/>
      <c r="AV1028" s="68"/>
      <c r="AW1028" s="68"/>
      <c r="AX1028" s="3">
        <v>7</v>
      </c>
      <c r="AY1028" s="200">
        <f t="shared" si="85"/>
        <v>0</v>
      </c>
      <c r="AZ1028" s="1189">
        <v>0.01</v>
      </c>
    </row>
    <row r="1029" spans="1:52" ht="12.9" customHeight="1">
      <c r="A1029" s="14"/>
      <c r="B1029" s="79"/>
      <c r="C1029" s="80" t="s">
        <v>223</v>
      </c>
      <c r="D1029" s="1626" t="s">
        <v>1291</v>
      </c>
      <c r="E1029" s="1627"/>
      <c r="F1029" s="1627"/>
      <c r="G1029" s="1627"/>
      <c r="H1029" s="1627"/>
      <c r="I1029" s="1627"/>
      <c r="J1029" s="1627"/>
      <c r="K1029" s="1627"/>
      <c r="L1029" s="1627"/>
      <c r="M1029" s="1627"/>
      <c r="N1029" s="1627"/>
      <c r="O1029" s="1627"/>
      <c r="P1029" s="1627"/>
      <c r="Q1029" s="1627"/>
      <c r="R1029" s="1627"/>
      <c r="S1029" s="1627"/>
      <c r="T1029" s="1627"/>
      <c r="U1029" s="1627"/>
      <c r="V1029" s="1627"/>
      <c r="W1029" s="1627"/>
      <c r="X1029" s="1627"/>
      <c r="Y1029" s="1627"/>
      <c r="Z1029" s="1627"/>
      <c r="AA1029" s="1627"/>
      <c r="AB1029" s="1627"/>
      <c r="AC1029" s="1627"/>
      <c r="AD1029" s="1627"/>
      <c r="AE1029" s="1628"/>
      <c r="AF1029" s="79"/>
      <c r="AG1029" s="1585" t="s">
        <v>669</v>
      </c>
      <c r="AH1029" s="1586"/>
      <c r="AI1029" s="87"/>
      <c r="AJ1029" s="1368">
        <f>ROUND(IF(AND(AG1029="Yes",J1033&lt;&gt;"N/A",AF1032&lt;&gt;""),MIN(AF1032,(0.15*AJ1001)),0),0)</f>
        <v>0</v>
      </c>
      <c r="AK1029" s="1369"/>
      <c r="AL1029" s="1369"/>
      <c r="AM1029" s="1369"/>
      <c r="AN1029" s="1369"/>
      <c r="AO1029" s="1369"/>
      <c r="AP1029" s="1369"/>
      <c r="AQ1029" s="1370"/>
      <c r="AR1029" s="68"/>
      <c r="AS1029" s="68"/>
      <c r="AT1029" s="68"/>
      <c r="AU1029" s="68"/>
      <c r="AV1029" s="68"/>
      <c r="AW1029" s="68"/>
      <c r="AX1029" s="3">
        <v>8</v>
      </c>
      <c r="AY1029" s="200">
        <f t="shared" si="85"/>
        <v>0</v>
      </c>
      <c r="AZ1029" s="1189">
        <v>0.01</v>
      </c>
    </row>
    <row r="1030" spans="1:52" ht="12.9" customHeight="1">
      <c r="A1030" s="14"/>
      <c r="B1030" s="81"/>
      <c r="C1030" s="84"/>
      <c r="D1030" s="1629"/>
      <c r="E1030" s="1630"/>
      <c r="F1030" s="1630"/>
      <c r="G1030" s="1630"/>
      <c r="H1030" s="1630"/>
      <c r="I1030" s="1630"/>
      <c r="J1030" s="1630"/>
      <c r="K1030" s="1630"/>
      <c r="L1030" s="1630"/>
      <c r="M1030" s="1630"/>
      <c r="N1030" s="1630"/>
      <c r="O1030" s="1630"/>
      <c r="P1030" s="1630"/>
      <c r="Q1030" s="1630"/>
      <c r="R1030" s="1630"/>
      <c r="S1030" s="1630"/>
      <c r="T1030" s="1630"/>
      <c r="U1030" s="1630"/>
      <c r="V1030" s="1630"/>
      <c r="W1030" s="1630"/>
      <c r="X1030" s="1630"/>
      <c r="Y1030" s="1630"/>
      <c r="Z1030" s="1630"/>
      <c r="AA1030" s="1630"/>
      <c r="AB1030" s="1630"/>
      <c r="AC1030" s="1630"/>
      <c r="AD1030" s="1630"/>
      <c r="AE1030" s="1631"/>
      <c r="AF1030" s="1642" t="str">
        <f>IF(AG1029="yes","Please Select Type and Enter Amount:","")</f>
        <v/>
      </c>
      <c r="AG1030" s="1643"/>
      <c r="AH1030" s="1643"/>
      <c r="AI1030" s="1644"/>
      <c r="AJ1030" s="1371"/>
      <c r="AK1030" s="1372"/>
      <c r="AL1030" s="1372"/>
      <c r="AM1030" s="1372"/>
      <c r="AN1030" s="1372"/>
      <c r="AO1030" s="1372"/>
      <c r="AP1030" s="1372"/>
      <c r="AQ1030" s="1373"/>
      <c r="AR1030" s="68"/>
      <c r="AS1030" s="68"/>
      <c r="AT1030" s="68"/>
      <c r="AU1030" s="68"/>
      <c r="AV1030" s="68"/>
      <c r="AW1030" s="68"/>
      <c r="AX1030" s="3">
        <v>9</v>
      </c>
      <c r="AY1030" s="200">
        <f t="shared" si="85"/>
        <v>0</v>
      </c>
      <c r="AZ1030" s="1189">
        <v>0.01</v>
      </c>
    </row>
    <row r="1031" spans="1:52" ht="12.9" customHeight="1">
      <c r="A1031" s="14"/>
      <c r="B1031" s="81"/>
      <c r="C1031" s="84"/>
      <c r="D1031" s="1576" t="s">
        <v>1292</v>
      </c>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8"/>
      <c r="AF1031" s="1642"/>
      <c r="AG1031" s="1643"/>
      <c r="AH1031" s="1643"/>
      <c r="AI1031" s="1644"/>
      <c r="AJ1031" s="1371"/>
      <c r="AK1031" s="1372"/>
      <c r="AL1031" s="1372"/>
      <c r="AM1031" s="1372"/>
      <c r="AN1031" s="1372"/>
      <c r="AO1031" s="1372"/>
      <c r="AP1031" s="1372"/>
      <c r="AQ1031" s="1373"/>
      <c r="AR1031" s="68"/>
      <c r="AS1031" s="68"/>
      <c r="AT1031" s="68"/>
      <c r="AU1031" s="68"/>
      <c r="AV1031" s="68"/>
      <c r="AW1031" s="68"/>
      <c r="AX1031" s="3">
        <v>10</v>
      </c>
      <c r="AY1031" s="200">
        <f t="shared" si="85"/>
        <v>0</v>
      </c>
      <c r="AZ1031" s="1189">
        <v>0.02</v>
      </c>
    </row>
    <row r="1032" spans="1:52" ht="12.9" customHeight="1">
      <c r="A1032" s="14"/>
      <c r="B1032" s="81"/>
      <c r="C1032" s="84"/>
      <c r="D1032" s="1576"/>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8"/>
      <c r="AF1032" s="1389"/>
      <c r="AG1032" s="1389"/>
      <c r="AH1032" s="1389"/>
      <c r="AI1032" s="1389"/>
      <c r="AJ1032" s="1371"/>
      <c r="AK1032" s="1372"/>
      <c r="AL1032" s="1372"/>
      <c r="AM1032" s="1372"/>
      <c r="AN1032" s="1372"/>
      <c r="AO1032" s="1372"/>
      <c r="AP1032" s="1372"/>
      <c r="AQ1032" s="1373"/>
      <c r="AR1032" s="68"/>
      <c r="AS1032" s="68"/>
      <c r="AT1032" s="68"/>
      <c r="AU1032" s="68"/>
      <c r="AV1032" s="68"/>
      <c r="AW1032" s="68"/>
      <c r="AX1032" s="3">
        <v>11</v>
      </c>
      <c r="AY1032" s="200">
        <f t="shared" si="85"/>
        <v>0</v>
      </c>
      <c r="AZ1032" s="1189">
        <v>0.02</v>
      </c>
    </row>
    <row r="1033" spans="1:52" ht="12.9" customHeight="1">
      <c r="A1033" s="14"/>
      <c r="B1033" s="81"/>
      <c r="C1033" s="84"/>
      <c r="D1033" s="526" t="s">
        <v>359</v>
      </c>
      <c r="E1033" s="90"/>
      <c r="F1033" s="90"/>
      <c r="G1033" s="104"/>
      <c r="H1033" s="104"/>
      <c r="I1033" s="49"/>
      <c r="J1033" s="1403" t="s">
        <v>591</v>
      </c>
      <c r="K1033" s="1404"/>
      <c r="L1033" s="1404"/>
      <c r="M1033" s="1404"/>
      <c r="N1033" s="1404"/>
      <c r="O1033" s="1404"/>
      <c r="P1033" s="1404"/>
      <c r="Q1033" s="1404"/>
      <c r="R1033" s="1404"/>
      <c r="S1033" s="1404"/>
      <c r="T1033" s="1404"/>
      <c r="U1033" s="1404"/>
      <c r="V1033" s="1404"/>
      <c r="W1033" s="1404"/>
      <c r="X1033" s="1404"/>
      <c r="Y1033" s="1404"/>
      <c r="Z1033" s="1404"/>
      <c r="AA1033" s="1404"/>
      <c r="AB1033" s="1404"/>
      <c r="AC1033" s="1404"/>
      <c r="AD1033" s="1404"/>
      <c r="AE1033" s="1405"/>
      <c r="AF1033" s="1389"/>
      <c r="AG1033" s="1389"/>
      <c r="AH1033" s="1389"/>
      <c r="AI1033" s="1389"/>
      <c r="AJ1033" s="1374"/>
      <c r="AK1033" s="1375"/>
      <c r="AL1033" s="1375"/>
      <c r="AM1033" s="1375"/>
      <c r="AN1033" s="1375"/>
      <c r="AO1033" s="1375"/>
      <c r="AP1033" s="1375"/>
      <c r="AQ1033" s="1376"/>
      <c r="AR1033" s="68"/>
      <c r="AS1033" s="68"/>
      <c r="AT1033" s="68"/>
      <c r="AU1033" s="68"/>
      <c r="AV1033" s="68"/>
      <c r="AW1033" s="68"/>
      <c r="AX1033" s="1027" t="s">
        <v>2533</v>
      </c>
      <c r="AY1033" s="201">
        <f>IF(SUM(AY1022:AY1032)&lt;=0.2,SUM(AY1022:AY1032),0.2)</f>
        <v>0.2</v>
      </c>
    </row>
    <row r="1034" spans="1:52" ht="12.9" customHeight="1">
      <c r="A1034" s="14"/>
      <c r="B1034" s="79"/>
      <c r="C1034" s="80" t="s">
        <v>229</v>
      </c>
      <c r="D1034" s="1573" t="s">
        <v>1293</v>
      </c>
      <c r="E1034" s="1574"/>
      <c r="F1034" s="1574"/>
      <c r="G1034" s="1574"/>
      <c r="H1034" s="1574"/>
      <c r="I1034" s="1574"/>
      <c r="J1034" s="1574"/>
      <c r="K1034" s="1574"/>
      <c r="L1034" s="1574"/>
      <c r="M1034" s="1574"/>
      <c r="N1034" s="1574"/>
      <c r="O1034" s="1574"/>
      <c r="P1034" s="1574"/>
      <c r="Q1034" s="1574"/>
      <c r="R1034" s="1574"/>
      <c r="S1034" s="1574"/>
      <c r="T1034" s="1574"/>
      <c r="U1034" s="1574"/>
      <c r="V1034" s="1574"/>
      <c r="W1034" s="1574"/>
      <c r="X1034" s="1574"/>
      <c r="Y1034" s="1574"/>
      <c r="Z1034" s="1574"/>
      <c r="AA1034" s="1574"/>
      <c r="AB1034" s="1574"/>
      <c r="AC1034" s="1574"/>
      <c r="AD1034" s="1574"/>
      <c r="AE1034" s="1575"/>
      <c r="AF1034" s="79"/>
      <c r="AG1034" s="1585" t="s">
        <v>545</v>
      </c>
      <c r="AH1034" s="1586"/>
      <c r="AI1034" s="87"/>
      <c r="AJ1034" s="1368">
        <f>ROUND(IF(AG1034="Yes",AF1036,0),0)</f>
        <v>1478594</v>
      </c>
      <c r="AK1034" s="1369"/>
      <c r="AL1034" s="1369"/>
      <c r="AM1034" s="1369"/>
      <c r="AN1034" s="1369"/>
      <c r="AO1034" s="1369"/>
      <c r="AP1034" s="1369"/>
      <c r="AQ1034" s="1370"/>
      <c r="AR1034" s="68"/>
      <c r="AS1034" s="68"/>
      <c r="AT1034" s="68"/>
      <c r="AU1034" s="68"/>
      <c r="AV1034" s="68"/>
      <c r="AW1034" s="68"/>
      <c r="AX1034" s="68"/>
      <c r="AY1034" s="68"/>
    </row>
    <row r="1035" spans="1:52" ht="12.9" customHeight="1">
      <c r="A1035" s="14"/>
      <c r="B1035" s="73"/>
      <c r="C1035" s="74"/>
      <c r="D1035" s="1576" t="s">
        <v>1679</v>
      </c>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8"/>
      <c r="AF1035" s="1632" t="str">
        <f>IF(AG1034="yes","Enter Amount:","")</f>
        <v>Enter Amount:</v>
      </c>
      <c r="AG1035" s="1633"/>
      <c r="AH1035" s="1633"/>
      <c r="AI1035" s="1634"/>
      <c r="AJ1035" s="1371"/>
      <c r="AK1035" s="1372"/>
      <c r="AL1035" s="1372"/>
      <c r="AM1035" s="1372"/>
      <c r="AN1035" s="1372"/>
      <c r="AO1035" s="1372"/>
      <c r="AP1035" s="1372"/>
      <c r="AQ1035" s="1373"/>
      <c r="AR1035" s="68"/>
      <c r="AS1035" s="68"/>
      <c r="AT1035" s="68"/>
      <c r="AU1035" s="68"/>
      <c r="AV1035" s="68"/>
      <c r="AW1035" s="68"/>
      <c r="AX1035" s="68"/>
      <c r="AY1035" s="68"/>
    </row>
    <row r="1036" spans="1:52" ht="12.9" customHeight="1">
      <c r="A1036" s="14"/>
      <c r="B1036" s="73"/>
      <c r="C1036" s="74"/>
      <c r="D1036" s="1576"/>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8"/>
      <c r="AF1036" s="1389">
        <v>1478594</v>
      </c>
      <c r="AG1036" s="1389"/>
      <c r="AH1036" s="1389"/>
      <c r="AI1036" s="1389"/>
      <c r="AJ1036" s="1371"/>
      <c r="AK1036" s="1372"/>
      <c r="AL1036" s="1372"/>
      <c r="AM1036" s="1372"/>
      <c r="AN1036" s="1372"/>
      <c r="AO1036" s="1372"/>
      <c r="AP1036" s="1372"/>
      <c r="AQ1036" s="1373"/>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599"/>
      <c r="E1037" s="1600"/>
      <c r="F1037" s="1600"/>
      <c r="G1037" s="1600"/>
      <c r="H1037" s="1600"/>
      <c r="I1037" s="1600"/>
      <c r="J1037" s="1600"/>
      <c r="K1037" s="1600"/>
      <c r="L1037" s="1600"/>
      <c r="M1037" s="1600"/>
      <c r="N1037" s="1600"/>
      <c r="O1037" s="1600"/>
      <c r="P1037" s="1600"/>
      <c r="Q1037" s="1600"/>
      <c r="R1037" s="1600"/>
      <c r="S1037" s="1600"/>
      <c r="T1037" s="1600"/>
      <c r="U1037" s="1600"/>
      <c r="V1037" s="1600"/>
      <c r="W1037" s="1600"/>
      <c r="X1037" s="1600"/>
      <c r="Y1037" s="1600"/>
      <c r="Z1037" s="1600"/>
      <c r="AA1037" s="1600"/>
      <c r="AB1037" s="1600"/>
      <c r="AC1037" s="1600"/>
      <c r="AD1037" s="1600"/>
      <c r="AE1037" s="1601"/>
      <c r="AF1037" s="1389"/>
      <c r="AG1037" s="1389"/>
      <c r="AH1037" s="1389"/>
      <c r="AI1037" s="1389"/>
      <c r="AJ1037" s="1374"/>
      <c r="AK1037" s="1375"/>
      <c r="AL1037" s="1375"/>
      <c r="AM1037" s="1375"/>
      <c r="AN1037" s="1375"/>
      <c r="AO1037" s="1375"/>
      <c r="AP1037" s="1375"/>
      <c r="AQ1037" s="1376"/>
      <c r="AR1037" s="68"/>
      <c r="AS1037" s="68"/>
      <c r="AT1037" s="68"/>
      <c r="AU1037" s="68"/>
      <c r="AV1037" s="68"/>
      <c r="AW1037" s="68"/>
      <c r="AX1037" s="68"/>
      <c r="AY1037" s="68"/>
    </row>
    <row r="1038" spans="1:52" ht="12.9" customHeight="1">
      <c r="A1038" s="14"/>
      <c r="B1038" s="79"/>
      <c r="C1038" s="80" t="s">
        <v>234</v>
      </c>
      <c r="D1038" s="1590" t="s">
        <v>1294</v>
      </c>
      <c r="E1038" s="1591"/>
      <c r="F1038" s="1591"/>
      <c r="G1038" s="1591"/>
      <c r="H1038" s="1591"/>
      <c r="I1038" s="1591"/>
      <c r="J1038" s="1591"/>
      <c r="K1038" s="1591"/>
      <c r="L1038" s="1591"/>
      <c r="M1038" s="1591"/>
      <c r="N1038" s="1591"/>
      <c r="O1038" s="1591"/>
      <c r="P1038" s="1591"/>
      <c r="Q1038" s="1591"/>
      <c r="R1038" s="1591"/>
      <c r="S1038" s="1591"/>
      <c r="T1038" s="1591"/>
      <c r="U1038" s="1591"/>
      <c r="V1038" s="1591"/>
      <c r="W1038" s="1591"/>
      <c r="X1038" s="1591"/>
      <c r="Y1038" s="1591"/>
      <c r="Z1038" s="1591"/>
      <c r="AA1038" s="1591"/>
      <c r="AB1038" s="1591"/>
      <c r="AC1038" s="1591"/>
      <c r="AD1038" s="1591"/>
      <c r="AE1038" s="1592"/>
      <c r="AF1038" s="79"/>
      <c r="AG1038" s="1585" t="s">
        <v>545</v>
      </c>
      <c r="AH1038" s="1586"/>
      <c r="AI1038" s="87"/>
      <c r="AJ1038" s="1368">
        <f>ROUND(IF(AG1038="yes",(AJ1001*0.1),0),0)</f>
        <v>4831386</v>
      </c>
      <c r="AK1038" s="1369"/>
      <c r="AL1038" s="1369"/>
      <c r="AM1038" s="1369"/>
      <c r="AN1038" s="1369"/>
      <c r="AO1038" s="1369"/>
      <c r="AP1038" s="1369"/>
      <c r="AQ1038" s="1370"/>
      <c r="AR1038" s="68"/>
      <c r="AS1038" s="68"/>
      <c r="AT1038" s="68"/>
      <c r="AU1038" s="68"/>
      <c r="AV1038" s="68"/>
      <c r="AW1038" s="68"/>
      <c r="AX1038" s="68"/>
      <c r="AY1038" s="68"/>
    </row>
    <row r="1039" spans="1:52" ht="12.9" customHeight="1">
      <c r="A1039" s="14"/>
      <c r="B1039" s="73"/>
      <c r="C1039" s="74"/>
      <c r="D1039" s="1576" t="s">
        <v>1295</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371"/>
      <c r="AK1039" s="1372"/>
      <c r="AL1039" s="1372"/>
      <c r="AM1039" s="1372"/>
      <c r="AN1039" s="1372"/>
      <c r="AO1039" s="1372"/>
      <c r="AP1039" s="1372"/>
      <c r="AQ1039" s="1373"/>
      <c r="AR1039" s="68"/>
      <c r="AS1039" s="68"/>
      <c r="AT1039" s="68"/>
      <c r="AU1039" s="68"/>
      <c r="AV1039" s="68"/>
      <c r="AW1039" s="68"/>
      <c r="AX1039" s="68"/>
      <c r="AY1039" s="68"/>
    </row>
    <row r="1040" spans="1:52" ht="12.9" customHeight="1">
      <c r="A1040" s="14"/>
      <c r="B1040" s="77"/>
      <c r="C1040" s="74"/>
      <c r="D1040" s="1599"/>
      <c r="E1040" s="1600"/>
      <c r="F1040" s="1600"/>
      <c r="G1040" s="1600"/>
      <c r="H1040" s="1600"/>
      <c r="I1040" s="1600"/>
      <c r="J1040" s="1600"/>
      <c r="K1040" s="1600"/>
      <c r="L1040" s="1600"/>
      <c r="M1040" s="1600"/>
      <c r="N1040" s="1600"/>
      <c r="O1040" s="1600"/>
      <c r="P1040" s="1600"/>
      <c r="Q1040" s="1600"/>
      <c r="R1040" s="1600"/>
      <c r="S1040" s="1600"/>
      <c r="T1040" s="1600"/>
      <c r="U1040" s="1600"/>
      <c r="V1040" s="1600"/>
      <c r="W1040" s="1600"/>
      <c r="X1040" s="1600"/>
      <c r="Y1040" s="1600"/>
      <c r="Z1040" s="1600"/>
      <c r="AA1040" s="1600"/>
      <c r="AB1040" s="1600"/>
      <c r="AC1040" s="1600"/>
      <c r="AD1040" s="1600"/>
      <c r="AE1040" s="1601"/>
      <c r="AF1040" s="73"/>
      <c r="AG1040" s="14"/>
      <c r="AH1040" s="14"/>
      <c r="AI1040" s="83"/>
      <c r="AJ1040" s="1374"/>
      <c r="AK1040" s="1375"/>
      <c r="AL1040" s="1375"/>
      <c r="AM1040" s="1375"/>
      <c r="AN1040" s="1375"/>
      <c r="AO1040" s="1375"/>
      <c r="AP1040" s="1375"/>
      <c r="AQ1040" s="1376"/>
      <c r="AR1040" s="68"/>
      <c r="AS1040" s="68"/>
      <c r="AT1040" s="68"/>
      <c r="AU1040" s="68"/>
      <c r="AV1040" s="68"/>
      <c r="AW1040" s="68"/>
      <c r="AX1040" s="68"/>
      <c r="AY1040" s="68"/>
    </row>
    <row r="1041" spans="1:57" ht="12.9" customHeight="1">
      <c r="A1041" s="14"/>
      <c r="B1041" s="73"/>
      <c r="C1041" s="339" t="s">
        <v>687</v>
      </c>
      <c r="D1041" s="1573" t="s">
        <v>1675</v>
      </c>
      <c r="E1041" s="1574"/>
      <c r="F1041" s="1574"/>
      <c r="G1041" s="1574"/>
      <c r="H1041" s="1574"/>
      <c r="I1041" s="1574"/>
      <c r="J1041" s="1574"/>
      <c r="K1041" s="1574"/>
      <c r="L1041" s="1574"/>
      <c r="M1041" s="1574"/>
      <c r="N1041" s="1574"/>
      <c r="O1041" s="1574"/>
      <c r="P1041" s="1574"/>
      <c r="Q1041" s="1574"/>
      <c r="R1041" s="1574"/>
      <c r="S1041" s="1574"/>
      <c r="T1041" s="1574"/>
      <c r="U1041" s="1574"/>
      <c r="V1041" s="1574"/>
      <c r="W1041" s="1574"/>
      <c r="X1041" s="1574"/>
      <c r="Y1041" s="1574"/>
      <c r="Z1041" s="1574"/>
      <c r="AA1041" s="1574"/>
      <c r="AB1041" s="1574"/>
      <c r="AC1041" s="1574"/>
      <c r="AD1041" s="1574"/>
      <c r="AE1041" s="1575"/>
      <c r="AF1041" s="79"/>
      <c r="AG1041" s="1585" t="s">
        <v>669</v>
      </c>
      <c r="AH1041" s="1586"/>
      <c r="AI1041" s="87"/>
      <c r="AJ1041" s="1368">
        <f>ROUND(IF(AG1041="yes",(AJ1001*0.15),0),0)</f>
        <v>0</v>
      </c>
      <c r="AK1041" s="1369"/>
      <c r="AL1041" s="1369"/>
      <c r="AM1041" s="1369"/>
      <c r="AN1041" s="1369"/>
      <c r="AO1041" s="1369"/>
      <c r="AP1041" s="1369"/>
      <c r="AQ1041" s="1370"/>
      <c r="AR1041" s="68"/>
      <c r="AS1041" s="68"/>
      <c r="AT1041" s="68"/>
      <c r="AU1041" s="68"/>
      <c r="AV1041" s="68"/>
      <c r="AW1041" s="68"/>
      <c r="AX1041" s="68"/>
      <c r="AY1041" s="68"/>
    </row>
    <row r="1042" spans="1:57" ht="12.9" customHeight="1">
      <c r="A1042" s="14"/>
      <c r="B1042" s="73"/>
      <c r="C1042" s="74"/>
      <c r="D1042" s="1605" t="s">
        <v>1676</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606"/>
      <c r="AF1042" s="911"/>
      <c r="AG1042" s="912"/>
      <c r="AH1042" s="912"/>
      <c r="AI1042" s="913"/>
      <c r="AJ1042" s="1371"/>
      <c r="AK1042" s="1372"/>
      <c r="AL1042" s="1372"/>
      <c r="AM1042" s="1372"/>
      <c r="AN1042" s="1372"/>
      <c r="AO1042" s="1372"/>
      <c r="AP1042" s="1372"/>
      <c r="AQ1042" s="1373"/>
      <c r="AR1042" s="68"/>
      <c r="AS1042" s="68"/>
      <c r="AT1042" s="68"/>
      <c r="AU1042" s="68"/>
      <c r="AV1042" s="68"/>
      <c r="AW1042" s="68"/>
      <c r="AX1042" s="68"/>
      <c r="AY1042" s="68"/>
    </row>
    <row r="1043" spans="1:57" ht="12.9" customHeight="1">
      <c r="A1043" s="14"/>
      <c r="B1043" s="73"/>
      <c r="C1043" s="74"/>
      <c r="D1043" s="1605"/>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606"/>
      <c r="AF1043" s="911"/>
      <c r="AG1043" s="912"/>
      <c r="AH1043" s="912"/>
      <c r="AI1043" s="913"/>
      <c r="AJ1043" s="1371"/>
      <c r="AK1043" s="1372"/>
      <c r="AL1043" s="1372"/>
      <c r="AM1043" s="1372"/>
      <c r="AN1043" s="1372"/>
      <c r="AO1043" s="1372"/>
      <c r="AP1043" s="1372"/>
      <c r="AQ1043" s="1373"/>
      <c r="AR1043" s="68"/>
      <c r="AS1043" s="68"/>
      <c r="AT1043" s="68"/>
      <c r="AU1043" s="68"/>
      <c r="AV1043" s="68"/>
      <c r="AW1043" s="68"/>
      <c r="AX1043" s="68"/>
      <c r="AY1043" s="68"/>
    </row>
    <row r="1044" spans="1:57" ht="12.9" customHeight="1">
      <c r="A1044" s="14"/>
      <c r="B1044" s="73"/>
      <c r="C1044" s="74"/>
      <c r="D1044" s="1607"/>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9"/>
      <c r="AF1044" s="914"/>
      <c r="AG1044" s="915"/>
      <c r="AH1044" s="915"/>
      <c r="AI1044" s="916"/>
      <c r="AJ1044" s="1374"/>
      <c r="AK1044" s="1375"/>
      <c r="AL1044" s="1375"/>
      <c r="AM1044" s="1375"/>
      <c r="AN1044" s="1375"/>
      <c r="AO1044" s="1375"/>
      <c r="AP1044" s="1375"/>
      <c r="AQ1044" s="1376"/>
      <c r="AR1044" s="68"/>
      <c r="AS1044" s="68"/>
      <c r="AT1044" s="68"/>
      <c r="AU1044" s="68"/>
      <c r="AV1044" s="68"/>
      <c r="AW1044" s="68"/>
      <c r="AX1044" s="68"/>
      <c r="AY1044" s="68"/>
    </row>
    <row r="1045" spans="1:57" ht="12.9" customHeight="1">
      <c r="A1045" s="14"/>
      <c r="B1045" s="73"/>
      <c r="C1045" s="339" t="s">
        <v>687</v>
      </c>
      <c r="D1045" s="1590" t="s">
        <v>1677</v>
      </c>
      <c r="E1045" s="1591"/>
      <c r="F1045" s="1591"/>
      <c r="G1045" s="1591"/>
      <c r="H1045" s="1591"/>
      <c r="I1045" s="1591"/>
      <c r="J1045" s="1591"/>
      <c r="K1045" s="1591"/>
      <c r="L1045" s="1591"/>
      <c r="M1045" s="1591"/>
      <c r="N1045" s="1591"/>
      <c r="O1045" s="1591"/>
      <c r="P1045" s="1591"/>
      <c r="Q1045" s="1591"/>
      <c r="R1045" s="1591"/>
      <c r="S1045" s="1591"/>
      <c r="T1045" s="1591"/>
      <c r="U1045" s="1591"/>
      <c r="V1045" s="1591"/>
      <c r="W1045" s="1591"/>
      <c r="X1045" s="1591"/>
      <c r="Y1045" s="1591"/>
      <c r="Z1045" s="1591"/>
      <c r="AA1045" s="1591"/>
      <c r="AB1045" s="1591"/>
      <c r="AC1045" s="1591"/>
      <c r="AD1045" s="1591"/>
      <c r="AE1045" s="1592"/>
      <c r="AF1045" s="73"/>
      <c r="AG1045" s="1610" t="s">
        <v>545</v>
      </c>
      <c r="AH1045" s="1611"/>
      <c r="AI1045" s="83"/>
      <c r="AJ1045" s="1368">
        <f>ROUND(IF(AND(AG1045="yes",AJ1041=0),(AJ1001*0.1),0),0)</f>
        <v>4831386</v>
      </c>
      <c r="AK1045" s="1369"/>
      <c r="AL1045" s="1369"/>
      <c r="AM1045" s="1369"/>
      <c r="AN1045" s="1369"/>
      <c r="AO1045" s="1369"/>
      <c r="AP1045" s="1369"/>
      <c r="AQ1045" s="1370"/>
      <c r="AR1045" s="68"/>
      <c r="AS1045" s="68"/>
      <c r="AT1045" s="68"/>
      <c r="AU1045" s="68"/>
      <c r="AV1045" s="68"/>
      <c r="AW1045" s="68"/>
      <c r="AX1045" s="68"/>
      <c r="AY1045" s="68"/>
    </row>
    <row r="1046" spans="1:57" ht="12.9" customHeight="1">
      <c r="A1046" s="14"/>
      <c r="B1046" s="73"/>
      <c r="C1046" s="74"/>
      <c r="D1046" s="1605" t="s">
        <v>1678</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606"/>
      <c r="AF1046" s="73"/>
      <c r="AG1046" s="14"/>
      <c r="AH1046" s="14"/>
      <c r="AI1046" s="83"/>
      <c r="AJ1046" s="1371"/>
      <c r="AK1046" s="1372"/>
      <c r="AL1046" s="1372"/>
      <c r="AM1046" s="1372"/>
      <c r="AN1046" s="1372"/>
      <c r="AO1046" s="1372"/>
      <c r="AP1046" s="1372"/>
      <c r="AQ1046" s="1373"/>
      <c r="AR1046" s="68"/>
      <c r="AS1046" s="68"/>
      <c r="AT1046" s="68"/>
      <c r="AU1046" s="68"/>
      <c r="AV1046" s="68"/>
      <c r="AW1046" s="68"/>
      <c r="AX1046" s="68"/>
      <c r="AY1046" s="68"/>
    </row>
    <row r="1047" spans="1:57" ht="12.9" customHeight="1">
      <c r="A1047" s="14"/>
      <c r="B1047" s="73"/>
      <c r="C1047" s="74"/>
      <c r="D1047" s="1605"/>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606"/>
      <c r="AF1047" s="73"/>
      <c r="AG1047" s="14"/>
      <c r="AH1047" s="14"/>
      <c r="AI1047" s="83"/>
      <c r="AJ1047" s="1371"/>
      <c r="AK1047" s="1372"/>
      <c r="AL1047" s="1372"/>
      <c r="AM1047" s="1372"/>
      <c r="AN1047" s="1372"/>
      <c r="AO1047" s="1372"/>
      <c r="AP1047" s="1372"/>
      <c r="AQ1047" s="1373"/>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 customHeight="1">
      <c r="A1048" s="14"/>
      <c r="B1048" s="73"/>
      <c r="C1048" s="74"/>
      <c r="D1048" s="1605"/>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606"/>
      <c r="AF1048" s="73"/>
      <c r="AG1048" s="14"/>
      <c r="AH1048" s="14"/>
      <c r="AI1048" s="83"/>
      <c r="AJ1048" s="1371"/>
      <c r="AK1048" s="1372"/>
      <c r="AL1048" s="1372"/>
      <c r="AM1048" s="1372"/>
      <c r="AN1048" s="1372"/>
      <c r="AO1048" s="1372"/>
      <c r="AP1048" s="1372"/>
      <c r="AQ1048" s="1373"/>
      <c r="AR1048" s="68"/>
      <c r="AS1048" s="68"/>
      <c r="AT1048" s="68"/>
      <c r="AU1048" s="68"/>
      <c r="AV1048" s="68"/>
      <c r="AW1048" s="68"/>
      <c r="AX1048" s="68"/>
      <c r="AY1048" s="68"/>
      <c r="BA1048">
        <f>IFERROR((($CI$761+$CM$761)/$AG$449),0)</f>
        <v>0.27419354838709675</v>
      </c>
      <c r="BB1048" s="3" t="s">
        <v>2425</v>
      </c>
    </row>
    <row r="1049" spans="1:57" ht="12.9" customHeight="1">
      <c r="A1049" s="14"/>
      <c r="B1049" s="73"/>
      <c r="C1049" s="74"/>
      <c r="D1049" s="1607"/>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9"/>
      <c r="AF1049" s="73"/>
      <c r="AG1049" s="14"/>
      <c r="AH1049" s="14"/>
      <c r="AI1049" s="83"/>
      <c r="AJ1049" s="1371"/>
      <c r="AK1049" s="1372"/>
      <c r="AL1049" s="1372"/>
      <c r="AM1049" s="1372"/>
      <c r="AN1049" s="1372"/>
      <c r="AO1049" s="1372"/>
      <c r="AP1049" s="1372"/>
      <c r="AQ1049" s="1373"/>
      <c r="AR1049" s="68"/>
      <c r="AS1049" s="68"/>
      <c r="AT1049" s="68"/>
      <c r="AU1049" s="68"/>
      <c r="AV1049" s="68"/>
      <c r="AW1049" s="68"/>
      <c r="AX1049" s="68"/>
      <c r="AY1049" s="68"/>
      <c r="BA1049" t="b">
        <f>'Points System'!AJ163="Yes"</f>
        <v>0</v>
      </c>
      <c r="BB1049" s="3" t="s">
        <v>2422</v>
      </c>
    </row>
    <row r="1050" spans="1:57" ht="12.9" customHeight="1">
      <c r="A1050" s="14"/>
      <c r="B1050" s="79"/>
      <c r="C1050" s="131" t="s">
        <v>1010</v>
      </c>
      <c r="D1050" s="1573" t="s">
        <v>1296</v>
      </c>
      <c r="E1050" s="1574"/>
      <c r="F1050" s="1574"/>
      <c r="G1050" s="1574"/>
      <c r="H1050" s="1574"/>
      <c r="I1050" s="1574"/>
      <c r="J1050" s="1574"/>
      <c r="K1050" s="1574"/>
      <c r="L1050" s="1574"/>
      <c r="M1050" s="1574"/>
      <c r="N1050" s="1574"/>
      <c r="O1050" s="1574"/>
      <c r="P1050" s="1574"/>
      <c r="Q1050" s="1574"/>
      <c r="R1050" s="1574"/>
      <c r="S1050" s="1574"/>
      <c r="T1050" s="1574"/>
      <c r="U1050" s="1574"/>
      <c r="V1050" s="1574"/>
      <c r="W1050" s="1574"/>
      <c r="X1050" s="1574"/>
      <c r="Y1050" s="1574"/>
      <c r="Z1050" s="1574"/>
      <c r="AA1050" s="1574"/>
      <c r="AB1050" s="1574"/>
      <c r="AC1050" s="1574"/>
      <c r="AD1050" s="1574"/>
      <c r="AE1050" s="1575"/>
      <c r="AF1050" s="79"/>
      <c r="AG1050" s="1585" t="s">
        <v>669</v>
      </c>
      <c r="AH1050" s="1586"/>
      <c r="AI1050" s="87"/>
      <c r="AJ1050" s="1368">
        <f>ROUND(IF(AG1050="yes",(AJ1001*0.1),0),0)</f>
        <v>0</v>
      </c>
      <c r="AK1050" s="1369"/>
      <c r="AL1050" s="1369"/>
      <c r="AM1050" s="1369"/>
      <c r="AN1050" s="1369"/>
      <c r="AO1050" s="1369"/>
      <c r="AP1050" s="1369"/>
      <c r="AQ1050" s="1370"/>
      <c r="AR1050" s="68"/>
      <c r="AS1050" s="68"/>
      <c r="AT1050" s="68"/>
      <c r="AU1050" s="68"/>
      <c r="AV1050" s="68"/>
      <c r="AW1050" s="68"/>
      <c r="AX1050" s="68"/>
      <c r="AY1050" s="68"/>
      <c r="BA1050">
        <f>Q212</f>
        <v>4</v>
      </c>
      <c r="BB1050" s="3" t="s">
        <v>2423</v>
      </c>
    </row>
    <row r="1051" spans="1:57" ht="12.9" customHeight="1">
      <c r="A1051" s="14"/>
      <c r="B1051" s="73"/>
      <c r="C1051" s="74"/>
      <c r="D1051" s="1576" t="s">
        <v>2100</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8"/>
      <c r="AF1051" s="73"/>
      <c r="AG1051" s="14"/>
      <c r="AH1051" s="14"/>
      <c r="AI1051" s="83"/>
      <c r="AJ1051" s="1371"/>
      <c r="AK1051" s="1372"/>
      <c r="AL1051" s="1372"/>
      <c r="AM1051" s="1372"/>
      <c r="AN1051" s="1372"/>
      <c r="AO1051" s="1372"/>
      <c r="AP1051" s="1372"/>
      <c r="AQ1051" s="1373"/>
      <c r="AR1051" s="68"/>
      <c r="AS1051" s="68"/>
      <c r="AT1051" s="68"/>
      <c r="AU1051" s="68"/>
      <c r="AV1051" s="68"/>
      <c r="AW1051" s="68"/>
      <c r="AX1051" s="68"/>
      <c r="AY1051" s="68"/>
      <c r="BA1051" s="1177">
        <f>T212</f>
        <v>6.4516129032258063E-2</v>
      </c>
      <c r="BB1051" s="3" t="s">
        <v>2424</v>
      </c>
    </row>
    <row r="1052" spans="1:57" ht="12.9" customHeight="1">
      <c r="A1052" s="14"/>
      <c r="B1052" s="73"/>
      <c r="C1052" s="74"/>
      <c r="D1052" s="1576"/>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8"/>
      <c r="AF1052" s="73"/>
      <c r="AG1052" s="14"/>
      <c r="AH1052" s="14"/>
      <c r="AI1052" s="83"/>
      <c r="AJ1052" s="1371"/>
      <c r="AK1052" s="1372"/>
      <c r="AL1052" s="1372"/>
      <c r="AM1052" s="1372"/>
      <c r="AN1052" s="1372"/>
      <c r="AO1052" s="1372"/>
      <c r="AP1052" s="1372"/>
      <c r="AQ1052" s="1373"/>
      <c r="AR1052" s="68"/>
      <c r="AS1052" s="68"/>
      <c r="AT1052" s="68"/>
      <c r="AU1052" s="68"/>
      <c r="AV1052" s="68"/>
      <c r="AW1052" s="68"/>
      <c r="AX1052" s="68"/>
      <c r="AY1052" s="68"/>
    </row>
    <row r="1053" spans="1:57" ht="12.9" customHeight="1">
      <c r="A1053" s="14"/>
      <c r="B1053" s="73"/>
      <c r="C1053" s="74"/>
      <c r="D1053" s="1599"/>
      <c r="E1053" s="1600"/>
      <c r="F1053" s="1600"/>
      <c r="G1053" s="1600"/>
      <c r="H1053" s="1600"/>
      <c r="I1053" s="1600"/>
      <c r="J1053" s="1600"/>
      <c r="K1053" s="1600"/>
      <c r="L1053" s="1600"/>
      <c r="M1053" s="1600"/>
      <c r="N1053" s="1600"/>
      <c r="O1053" s="1600"/>
      <c r="P1053" s="1600"/>
      <c r="Q1053" s="1600"/>
      <c r="R1053" s="1600"/>
      <c r="S1053" s="1600"/>
      <c r="T1053" s="1600"/>
      <c r="U1053" s="1600"/>
      <c r="V1053" s="1600"/>
      <c r="W1053" s="1600"/>
      <c r="X1053" s="1600"/>
      <c r="Y1053" s="1600"/>
      <c r="Z1053" s="1600"/>
      <c r="AA1053" s="1600"/>
      <c r="AB1053" s="1600"/>
      <c r="AC1053" s="1600"/>
      <c r="AD1053" s="1600"/>
      <c r="AE1053" s="1601"/>
      <c r="AF1053" s="73"/>
      <c r="AG1053" s="14"/>
      <c r="AH1053" s="14"/>
      <c r="AI1053" s="83"/>
      <c r="AJ1053" s="1374"/>
      <c r="AK1053" s="1375"/>
      <c r="AL1053" s="1375"/>
      <c r="AM1053" s="1375"/>
      <c r="AN1053" s="1375"/>
      <c r="AO1053" s="1375"/>
      <c r="AP1053" s="1375"/>
      <c r="AQ1053" s="1376"/>
      <c r="AR1053" s="68"/>
      <c r="AS1053" s="68"/>
      <c r="AT1053" s="68"/>
      <c r="AU1053" s="68"/>
      <c r="AV1053" s="68"/>
      <c r="AW1053" s="68"/>
      <c r="AX1053" s="68"/>
      <c r="AY1053" s="68"/>
    </row>
    <row r="1054" spans="1:57" ht="12.9" customHeight="1">
      <c r="A1054" s="14"/>
      <c r="B1054" s="79"/>
      <c r="C1054" s="131" t="s">
        <v>1673</v>
      </c>
      <c r="D1054" s="1590" t="s">
        <v>1839</v>
      </c>
      <c r="E1054" s="1591"/>
      <c r="F1054" s="1591"/>
      <c r="G1054" s="1591"/>
      <c r="H1054" s="1591"/>
      <c r="I1054" s="1591"/>
      <c r="J1054" s="1591"/>
      <c r="K1054" s="1591"/>
      <c r="L1054" s="1591"/>
      <c r="M1054" s="1591"/>
      <c r="N1054" s="1591"/>
      <c r="O1054" s="1591"/>
      <c r="P1054" s="1591"/>
      <c r="Q1054" s="1591"/>
      <c r="R1054" s="1591"/>
      <c r="S1054" s="1591"/>
      <c r="T1054" s="1591"/>
      <c r="U1054" s="1591"/>
      <c r="V1054" s="1591"/>
      <c r="W1054" s="1591"/>
      <c r="X1054" s="1591"/>
      <c r="Y1054" s="1591"/>
      <c r="Z1054" s="1591"/>
      <c r="AA1054" s="1591"/>
      <c r="AB1054" s="1591"/>
      <c r="AC1054" s="1591"/>
      <c r="AD1054" s="1591"/>
      <c r="AE1054" s="1592"/>
      <c r="AF1054" s="79"/>
      <c r="AG1054" s="1583" t="str">
        <f>IF(X1057&gt;0,"Yes","No")</f>
        <v>Yes</v>
      </c>
      <c r="AH1054" s="1584"/>
      <c r="AI1054" s="87"/>
      <c r="AJ1054" s="1368">
        <f>IF((X1057=0),0,AY1014*AJ1001)</f>
        <v>5314524.5999999996</v>
      </c>
      <c r="AK1054" s="1369"/>
      <c r="AL1054" s="1369"/>
      <c r="AM1054" s="1369"/>
      <c r="AN1054" s="1369"/>
      <c r="AO1054" s="1369"/>
      <c r="AP1054" s="1369"/>
      <c r="AQ1054" s="13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 customHeight="1">
      <c r="A1055" s="14"/>
      <c r="B1055" s="73"/>
      <c r="C1055" s="442"/>
      <c r="D1055" s="1576" t="s">
        <v>1298</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8"/>
      <c r="AF1055" s="73"/>
      <c r="AG1055" s="443"/>
      <c r="AH1055" s="443"/>
      <c r="AI1055" s="83"/>
      <c r="AJ1055" s="1371"/>
      <c r="AK1055" s="1372"/>
      <c r="AL1055" s="1372"/>
      <c r="AM1055" s="1372"/>
      <c r="AN1055" s="1372"/>
      <c r="AO1055" s="1372"/>
      <c r="AP1055" s="1372"/>
      <c r="AQ1055" s="1373"/>
      <c r="AR1055" s="68"/>
      <c r="AS1055" s="68"/>
      <c r="AT1055" s="68"/>
      <c r="AU1055" s="13"/>
      <c r="AV1055" s="68"/>
      <c r="AW1055" s="68"/>
      <c r="AX1055" s="68"/>
      <c r="AY1055" s="68"/>
      <c r="AZ1055" s="958">
        <f>'Sources and Uses Budget'!S97*BA1055</f>
        <v>6213407.5499999998</v>
      </c>
      <c r="BA1055" s="1175">
        <f>IF(BA1049,20%,15%)</f>
        <v>0.15</v>
      </c>
      <c r="BB1055" s="3" t="s">
        <v>2411</v>
      </c>
      <c r="BC1055" s="3" t="s">
        <v>2412</v>
      </c>
      <c r="BD1055" s="3"/>
    </row>
    <row r="1056" spans="1:57" ht="12.9" customHeight="1">
      <c r="A1056" s="14"/>
      <c r="B1056" s="73"/>
      <c r="C1056" s="442"/>
      <c r="D1056" s="1576"/>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8"/>
      <c r="AF1056" s="73"/>
      <c r="AG1056" s="443"/>
      <c r="AH1056" s="443"/>
      <c r="AI1056" s="83"/>
      <c r="AJ1056" s="1371"/>
      <c r="AK1056" s="1372"/>
      <c r="AL1056" s="1372"/>
      <c r="AM1056" s="1372"/>
      <c r="AN1056" s="1372"/>
      <c r="AO1056" s="1372"/>
      <c r="AP1056" s="1372"/>
      <c r="AQ1056" s="1373"/>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 customHeight="1">
      <c r="A1057" s="14"/>
      <c r="B1057" s="77"/>
      <c r="C1057" s="78"/>
      <c r="D1057" s="132" t="s">
        <v>972</v>
      </c>
      <c r="E1057" s="133"/>
      <c r="F1057" s="133"/>
      <c r="G1057" s="133"/>
      <c r="H1057" s="133"/>
      <c r="I1057" s="1581">
        <f>AY1012</f>
        <v>62</v>
      </c>
      <c r="J1057" s="1582"/>
      <c r="K1057" s="7"/>
      <c r="L1057" s="133"/>
      <c r="M1057" s="133"/>
      <c r="N1057" s="133"/>
      <c r="O1057" s="133"/>
      <c r="P1057" s="133"/>
      <c r="Q1057" s="133"/>
      <c r="R1057" s="133"/>
      <c r="S1057" s="133"/>
      <c r="T1057" s="133"/>
      <c r="U1057" s="133"/>
      <c r="V1057" s="134" t="s">
        <v>973</v>
      </c>
      <c r="W1057" s="48"/>
      <c r="X1057" s="1579">
        <f>CI761</f>
        <v>7</v>
      </c>
      <c r="Y1057" s="1580"/>
      <c r="Z1057" s="48"/>
      <c r="AA1057" s="48"/>
      <c r="AB1057" s="48"/>
      <c r="AC1057" s="48"/>
      <c r="AD1057" s="48"/>
      <c r="AE1057" s="49"/>
      <c r="AF1057" s="920"/>
      <c r="AG1057" s="921"/>
      <c r="AH1057" s="921"/>
      <c r="AI1057" s="922"/>
      <c r="AJ1057" s="1374"/>
      <c r="AK1057" s="1375"/>
      <c r="AL1057" s="1375"/>
      <c r="AM1057" s="1375"/>
      <c r="AN1057" s="1375"/>
      <c r="AO1057" s="1375"/>
      <c r="AP1057" s="1375"/>
      <c r="AQ1057" s="1376"/>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2411</v>
      </c>
      <c r="BC1057" s="3" t="s">
        <v>2414</v>
      </c>
      <c r="BD1057" s="3"/>
    </row>
    <row r="1058" spans="1:56" ht="12.9" customHeight="1">
      <c r="A1058" s="14"/>
      <c r="B1058" s="79"/>
      <c r="C1058" s="131" t="s">
        <v>1674</v>
      </c>
      <c r="D1058" s="1573" t="s">
        <v>2126</v>
      </c>
      <c r="E1058" s="1574"/>
      <c r="F1058" s="1574"/>
      <c r="G1058" s="1574"/>
      <c r="H1058" s="1574"/>
      <c r="I1058" s="1574"/>
      <c r="J1058" s="1574"/>
      <c r="K1058" s="1574"/>
      <c r="L1058" s="1574"/>
      <c r="M1058" s="1574"/>
      <c r="N1058" s="1574"/>
      <c r="O1058" s="1574"/>
      <c r="P1058" s="1574"/>
      <c r="Q1058" s="1574"/>
      <c r="R1058" s="1574"/>
      <c r="S1058" s="1574"/>
      <c r="T1058" s="1574"/>
      <c r="U1058" s="1574"/>
      <c r="V1058" s="1574"/>
      <c r="W1058" s="1574"/>
      <c r="X1058" s="1574"/>
      <c r="Y1058" s="1574"/>
      <c r="Z1058" s="1574"/>
      <c r="AA1058" s="1574"/>
      <c r="AB1058" s="1574"/>
      <c r="AC1058" s="1574"/>
      <c r="AD1058" s="1574"/>
      <c r="AE1058" s="1575"/>
      <c r="AF1058" s="73"/>
      <c r="AG1058" s="1583" t="str">
        <f>IF(X1061&gt;0,"Yes","No")</f>
        <v>Yes</v>
      </c>
      <c r="AH1058" s="1584"/>
      <c r="AI1058" s="83"/>
      <c r="AJ1058" s="1368">
        <f>IF((X1061=0),0,(2*AY1015)*AJ1001)</f>
        <v>15460435.200000001</v>
      </c>
      <c r="AK1058" s="1369"/>
      <c r="AL1058" s="1369"/>
      <c r="AM1058" s="1369"/>
      <c r="AN1058" s="1369"/>
      <c r="AO1058" s="1369"/>
      <c r="AP1058" s="1369"/>
      <c r="AQ1058" s="1370"/>
      <c r="AR1058" s="68"/>
      <c r="AS1058" s="68"/>
      <c r="AT1058" s="68"/>
      <c r="AU1058" s="14"/>
      <c r="AV1058" s="68"/>
      <c r="AW1058" s="68"/>
      <c r="AX1058" s="68"/>
      <c r="AY1058" s="68"/>
      <c r="AZ1058" s="958">
        <f>AZ1054*BA1058</f>
        <v>0</v>
      </c>
      <c r="BA1058" s="1175">
        <v>0.15</v>
      </c>
      <c r="BB1058" s="3" t="s">
        <v>2411</v>
      </c>
      <c r="BC1058" s="3" t="s">
        <v>2415</v>
      </c>
      <c r="BD1058" s="3"/>
    </row>
    <row r="1059" spans="1:56" ht="12.9" customHeight="1">
      <c r="A1059" s="14"/>
      <c r="B1059" s="73"/>
      <c r="C1059" s="442"/>
      <c r="D1059" s="1576" t="s">
        <v>1297</v>
      </c>
      <c r="E1059" s="1577"/>
      <c r="F1059" s="1577"/>
      <c r="G1059" s="1577"/>
      <c r="H1059" s="1577"/>
      <c r="I1059" s="1577"/>
      <c r="J1059" s="1577"/>
      <c r="K1059" s="1577"/>
      <c r="L1059" s="1577"/>
      <c r="M1059" s="1577"/>
      <c r="N1059" s="1577"/>
      <c r="O1059" s="1577"/>
      <c r="P1059" s="1577"/>
      <c r="Q1059" s="1577"/>
      <c r="R1059" s="1577"/>
      <c r="S1059" s="1577"/>
      <c r="T1059" s="1577"/>
      <c r="U1059" s="1577"/>
      <c r="V1059" s="1577"/>
      <c r="W1059" s="1577"/>
      <c r="X1059" s="1577"/>
      <c r="Y1059" s="1577"/>
      <c r="Z1059" s="1577"/>
      <c r="AA1059" s="1577"/>
      <c r="AB1059" s="1577"/>
      <c r="AC1059" s="1577"/>
      <c r="AD1059" s="1577"/>
      <c r="AE1059" s="1578"/>
      <c r="AF1059" s="73"/>
      <c r="AG1059" s="443"/>
      <c r="AH1059" s="443"/>
      <c r="AI1059" s="83"/>
      <c r="AJ1059" s="1371"/>
      <c r="AK1059" s="1372"/>
      <c r="AL1059" s="1372"/>
      <c r="AM1059" s="1372"/>
      <c r="AN1059" s="1372"/>
      <c r="AO1059" s="1372"/>
      <c r="AP1059" s="1372"/>
      <c r="AQ1059" s="1373"/>
      <c r="AR1059" s="68"/>
      <c r="AS1059" s="68"/>
      <c r="AT1059" s="68"/>
      <c r="AU1059" s="68"/>
      <c r="AV1059" s="68"/>
      <c r="AW1059" s="68"/>
      <c r="AX1059" s="68"/>
      <c r="AY1059" s="68"/>
      <c r="AZ1059" s="958"/>
      <c r="BA1059" s="3"/>
      <c r="BB1059" s="3"/>
      <c r="BC1059" s="3"/>
      <c r="BD1059" s="3"/>
    </row>
    <row r="1060" spans="1:56" ht="12.9" customHeight="1">
      <c r="A1060" s="14"/>
      <c r="B1060" s="73"/>
      <c r="C1060" s="83"/>
      <c r="D1060" s="1576"/>
      <c r="E1060" s="1577"/>
      <c r="F1060" s="1577"/>
      <c r="G1060" s="1577"/>
      <c r="H1060" s="1577"/>
      <c r="I1060" s="1577"/>
      <c r="J1060" s="1577"/>
      <c r="K1060" s="1577"/>
      <c r="L1060" s="1577"/>
      <c r="M1060" s="1577"/>
      <c r="N1060" s="1577"/>
      <c r="O1060" s="1577"/>
      <c r="P1060" s="1577"/>
      <c r="Q1060" s="1577"/>
      <c r="R1060" s="1577"/>
      <c r="S1060" s="1577"/>
      <c r="T1060" s="1577"/>
      <c r="U1060" s="1577"/>
      <c r="V1060" s="1577"/>
      <c r="W1060" s="1577"/>
      <c r="X1060" s="1577"/>
      <c r="Y1060" s="1577"/>
      <c r="Z1060" s="1577"/>
      <c r="AA1060" s="1577"/>
      <c r="AB1060" s="1577"/>
      <c r="AC1060" s="1577"/>
      <c r="AD1060" s="1577"/>
      <c r="AE1060" s="1578"/>
      <c r="AF1060" s="917"/>
      <c r="AG1060" s="918"/>
      <c r="AH1060" s="918"/>
      <c r="AI1060" s="919"/>
      <c r="AJ1060" s="1371"/>
      <c r="AK1060" s="1372"/>
      <c r="AL1060" s="1372"/>
      <c r="AM1060" s="1372"/>
      <c r="AN1060" s="1372"/>
      <c r="AO1060" s="1372"/>
      <c r="AP1060" s="1372"/>
      <c r="AQ1060" s="1373"/>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 customHeight="1">
      <c r="A1061" s="14"/>
      <c r="B1061" s="77"/>
      <c r="C1061" s="78"/>
      <c r="D1061" s="132" t="s">
        <v>972</v>
      </c>
      <c r="E1061" s="133"/>
      <c r="F1061" s="133"/>
      <c r="G1061" s="133"/>
      <c r="H1061" s="133"/>
      <c r="I1061" s="1581">
        <f>AY1012</f>
        <v>62</v>
      </c>
      <c r="J1061" s="1582"/>
      <c r="K1061" s="14"/>
      <c r="L1061" s="133"/>
      <c r="M1061" s="133"/>
      <c r="N1061" s="133"/>
      <c r="O1061" s="133"/>
      <c r="P1061" s="133"/>
      <c r="Q1061" s="133"/>
      <c r="R1061" s="133"/>
      <c r="S1061" s="133"/>
      <c r="T1061" s="133"/>
      <c r="U1061" s="133"/>
      <c r="V1061" s="134" t="s">
        <v>974</v>
      </c>
      <c r="X1061" s="1579">
        <f>CM761</f>
        <v>10</v>
      </c>
      <c r="Y1061" s="1580"/>
      <c r="AF1061" s="920"/>
      <c r="AG1061" s="921"/>
      <c r="AH1061" s="921"/>
      <c r="AI1061" s="922"/>
      <c r="AJ1061" s="1374"/>
      <c r="AK1061" s="1375"/>
      <c r="AL1061" s="1375"/>
      <c r="AM1061" s="1375"/>
      <c r="AN1061" s="1375"/>
      <c r="AO1061" s="1375"/>
      <c r="AP1061" s="1375"/>
      <c r="AQ1061" s="1376"/>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 customHeight="1">
      <c r="A1062" s="14"/>
      <c r="B1062" s="102"/>
      <c r="C1062" s="103"/>
      <c r="D1062" s="1571" t="s">
        <v>513</v>
      </c>
      <c r="E1062" s="1571"/>
      <c r="F1062" s="1571"/>
      <c r="G1062" s="1571"/>
      <c r="H1062" s="1571"/>
      <c r="I1062" s="1571"/>
      <c r="J1062" s="1571"/>
      <c r="K1062" s="1571"/>
      <c r="L1062" s="1571"/>
      <c r="M1062" s="1571"/>
      <c r="N1062" s="1571"/>
      <c r="O1062" s="1571"/>
      <c r="P1062" s="1571"/>
      <c r="Q1062" s="1571"/>
      <c r="R1062" s="1571"/>
      <c r="S1062" s="1571"/>
      <c r="T1062" s="1571"/>
      <c r="U1062" s="1571"/>
      <c r="V1062" s="1571"/>
      <c r="W1062" s="1571"/>
      <c r="X1062" s="1571"/>
      <c r="Y1062" s="1571"/>
      <c r="Z1062" s="1571"/>
      <c r="AA1062" s="1571"/>
      <c r="AB1062" s="1571"/>
      <c r="AC1062" s="1571"/>
      <c r="AD1062" s="1571"/>
      <c r="AE1062" s="1571"/>
      <c r="AF1062" s="1571"/>
      <c r="AG1062" s="1571"/>
      <c r="AH1062" s="1571"/>
      <c r="AI1062" s="1572"/>
      <c r="AJ1062" s="1602">
        <f>SUM(AJ1001:AQ1061)</f>
        <v>99555729.799999997</v>
      </c>
      <c r="AK1062" s="1603"/>
      <c r="AL1062" s="1603"/>
      <c r="AM1062" s="1603"/>
      <c r="AN1062" s="1603"/>
      <c r="AO1062" s="1603"/>
      <c r="AP1062" s="1603"/>
      <c r="AQ1062" s="1604"/>
      <c r="AR1062" s="68"/>
      <c r="AS1062" s="68"/>
      <c r="AT1062" s="68"/>
      <c r="AU1062" s="68"/>
      <c r="AV1062" s="68"/>
      <c r="AW1062" s="68"/>
      <c r="AX1062" s="68"/>
      <c r="AY1062" s="68"/>
      <c r="AZ1062" s="1174">
        <v>6000000</v>
      </c>
      <c r="BA1062" s="3" t="s">
        <v>2418</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3">
        <f>'Sources and Uses Budget'!S107+'Sources and Uses Budget'!T107</f>
        <v>47636124</v>
      </c>
      <c r="AB1065" s="1863"/>
      <c r="AC1065" s="1863"/>
      <c r="AD1065" s="1863"/>
      <c r="AE1065" s="1863"/>
      <c r="AF1065" s="186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6213407.5499999998</v>
      </c>
      <c r="BB1065" s="3" t="s">
        <v>2420</v>
      </c>
      <c r="BC1065" s="3"/>
      <c r="BD1065" s="3"/>
    </row>
    <row r="1066" spans="1:56" ht="12.9"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4">
        <f>IFERROR((AA1065-BA1068)/(AJ1062-AJ1054-AJ1058),"")</f>
        <v>0.55753094314767426</v>
      </c>
      <c r="AB1066" s="1865"/>
      <c r="AC1066" s="1865"/>
      <c r="AD1066" s="1865"/>
      <c r="AE1066" s="1865"/>
      <c r="AF1066" s="186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86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7"/>
      <c r="I1067" s="1867"/>
      <c r="J1067" s="1867"/>
      <c r="K1067" s="1867"/>
      <c r="L1067" s="1867"/>
      <c r="M1067" s="1867"/>
      <c r="N1067" s="1867"/>
      <c r="O1067" s="1867"/>
      <c r="P1067" s="1867"/>
      <c r="Q1067" s="1867"/>
      <c r="R1067" s="1867"/>
      <c r="S1067" s="1867"/>
      <c r="T1067" s="1867"/>
      <c r="U1067" s="1867"/>
      <c r="V1067" s="1867"/>
      <c r="W1067" s="1867"/>
      <c r="X1067" s="1867"/>
      <c r="Y1067" s="1867"/>
      <c r="Z1067" s="1867"/>
      <c r="AA1067" s="1867"/>
      <c r="AB1067" s="1867"/>
      <c r="AC1067" s="1867"/>
      <c r="AD1067" s="1867"/>
      <c r="AE1067" s="1867"/>
      <c r="AF1067" s="1867"/>
      <c r="AG1067" s="1867"/>
      <c r="AH1067" s="1867"/>
      <c r="AI1067" s="1867"/>
      <c r="AJ1067" s="1867"/>
      <c r="AK1067" s="1867"/>
      <c r="AL1067" s="1867"/>
      <c r="AM1067" s="1867"/>
      <c r="AN1067" s="1867"/>
      <c r="AO1067" s="68"/>
      <c r="AP1067" s="68"/>
      <c r="AQ1067" s="68"/>
      <c r="AR1067" s="68"/>
      <c r="AS1067" s="68"/>
      <c r="AT1067" s="68"/>
      <c r="AU1067" s="68"/>
      <c r="AV1067" s="14"/>
      <c r="AW1067" s="14"/>
      <c r="AX1067" s="14"/>
      <c r="AY1067" s="14"/>
      <c r="BA1067" s="1178">
        <f>'Sources and Uses Budget'!$S$104+'Sources and Uses Budget'!$T$104</f>
        <v>6213407</v>
      </c>
      <c r="BB1067" s="3" t="s">
        <v>2426</v>
      </c>
    </row>
    <row r="1068" spans="1:56" ht="12.9" customHeight="1">
      <c r="A1068" s="14"/>
      <c r="B1068" s="14"/>
      <c r="C1068" s="208"/>
      <c r="D1068" s="854"/>
      <c r="E1068" s="854"/>
      <c r="F1068" s="854"/>
      <c r="G1068" s="1867"/>
      <c r="H1068" s="1867"/>
      <c r="I1068" s="1867"/>
      <c r="J1068" s="1867"/>
      <c r="K1068" s="1867"/>
      <c r="L1068" s="1867"/>
      <c r="M1068" s="1867"/>
      <c r="N1068" s="1867"/>
      <c r="O1068" s="1867"/>
      <c r="P1068" s="1867"/>
      <c r="Q1068" s="1867"/>
      <c r="R1068" s="1867"/>
      <c r="S1068" s="1867"/>
      <c r="T1068" s="1867"/>
      <c r="U1068" s="1867"/>
      <c r="V1068" s="1867"/>
      <c r="W1068" s="1867"/>
      <c r="X1068" s="1867"/>
      <c r="Y1068" s="1867"/>
      <c r="Z1068" s="1867"/>
      <c r="AA1068" s="1867"/>
      <c r="AB1068" s="1867"/>
      <c r="AC1068" s="1867"/>
      <c r="AD1068" s="1867"/>
      <c r="AE1068" s="1867"/>
      <c r="AF1068" s="1867"/>
      <c r="AG1068" s="1867"/>
      <c r="AH1068" s="1867"/>
      <c r="AI1068" s="1867"/>
      <c r="AJ1068" s="1867"/>
      <c r="AK1068" s="1867"/>
      <c r="AL1068" s="1867"/>
      <c r="AM1068" s="1867"/>
      <c r="AN1068" s="1867"/>
      <c r="AO1068" s="68"/>
      <c r="AP1068" s="68"/>
      <c r="AQ1068" s="68"/>
      <c r="AR1068" s="68"/>
      <c r="AS1068" s="68"/>
      <c r="AT1068" s="68"/>
      <c r="AU1068" s="68"/>
      <c r="AV1068" s="14"/>
      <c r="AW1068" s="14"/>
      <c r="AX1068" s="14"/>
      <c r="AY1068" s="14"/>
      <c r="BA1068" s="1179">
        <f>MAX($BA$1067-$BA$1064,0)</f>
        <v>3713407</v>
      </c>
      <c r="BB1068" s="3" t="s">
        <v>2427</v>
      </c>
    </row>
    <row r="1069" spans="1:56" ht="12.9" customHeight="1">
      <c r="A1069" s="88"/>
      <c r="B1069" s="1165"/>
      <c r="C1069" s="1165"/>
      <c r="D1069" s="1165"/>
      <c r="E1069" s="1165"/>
      <c r="F1069" s="1165"/>
      <c r="G1069" s="1867"/>
      <c r="H1069" s="1867"/>
      <c r="I1069" s="1867"/>
      <c r="J1069" s="1867"/>
      <c r="K1069" s="1867"/>
      <c r="L1069" s="1867"/>
      <c r="M1069" s="1867"/>
      <c r="N1069" s="1867"/>
      <c r="O1069" s="1867"/>
      <c r="P1069" s="1867"/>
      <c r="Q1069" s="1867"/>
      <c r="R1069" s="1867"/>
      <c r="S1069" s="1867"/>
      <c r="T1069" s="1867"/>
      <c r="U1069" s="1867"/>
      <c r="V1069" s="1867"/>
      <c r="W1069" s="1867"/>
      <c r="X1069" s="1867"/>
      <c r="Y1069" s="1867"/>
      <c r="Z1069" s="1867"/>
      <c r="AA1069" s="1867"/>
      <c r="AB1069" s="1867"/>
      <c r="AC1069" s="1867"/>
      <c r="AD1069" s="1867"/>
      <c r="AE1069" s="1867"/>
      <c r="AF1069" s="1867"/>
      <c r="AG1069" s="1867"/>
      <c r="AH1069" s="1867"/>
      <c r="AI1069" s="1867"/>
      <c r="AJ1069" s="1867"/>
      <c r="AK1069" s="1867"/>
      <c r="AL1069" s="1867"/>
      <c r="AM1069" s="1867"/>
      <c r="AN1069" s="1867"/>
      <c r="AO1069" s="1165"/>
      <c r="AP1069" s="1165"/>
      <c r="AQ1069" s="68"/>
      <c r="AR1069" s="68"/>
      <c r="AS1069" s="68"/>
      <c r="AT1069" s="68"/>
      <c r="AU1069" s="68"/>
      <c r="AV1069" s="68"/>
      <c r="AW1069" s="68"/>
      <c r="AX1069" s="68"/>
      <c r="AY1069" s="68"/>
    </row>
    <row r="1070" spans="1:56" ht="12.9" customHeight="1">
      <c r="A1070" s="1345" t="s">
        <v>794</v>
      </c>
      <c r="B1070" s="1345"/>
      <c r="C1070" s="1345"/>
      <c r="D1070" s="1345"/>
      <c r="E1070" s="1345"/>
      <c r="F1070" s="1345"/>
      <c r="G1070" s="1345"/>
      <c r="H1070" s="1345"/>
      <c r="I1070" s="1345"/>
      <c r="J1070" s="1345"/>
      <c r="K1070" s="1345"/>
      <c r="L1070" s="1345"/>
      <c r="M1070" s="1345"/>
      <c r="N1070" s="1345"/>
      <c r="O1070" s="1345"/>
      <c r="P1070" s="1345"/>
      <c r="Q1070" s="1345"/>
      <c r="R1070" s="1345"/>
      <c r="S1070" s="1345"/>
      <c r="T1070" s="1345"/>
      <c r="U1070" s="1345"/>
      <c r="V1070" s="1345"/>
      <c r="W1070" s="1345"/>
      <c r="X1070" s="1345"/>
      <c r="Y1070" s="1345"/>
      <c r="Z1070" s="1345"/>
      <c r="AA1070" s="1345"/>
      <c r="AB1070" s="1345"/>
      <c r="AC1070" s="1345"/>
      <c r="AD1070" s="1345"/>
      <c r="AE1070" s="1345"/>
      <c r="AF1070" s="1345"/>
      <c r="AG1070" s="1345"/>
      <c r="AH1070" s="1345"/>
      <c r="AI1070" s="1345"/>
      <c r="AJ1070" s="1345"/>
      <c r="AK1070" s="1345"/>
      <c r="AL1070" s="1345"/>
      <c r="AM1070" s="1345"/>
      <c r="AN1070" s="1345"/>
      <c r="AO1070" s="1345"/>
      <c r="AP1070" s="1345"/>
      <c r="AQ1070" s="1345"/>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41" t="s">
        <v>545</v>
      </c>
      <c r="B1074" s="1341"/>
      <c r="C1074" s="1342">
        <v>1</v>
      </c>
      <c r="D1074" s="1342"/>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342"/>
      <c r="D1075" s="134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41" t="s">
        <v>591</v>
      </c>
      <c r="B1076" s="1341"/>
      <c r="C1076" s="1342">
        <v>2</v>
      </c>
      <c r="D1076" s="1342"/>
      <c r="E1076" s="1344" t="s">
        <v>2193</v>
      </c>
      <c r="F1076" s="1344"/>
      <c r="G1076" s="1344"/>
      <c r="H1076" s="1344"/>
      <c r="I1076" s="1344"/>
      <c r="J1076" s="1344"/>
      <c r="K1076" s="1344"/>
      <c r="L1076" s="1344"/>
      <c r="M1076" s="1344"/>
      <c r="N1076" s="1344"/>
      <c r="O1076" s="1344"/>
      <c r="P1076" s="1344"/>
      <c r="Q1076" s="1344"/>
      <c r="R1076" s="1344"/>
      <c r="S1076" s="1344"/>
      <c r="T1076" s="1344"/>
      <c r="U1076" s="1344"/>
      <c r="V1076" s="1344"/>
      <c r="W1076" s="1344"/>
      <c r="X1076" s="1344"/>
      <c r="Y1076" s="1344"/>
      <c r="Z1076" s="1344"/>
      <c r="AA1076" s="1344"/>
      <c r="AB1076" s="1344"/>
      <c r="AC1076" s="1344"/>
      <c r="AD1076" s="1344"/>
      <c r="AE1076" s="1344"/>
      <c r="AF1076" s="1344"/>
      <c r="AG1076" s="1344"/>
      <c r="AH1076" s="1344"/>
      <c r="AI1076" s="1344"/>
      <c r="AJ1076" s="1344"/>
      <c r="AK1076" s="1344"/>
      <c r="AL1076" s="1344"/>
      <c r="AM1076" s="1344"/>
      <c r="AN1076" s="1344"/>
      <c r="AO1076" s="1344"/>
      <c r="AP1076" s="1344"/>
      <c r="AQ1076" s="1344"/>
      <c r="AR1076" s="1344"/>
      <c r="AS1076" s="14"/>
      <c r="AT1076" s="14"/>
      <c r="AV1076" s="68"/>
      <c r="AW1076" s="68"/>
      <c r="AX1076" s="68"/>
      <c r="AY1076" s="68"/>
    </row>
    <row r="1077" spans="1:51" ht="12.9" customHeight="1">
      <c r="A1077" s="198"/>
      <c r="B1077" s="67"/>
      <c r="C1077" s="1342"/>
      <c r="D1077" s="1342"/>
      <c r="E1077" s="1344"/>
      <c r="F1077" s="1344"/>
      <c r="G1077" s="1344"/>
      <c r="H1077" s="1344"/>
      <c r="I1077" s="1344"/>
      <c r="J1077" s="1344"/>
      <c r="K1077" s="1344"/>
      <c r="L1077" s="1344"/>
      <c r="M1077" s="1344"/>
      <c r="N1077" s="1344"/>
      <c r="O1077" s="1344"/>
      <c r="P1077" s="1344"/>
      <c r="Q1077" s="1344"/>
      <c r="R1077" s="1344"/>
      <c r="S1077" s="1344"/>
      <c r="T1077" s="1344"/>
      <c r="U1077" s="1344"/>
      <c r="V1077" s="1344"/>
      <c r="W1077" s="1344"/>
      <c r="X1077" s="1344"/>
      <c r="Y1077" s="1344"/>
      <c r="Z1077" s="1344"/>
      <c r="AA1077" s="1344"/>
      <c r="AB1077" s="1344"/>
      <c r="AC1077" s="1344"/>
      <c r="AD1077" s="1344"/>
      <c r="AE1077" s="1344"/>
      <c r="AF1077" s="1344"/>
      <c r="AG1077" s="1344"/>
      <c r="AH1077" s="1344"/>
      <c r="AI1077" s="1344"/>
      <c r="AJ1077" s="1344"/>
      <c r="AK1077" s="1344"/>
      <c r="AL1077" s="1344"/>
      <c r="AM1077" s="1344"/>
      <c r="AN1077" s="1344"/>
      <c r="AO1077" s="1344"/>
      <c r="AP1077" s="1344"/>
      <c r="AQ1077" s="1344"/>
      <c r="AR1077" s="1344"/>
      <c r="AS1077" s="14"/>
      <c r="AT1077" s="14"/>
      <c r="AV1077" s="68"/>
      <c r="AW1077" s="68"/>
      <c r="AX1077" s="68"/>
      <c r="AY1077" s="68"/>
    </row>
    <row r="1078" spans="1:51" ht="12.9" customHeight="1">
      <c r="A1078" s="198"/>
      <c r="B1078" s="67"/>
      <c r="C1078" s="1342"/>
      <c r="D1078" s="134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41" t="s">
        <v>591</v>
      </c>
      <c r="B1079" s="1341"/>
      <c r="C1079" s="1343">
        <v>3</v>
      </c>
      <c r="D1079" s="1343"/>
      <c r="E1079" s="1303" t="s">
        <v>1080</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2.9" customHeight="1">
      <c r="A1080" s="1"/>
      <c r="B1080" s="1"/>
      <c r="C1080" s="1343"/>
      <c r="D1080" s="134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2.9" customHeight="1">
      <c r="A1081" s="1"/>
      <c r="B1081" s="1"/>
      <c r="C1081" s="1343"/>
      <c r="D1081" s="134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2.9" customHeight="1">
      <c r="A1082" s="1"/>
      <c r="B1082" s="1"/>
      <c r="C1082" s="1343"/>
      <c r="D1082" s="1343"/>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2.9" customHeight="1">
      <c r="A1083" s="2"/>
      <c r="B1083" s="25"/>
      <c r="C1083" s="1343"/>
      <c r="D1083" s="134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41" t="s">
        <v>591</v>
      </c>
      <c r="B1084" s="1341"/>
      <c r="C1084" s="1343">
        <v>4</v>
      </c>
      <c r="D1084" s="1343"/>
      <c r="E1084" s="1303" t="s">
        <v>1079</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2.9" customHeight="1">
      <c r="A1085" s="1"/>
      <c r="B1085" s="1"/>
      <c r="C1085" s="1343"/>
      <c r="D1085" s="1343"/>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2.9" customHeight="1">
      <c r="A1086" s="1"/>
      <c r="B1086" s="1"/>
      <c r="C1086" s="1343"/>
      <c r="D1086" s="1343"/>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2.9" customHeight="1">
      <c r="A1087" s="1"/>
      <c r="B1087" s="1"/>
      <c r="C1087" s="1343"/>
      <c r="D1087" s="1343"/>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2.9" customHeight="1">
      <c r="A1088" s="1"/>
      <c r="B1088" s="1"/>
      <c r="C1088" s="1343"/>
      <c r="D1088" s="1343"/>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2.9" customHeight="1">
      <c r="A1089" s="1"/>
      <c r="B1089" s="1"/>
      <c r="C1089" s="1343"/>
      <c r="D1089" s="134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41" t="s">
        <v>591</v>
      </c>
      <c r="B1090" s="1341"/>
      <c r="C1090" s="1343">
        <v>5</v>
      </c>
      <c r="D1090" s="1343"/>
      <c r="E1090" s="1303" t="s">
        <v>2196</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2.9" customHeight="1">
      <c r="A1091" s="4"/>
      <c r="B1091" s="4"/>
      <c r="C1091" s="1343"/>
      <c r="D1091" s="1343"/>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2.9" customHeight="1">
      <c r="A1092" s="4"/>
      <c r="B1092" s="4"/>
      <c r="C1092" s="1343"/>
      <c r="D1092" s="1343"/>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2.9" customHeight="1">
      <c r="A1093" s="35"/>
      <c r="B1093" s="25"/>
      <c r="C1093" s="1343"/>
      <c r="D1093" s="134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41" t="s">
        <v>591</v>
      </c>
      <c r="B1094" s="1341"/>
      <c r="C1094" s="1343">
        <v>6</v>
      </c>
      <c r="D1094" s="1343"/>
      <c r="E1094" s="1303" t="s">
        <v>2197</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2.9"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2.9" customHeight="1">
      <c r="A1096" s="1"/>
      <c r="B1096" s="1"/>
      <c r="C1096" s="1343"/>
      <c r="D1096" s="1343"/>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2.9" customHeight="1">
      <c r="A1097" s="35"/>
      <c r="B1097" s="25"/>
      <c r="C1097" s="1343"/>
      <c r="D1097" s="134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41" t="s">
        <v>591</v>
      </c>
      <c r="B1098" s="1341"/>
      <c r="C1098" s="1343">
        <v>7</v>
      </c>
      <c r="D1098" s="1343"/>
      <c r="E1098" s="1303" t="s">
        <v>2095</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2.9" customHeight="1">
      <c r="A1099" s="1"/>
      <c r="B1099" s="1"/>
      <c r="C1099" s="1343"/>
      <c r="D1099" s="134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2.9" customHeight="1">
      <c r="A1100" s="1"/>
      <c r="B1100" s="1"/>
      <c r="C1100" s="1343"/>
      <c r="D1100" s="134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2.9" customHeight="1">
      <c r="A1101" s="1"/>
      <c r="B1101" s="1"/>
      <c r="C1101" s="1343"/>
      <c r="D1101" s="134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43"/>
      <c r="D1102" s="134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41" t="s">
        <v>591</v>
      </c>
      <c r="B1103" s="1341"/>
      <c r="C1103" s="1343">
        <v>8</v>
      </c>
      <c r="D1103" s="1343"/>
      <c r="E1103" s="1303" t="s">
        <v>1073</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2.9" customHeight="1">
      <c r="A1104" s="35"/>
      <c r="B1104" s="25"/>
      <c r="C1104" s="1343"/>
      <c r="D1104" s="1343"/>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2.9" customHeight="1">
      <c r="A1105" s="35"/>
      <c r="B1105" s="25"/>
      <c r="C1105" s="1343"/>
      <c r="D1105" s="134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41" t="s">
        <v>591</v>
      </c>
      <c r="B1106" s="1341"/>
      <c r="C1106" s="1342">
        <v>9</v>
      </c>
      <c r="D1106" s="1342"/>
      <c r="E1106" s="1303" t="s">
        <v>1075</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2.9" customHeight="1">
      <c r="A1107" s="1"/>
      <c r="B1107" s="1"/>
      <c r="C1107" s="1342"/>
      <c r="D1107" s="1342"/>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2.9" customHeight="1">
      <c r="A1108" s="35"/>
      <c r="B1108" s="25"/>
      <c r="C1108" s="1342"/>
      <c r="D1108" s="134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41" t="s">
        <v>591</v>
      </c>
      <c r="B1109" s="1341"/>
      <c r="C1109" s="1342">
        <v>10</v>
      </c>
      <c r="D1109" s="1342"/>
      <c r="E1109" s="1305" t="s">
        <v>2194</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2.9"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41" t="s">
        <v>591</v>
      </c>
      <c r="B1112" s="1341"/>
      <c r="C1112" s="1342">
        <v>11</v>
      </c>
      <c r="D1112" s="1342"/>
      <c r="E1112" s="1305" t="s">
        <v>2195</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2.9"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1" t="s">
        <v>591</v>
      </c>
      <c r="B1134" s="1341"/>
      <c r="C1134" s="199">
        <v>9</v>
      </c>
      <c r="D1134" s="1270" t="s">
        <v>1074</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EO805:ES805"/>
    <mergeCell ref="DZ795:ED795"/>
    <mergeCell ref="DZ796:ED796"/>
    <mergeCell ref="DZ797:ED797"/>
    <mergeCell ref="DZ798:ED798"/>
    <mergeCell ref="DZ799:ED799"/>
    <mergeCell ref="DZ800:ED800"/>
    <mergeCell ref="DZ801:ED801"/>
    <mergeCell ref="DZ802:ED802"/>
    <mergeCell ref="DZ803:ED803"/>
    <mergeCell ref="DZ804:ED804"/>
    <mergeCell ref="EO797:ES797"/>
    <mergeCell ref="EO798:ES798"/>
    <mergeCell ref="EO799:ES799"/>
    <mergeCell ref="EO800:ES800"/>
    <mergeCell ref="EO801:ES801"/>
    <mergeCell ref="EO802:ES802"/>
    <mergeCell ref="EO803:ES803"/>
    <mergeCell ref="EO795:ES795"/>
    <mergeCell ref="DZ805:ED805"/>
    <mergeCell ref="EE795:EI795"/>
    <mergeCell ref="EE796:EI796"/>
    <mergeCell ref="EO796:ES796"/>
    <mergeCell ref="EJ796:EN796"/>
    <mergeCell ref="EJ797:EN797"/>
    <mergeCell ref="EJ798:EN798"/>
    <mergeCell ref="EJ799:EN799"/>
    <mergeCell ref="EJ800:EN800"/>
    <mergeCell ref="EJ801:EN801"/>
    <mergeCell ref="EJ802:EN802"/>
    <mergeCell ref="EJ803:EN803"/>
    <mergeCell ref="EJ804:EN804"/>
    <mergeCell ref="EE804:EI804"/>
    <mergeCell ref="EE805:EI805"/>
    <mergeCell ref="AA1065:AF1065"/>
    <mergeCell ref="AA1066:AF1066"/>
    <mergeCell ref="G1067:AN1069"/>
    <mergeCell ref="DO804:DS804"/>
    <mergeCell ref="DO805:DS805"/>
    <mergeCell ref="DE798:DI798"/>
    <mergeCell ref="DE799:DI799"/>
    <mergeCell ref="DE800:DI800"/>
    <mergeCell ref="CP805:CT805"/>
    <mergeCell ref="Y809:AC809"/>
    <mergeCell ref="Y808:AC808"/>
    <mergeCell ref="Q835:T835"/>
    <mergeCell ref="M836:P836"/>
    <mergeCell ref="M835:P835"/>
    <mergeCell ref="AC800:AG800"/>
    <mergeCell ref="AC835:AF835"/>
    <mergeCell ref="Q837:T837"/>
    <mergeCell ref="U836:X836"/>
    <mergeCell ref="DO798:DS798"/>
    <mergeCell ref="DO799:DS799"/>
    <mergeCell ref="DU802:DY802"/>
    <mergeCell ref="DU803:DY803"/>
    <mergeCell ref="DU804:DY804"/>
    <mergeCell ref="DJ798:DN798"/>
    <mergeCell ref="DJ799:DN799"/>
    <mergeCell ref="DJ800:DN800"/>
    <mergeCell ref="DJ801:DN801"/>
    <mergeCell ref="DJ802:DN802"/>
    <mergeCell ref="DJ803:DN803"/>
    <mergeCell ref="DO800:DS800"/>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E797:DI797"/>
    <mergeCell ref="DJ804:DN804"/>
    <mergeCell ref="EO804:ES804"/>
    <mergeCell ref="DU805:DY805"/>
    <mergeCell ref="DO801:DS801"/>
    <mergeCell ref="DO802:DS802"/>
    <mergeCell ref="DO803:DS803"/>
    <mergeCell ref="EJ805:EN805"/>
    <mergeCell ref="DJ805:DN805"/>
    <mergeCell ref="DE803:DI803"/>
    <mergeCell ref="DE804:DI804"/>
    <mergeCell ref="DE805:DI805"/>
    <mergeCell ref="EE797:EI797"/>
    <mergeCell ref="EE798:EI798"/>
    <mergeCell ref="EE799:EI799"/>
    <mergeCell ref="EE800:EI800"/>
    <mergeCell ref="ET795:EX795"/>
    <mergeCell ref="ET796:EX796"/>
    <mergeCell ref="ET797:EX797"/>
    <mergeCell ref="ET798:EX798"/>
    <mergeCell ref="ET799:EX799"/>
    <mergeCell ref="ET800:EX800"/>
    <mergeCell ref="ET801:EX801"/>
    <mergeCell ref="ET802:EX802"/>
    <mergeCell ref="ET803:EX803"/>
    <mergeCell ref="EE801:EI801"/>
    <mergeCell ref="EE802:EI802"/>
    <mergeCell ref="EE803:EI803"/>
    <mergeCell ref="DO795:DS795"/>
    <mergeCell ref="DO796:DS796"/>
    <mergeCell ref="DO797:DS797"/>
    <mergeCell ref="DJ795:DN795"/>
    <mergeCell ref="DJ796:DN796"/>
    <mergeCell ref="DJ797:DN797"/>
    <mergeCell ref="X760:AB760"/>
    <mergeCell ref="CP785:CT785"/>
    <mergeCell ref="CP781:CT781"/>
    <mergeCell ref="CG758:CH758"/>
    <mergeCell ref="CI760:CJ760"/>
    <mergeCell ref="CI758:CJ758"/>
    <mergeCell ref="CM761:CN761"/>
    <mergeCell ref="AC784:AG784"/>
    <mergeCell ref="CP797:CT797"/>
    <mergeCell ref="CU781:CY781"/>
    <mergeCell ref="CP802:CT802"/>
    <mergeCell ref="DE801:DI801"/>
    <mergeCell ref="DE802:DI802"/>
    <mergeCell ref="CU784:CY784"/>
    <mergeCell ref="CP758:CT758"/>
    <mergeCell ref="CU758:CY758"/>
    <mergeCell ref="CU760:CY760"/>
    <mergeCell ref="DE795:DI795"/>
    <mergeCell ref="DE796:DI796"/>
    <mergeCell ref="CU796:CY796"/>
    <mergeCell ref="CU797:CY797"/>
    <mergeCell ref="CU798:CY798"/>
    <mergeCell ref="CU799:CY799"/>
    <mergeCell ref="CU800:CY800"/>
    <mergeCell ref="CU801:CY801"/>
    <mergeCell ref="CG751:CH751"/>
    <mergeCell ref="CK749:CL749"/>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CU756:CY756"/>
    <mergeCell ref="CP755:CT755"/>
    <mergeCell ref="CU751:CY751"/>
    <mergeCell ref="CZ751:DD751"/>
    <mergeCell ref="CG749:CH749"/>
    <mergeCell ref="CK751:CL751"/>
    <mergeCell ref="CG750:CH750"/>
    <mergeCell ref="CI759:CJ759"/>
    <mergeCell ref="CK754:CL754"/>
    <mergeCell ref="CG755:CH755"/>
    <mergeCell ref="CG754:CH754"/>
    <mergeCell ref="DO752:DS752"/>
    <mergeCell ref="CM753:CN753"/>
    <mergeCell ref="CG753:CH753"/>
    <mergeCell ref="CI753:CJ753"/>
    <mergeCell ref="CG752:CH752"/>
    <mergeCell ref="CZ755:DD755"/>
    <mergeCell ref="DE755:DI755"/>
    <mergeCell ref="CP752:CT752"/>
    <mergeCell ref="AK756:AO756"/>
    <mergeCell ref="CZ783:DD783"/>
    <mergeCell ref="CZ784:DD784"/>
    <mergeCell ref="CM752:CN752"/>
    <mergeCell ref="CI747:CJ747"/>
    <mergeCell ref="CI751:CJ751"/>
    <mergeCell ref="CG756:CH756"/>
    <mergeCell ref="CG759:CH759"/>
    <mergeCell ref="CU746:CY746"/>
    <mergeCell ref="CK753:CL753"/>
    <mergeCell ref="CI761:CJ761"/>
    <mergeCell ref="CP746:CT746"/>
    <mergeCell ref="CU748:CY748"/>
    <mergeCell ref="CU759:CY759"/>
    <mergeCell ref="CK747:CL747"/>
    <mergeCell ref="CK760:CL760"/>
    <mergeCell ref="CP759:CT759"/>
    <mergeCell ref="CM759:CN759"/>
    <mergeCell ref="CI757:CJ757"/>
    <mergeCell ref="CK757:CL757"/>
    <mergeCell ref="CM757:CN757"/>
    <mergeCell ref="CP757:CT757"/>
    <mergeCell ref="CU757:CY757"/>
    <mergeCell ref="CZ757:DD757"/>
    <mergeCell ref="FO761:FS761"/>
    <mergeCell ref="FE756:FI756"/>
    <mergeCell ref="FJ756:FN756"/>
    <mergeCell ref="FO756:FS756"/>
    <mergeCell ref="EZ753:FD753"/>
    <mergeCell ref="DE726:DI726"/>
    <mergeCell ref="CK726:CL726"/>
    <mergeCell ref="CU795:CY795"/>
    <mergeCell ref="DE750:DI750"/>
    <mergeCell ref="CZ758:DD758"/>
    <mergeCell ref="CK756:CL756"/>
    <mergeCell ref="CM756:CN756"/>
    <mergeCell ref="CG757:CH757"/>
    <mergeCell ref="CP754:CT754"/>
    <mergeCell ref="CU754:CY754"/>
    <mergeCell ref="CI756:CJ756"/>
    <mergeCell ref="CI749:CJ749"/>
    <mergeCell ref="CM739:CN739"/>
    <mergeCell ref="DE749:DI749"/>
    <mergeCell ref="CK741:CL741"/>
    <mergeCell ref="CU752:CY752"/>
    <mergeCell ref="FJ761:FN761"/>
    <mergeCell ref="CK758:CL758"/>
    <mergeCell ref="CM758:CN758"/>
    <mergeCell ref="CK755:CL755"/>
    <mergeCell ref="CM755:CN755"/>
    <mergeCell ref="CP750:CT750"/>
    <mergeCell ref="CP751:CT751"/>
    <mergeCell ref="FE729:FI729"/>
    <mergeCell ref="FE733:FI733"/>
    <mergeCell ref="CM730:CN730"/>
    <mergeCell ref="CK752:CL752"/>
    <mergeCell ref="FY733:GC733"/>
    <mergeCell ref="EW644:FA644"/>
    <mergeCell ref="ER645:EV645"/>
    <mergeCell ref="ET757:EX757"/>
    <mergeCell ref="DU758:DY758"/>
    <mergeCell ref="DZ758:ED758"/>
    <mergeCell ref="EJ745:EN745"/>
    <mergeCell ref="DZ756:ED756"/>
    <mergeCell ref="EZ749:FD749"/>
    <mergeCell ref="FE749:FI749"/>
    <mergeCell ref="FJ749:FN749"/>
    <mergeCell ref="FO749:FS749"/>
    <mergeCell ref="FE750:FI750"/>
    <mergeCell ref="FJ750:FN750"/>
    <mergeCell ref="CZ756:DD756"/>
    <mergeCell ref="DE756:DI756"/>
    <mergeCell ref="DJ756:DN756"/>
    <mergeCell ref="DO756:DS756"/>
    <mergeCell ref="CZ752:DD752"/>
    <mergeCell ref="FE754:FI754"/>
    <mergeCell ref="FJ754:FN754"/>
    <mergeCell ref="CZ748:DD748"/>
    <mergeCell ref="CZ747:DD747"/>
    <mergeCell ref="FJ753:FN753"/>
    <mergeCell ref="FO753:FS753"/>
    <mergeCell ref="DE747:DI747"/>
    <mergeCell ref="CZ750:DD750"/>
    <mergeCell ref="DE754:DI754"/>
    <mergeCell ref="DJ751:DN751"/>
    <mergeCell ref="DO751:DS751"/>
    <mergeCell ref="EW673:FA673"/>
    <mergeCell ref="EW670:FA670"/>
    <mergeCell ref="FY735:GC735"/>
    <mergeCell ref="FY729:GC729"/>
    <mergeCell ref="FE730:FI730"/>
    <mergeCell ref="FJ730:FN730"/>
    <mergeCell ref="FO730:FS730"/>
    <mergeCell ref="FT730:FX730"/>
    <mergeCell ref="FY730:GC730"/>
    <mergeCell ref="FE731:FI731"/>
    <mergeCell ref="FJ731:FN731"/>
    <mergeCell ref="FO731:FS731"/>
    <mergeCell ref="FO733:FS733"/>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EC676:EG676"/>
    <mergeCell ref="DX654:EB654"/>
    <mergeCell ref="DU754:DY754"/>
    <mergeCell ref="DZ754:ED754"/>
    <mergeCell ref="EE754:EI754"/>
    <mergeCell ref="EJ754:EN754"/>
    <mergeCell ref="EO754:ES754"/>
    <mergeCell ref="ET754:EX754"/>
    <mergeCell ref="DU755:DY755"/>
    <mergeCell ref="DU753:DY753"/>
    <mergeCell ref="DX668:EB668"/>
    <mergeCell ref="EE749:EI749"/>
    <mergeCell ref="EJ749:EN749"/>
    <mergeCell ref="EO749:ES749"/>
    <mergeCell ref="EC666:EG666"/>
    <mergeCell ref="EH666:EL666"/>
    <mergeCell ref="EM666:EQ666"/>
    <mergeCell ref="ER666:EV666"/>
    <mergeCell ref="EW666:FA666"/>
    <mergeCell ref="EC673:EG673"/>
    <mergeCell ref="EH673:EL673"/>
    <mergeCell ref="EM673:EQ673"/>
    <mergeCell ref="ER673:EV673"/>
    <mergeCell ref="EJ729:EN729"/>
    <mergeCell ref="W480:Y480"/>
    <mergeCell ref="FT758:FX758"/>
    <mergeCell ref="FY758:GC758"/>
    <mergeCell ref="CM749:CN749"/>
    <mergeCell ref="FJ755:FN755"/>
    <mergeCell ref="FO755:FS755"/>
    <mergeCell ref="FT755:FX755"/>
    <mergeCell ref="FY751:GC751"/>
    <mergeCell ref="EZ752:FD752"/>
    <mergeCell ref="FE752:FI752"/>
    <mergeCell ref="FJ752:FN752"/>
    <mergeCell ref="FO752:FS752"/>
    <mergeCell ref="FT752:FX752"/>
    <mergeCell ref="FY752:GC752"/>
    <mergeCell ref="DU751:DY751"/>
    <mergeCell ref="DZ751:ED751"/>
    <mergeCell ref="EE751:EI751"/>
    <mergeCell ref="EJ751:EN751"/>
    <mergeCell ref="EE758:EI758"/>
    <mergeCell ref="EJ758:EN758"/>
    <mergeCell ref="EO758:ES758"/>
    <mergeCell ref="ET758:EX758"/>
    <mergeCell ref="EE750:EI750"/>
    <mergeCell ref="EJ750:EN750"/>
    <mergeCell ref="EZ730:FD730"/>
    <mergeCell ref="EZ731:FD731"/>
    <mergeCell ref="EZ729:FD729"/>
    <mergeCell ref="EZ733:FD733"/>
    <mergeCell ref="EZ732:FD732"/>
    <mergeCell ref="DX672:EB672"/>
    <mergeCell ref="EC650:EG650"/>
    <mergeCell ref="DX676:EB676"/>
    <mergeCell ref="CM751:CN751"/>
    <mergeCell ref="CP748:CT748"/>
    <mergeCell ref="CZ741:DD741"/>
    <mergeCell ref="DZ755:ED755"/>
    <mergeCell ref="FT754:FX754"/>
    <mergeCell ref="FY754:GC754"/>
    <mergeCell ref="EZ755:FD755"/>
    <mergeCell ref="FE755:FI755"/>
    <mergeCell ref="FO754:FS754"/>
    <mergeCell ref="EE756:EI756"/>
    <mergeCell ref="EJ756:EN756"/>
    <mergeCell ref="EO756:ES756"/>
    <mergeCell ref="ET756:EX756"/>
    <mergeCell ref="EO755:ES755"/>
    <mergeCell ref="ET755:EX755"/>
    <mergeCell ref="DU756:DY756"/>
    <mergeCell ref="DZ753:ED753"/>
    <mergeCell ref="DJ753:DN753"/>
    <mergeCell ref="DO753:DS753"/>
    <mergeCell ref="DO755:DS755"/>
    <mergeCell ref="EO748:ES748"/>
    <mergeCell ref="DU750:DY750"/>
    <mergeCell ref="DZ750:ED750"/>
    <mergeCell ref="ET750:EX750"/>
    <mergeCell ref="FO750:FS750"/>
    <mergeCell ref="CU755:CY755"/>
    <mergeCell ref="CU749:CY749"/>
    <mergeCell ref="FO744:FS744"/>
    <mergeCell ref="FT744:FX744"/>
    <mergeCell ref="FY741:GC741"/>
    <mergeCell ref="FY747:GC747"/>
    <mergeCell ref="DU749:DY749"/>
    <mergeCell ref="W482:Y482"/>
    <mergeCell ref="AK750:AO750"/>
    <mergeCell ref="CP753:CT753"/>
    <mergeCell ref="X750:AB750"/>
    <mergeCell ref="AH750:AJ750"/>
    <mergeCell ref="AK747:AO747"/>
    <mergeCell ref="B749:F749"/>
    <mergeCell ref="DJ741:DN741"/>
    <mergeCell ref="D480:V480"/>
    <mergeCell ref="W474:Y474"/>
    <mergeCell ref="AE559:AH561"/>
    <mergeCell ref="AI559:AL561"/>
    <mergeCell ref="EO751:ES751"/>
    <mergeCell ref="ET751:EX751"/>
    <mergeCell ref="DU752:DY752"/>
    <mergeCell ref="DZ752:ED752"/>
    <mergeCell ref="EE752:EI752"/>
    <mergeCell ref="EJ752:EN752"/>
    <mergeCell ref="EO752:ES752"/>
    <mergeCell ref="ET752:EX752"/>
    <mergeCell ref="EJ753:EN753"/>
    <mergeCell ref="AH515:AK515"/>
    <mergeCell ref="DJ752:DN752"/>
    <mergeCell ref="CM750:CN750"/>
    <mergeCell ref="AH518:AK518"/>
    <mergeCell ref="AA590:AK590"/>
    <mergeCell ref="Z562:AD562"/>
    <mergeCell ref="AH539:AK539"/>
    <mergeCell ref="CM728:CN728"/>
    <mergeCell ref="CP728:CT728"/>
    <mergeCell ref="CU728:CY728"/>
    <mergeCell ref="CU731:CY731"/>
    <mergeCell ref="AG459:AJ459"/>
    <mergeCell ref="D475:V475"/>
    <mergeCell ref="AG450:AJ450"/>
    <mergeCell ref="AC546:AF546"/>
    <mergeCell ref="AH523:AK523"/>
    <mergeCell ref="AG452:AJ452"/>
    <mergeCell ref="AG453:AJ453"/>
    <mergeCell ref="AC549:AF549"/>
    <mergeCell ref="AG458:AJ458"/>
    <mergeCell ref="AG456:AJ456"/>
    <mergeCell ref="AC463:AF463"/>
    <mergeCell ref="D457:AF457"/>
    <mergeCell ref="AG454:AJ454"/>
    <mergeCell ref="EZ756:FD756"/>
    <mergeCell ref="FT750:FX750"/>
    <mergeCell ref="CI755:CJ755"/>
    <mergeCell ref="CI754:CJ754"/>
    <mergeCell ref="CI752:CJ752"/>
    <mergeCell ref="CM754:CN754"/>
    <mergeCell ref="DJ750:DN750"/>
    <mergeCell ref="EO750:ES750"/>
    <mergeCell ref="DO750:DS750"/>
    <mergeCell ref="DE751:DI751"/>
    <mergeCell ref="DJ755:DN755"/>
    <mergeCell ref="Q502:AK502"/>
    <mergeCell ref="AC464:AF464"/>
    <mergeCell ref="D474:V474"/>
    <mergeCell ref="Q499:AK499"/>
    <mergeCell ref="AH503:AK503"/>
    <mergeCell ref="D473:V473"/>
    <mergeCell ref="AC517:AF517"/>
    <mergeCell ref="Q493:AK493"/>
    <mergeCell ref="D455:AF455"/>
    <mergeCell ref="D456:AF456"/>
    <mergeCell ref="AC512:AF512"/>
    <mergeCell ref="D478:V478"/>
    <mergeCell ref="AC538:AF538"/>
    <mergeCell ref="Z563:AD563"/>
    <mergeCell ref="Z559:AD561"/>
    <mergeCell ref="AH521:AK521"/>
    <mergeCell ref="Q564:S564"/>
    <mergeCell ref="M562:P562"/>
    <mergeCell ref="W427:Y427"/>
    <mergeCell ref="AG448:AJ448"/>
    <mergeCell ref="AE433:AF433"/>
    <mergeCell ref="AF427:AH427"/>
    <mergeCell ref="W477:Y477"/>
    <mergeCell ref="O537:AA537"/>
    <mergeCell ref="AH541:AK541"/>
    <mergeCell ref="B528:H550"/>
    <mergeCell ref="Z441:AA441"/>
    <mergeCell ref="Q495:AK495"/>
    <mergeCell ref="Q494:AK494"/>
    <mergeCell ref="AH510:AK510"/>
    <mergeCell ref="AC507:AK507"/>
    <mergeCell ref="W476:Y476"/>
    <mergeCell ref="B511:H516"/>
    <mergeCell ref="D459:AF459"/>
    <mergeCell ref="D449:AF449"/>
    <mergeCell ref="AC534:AF534"/>
    <mergeCell ref="AH511:AK511"/>
    <mergeCell ref="AC508:AF508"/>
    <mergeCell ref="AH540:AK540"/>
    <mergeCell ref="AC530:AF530"/>
    <mergeCell ref="AM563:AS56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B497:P498"/>
    <mergeCell ref="AC514:AF514"/>
    <mergeCell ref="Q497:R498"/>
    <mergeCell ref="Q496:AK496"/>
    <mergeCell ref="AH543:AK543"/>
    <mergeCell ref="AC540:AF540"/>
    <mergeCell ref="AC539:AF539"/>
    <mergeCell ref="AC547:AF547"/>
    <mergeCell ref="L516:AB516"/>
    <mergeCell ref="O528:AA528"/>
    <mergeCell ref="D446:AF446"/>
    <mergeCell ref="D451:AF451"/>
    <mergeCell ref="AH526:AK526"/>
    <mergeCell ref="D453:AF453"/>
    <mergeCell ref="R420:S420"/>
    <mergeCell ref="I430:K430"/>
    <mergeCell ref="AM568:AS568"/>
    <mergeCell ref="CG738:CH738"/>
    <mergeCell ref="CG736:CH736"/>
    <mergeCell ref="CG745:CH745"/>
    <mergeCell ref="CG734:CH734"/>
    <mergeCell ref="CZ749:DD749"/>
    <mergeCell ref="CG737:CH737"/>
    <mergeCell ref="CG731:CH731"/>
    <mergeCell ref="CG728:CH728"/>
    <mergeCell ref="CU741:CY741"/>
    <mergeCell ref="CU753:CY753"/>
    <mergeCell ref="CI728:CJ728"/>
    <mergeCell ref="CG730:CH730"/>
    <mergeCell ref="CU738:CY738"/>
    <mergeCell ref="D458:AF458"/>
    <mergeCell ref="Q562:S562"/>
    <mergeCell ref="AH537:AK537"/>
    <mergeCell ref="AH542:AK542"/>
    <mergeCell ref="AC518:AF518"/>
    <mergeCell ref="N591:O591"/>
    <mergeCell ref="Z641:AB641"/>
    <mergeCell ref="AE563:AH563"/>
    <mergeCell ref="Q563:S563"/>
    <mergeCell ref="AH547:AK547"/>
    <mergeCell ref="CZ725:DD725"/>
    <mergeCell ref="CI730:CJ730"/>
    <mergeCell ref="CG729:CH729"/>
    <mergeCell ref="CK728:CL728"/>
    <mergeCell ref="CG739:CH739"/>
    <mergeCell ref="CP730:CT730"/>
    <mergeCell ref="CP726:CT726"/>
    <mergeCell ref="D460:AJ461"/>
    <mergeCell ref="G579:R579"/>
    <mergeCell ref="Q567:S567"/>
    <mergeCell ref="T567:V567"/>
    <mergeCell ref="B525:H527"/>
    <mergeCell ref="AC529:AF529"/>
    <mergeCell ref="AC545:AF545"/>
    <mergeCell ref="O534:AA534"/>
    <mergeCell ref="AC537:AF537"/>
    <mergeCell ref="AH538:AK538"/>
    <mergeCell ref="Z564:AD564"/>
    <mergeCell ref="AI563:AL563"/>
    <mergeCell ref="T566:V566"/>
    <mergeCell ref="T564:V564"/>
    <mergeCell ref="AC528:AF528"/>
    <mergeCell ref="AC535:AF535"/>
    <mergeCell ref="W559:Y561"/>
    <mergeCell ref="AH529:AK529"/>
    <mergeCell ref="C563:L563"/>
    <mergeCell ref="C564:L564"/>
    <mergeCell ref="M503:P503"/>
    <mergeCell ref="D450:AF450"/>
    <mergeCell ref="AG447:AJ447"/>
    <mergeCell ref="P434:Q434"/>
    <mergeCell ref="I427:K427"/>
    <mergeCell ref="Z636:AB636"/>
    <mergeCell ref="Z570:AD570"/>
    <mergeCell ref="W569:Y569"/>
    <mergeCell ref="W570:Y570"/>
    <mergeCell ref="Z577:AK577"/>
    <mergeCell ref="AK740:AO740"/>
    <mergeCell ref="AK741:AO741"/>
    <mergeCell ref="AK742:AO742"/>
    <mergeCell ref="AK743:AO743"/>
    <mergeCell ref="T569:V569"/>
    <mergeCell ref="Z685:AK685"/>
    <mergeCell ref="M645:P645"/>
    <mergeCell ref="M646:P646"/>
    <mergeCell ref="H581:R581"/>
    <mergeCell ref="B574:AL574"/>
    <mergeCell ref="AG697:AH697"/>
    <mergeCell ref="G691:R691"/>
    <mergeCell ref="B632:L634"/>
    <mergeCell ref="W646:Y646"/>
    <mergeCell ref="Z662:AK662"/>
    <mergeCell ref="P655:R655"/>
    <mergeCell ref="Z594:AK594"/>
    <mergeCell ref="P605:R605"/>
    <mergeCell ref="C635:L635"/>
    <mergeCell ref="P589:R589"/>
    <mergeCell ref="N599:O599"/>
    <mergeCell ref="G605:L605"/>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66:L566"/>
    <mergeCell ref="AC515:AF515"/>
    <mergeCell ref="AM565:AS565"/>
    <mergeCell ref="W638:Y638"/>
    <mergeCell ref="Z613:AE613"/>
    <mergeCell ref="Z617:AK617"/>
    <mergeCell ref="N615:O615"/>
    <mergeCell ref="AI565:AL565"/>
    <mergeCell ref="AM559:AS561"/>
    <mergeCell ref="Z595:AK595"/>
    <mergeCell ref="AI580:AK580"/>
    <mergeCell ref="T572:V572"/>
    <mergeCell ref="AM562:AS562"/>
    <mergeCell ref="AO647:AS647"/>
    <mergeCell ref="AO637:AS637"/>
    <mergeCell ref="AO646:AS646"/>
    <mergeCell ref="AC527:AF527"/>
    <mergeCell ref="W473:Y473"/>
    <mergeCell ref="AK642:AN642"/>
    <mergeCell ref="AK643:AN643"/>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AG404:AJ404"/>
    <mergeCell ref="AC525:AF525"/>
    <mergeCell ref="D481:V481"/>
    <mergeCell ref="AF439:AG439"/>
    <mergeCell ref="AG446:AJ446"/>
    <mergeCell ref="J397:U397"/>
    <mergeCell ref="P433:Q433"/>
    <mergeCell ref="W481:Y481"/>
    <mergeCell ref="AE568:AH568"/>
    <mergeCell ref="N583:O583"/>
    <mergeCell ref="H322:R322"/>
    <mergeCell ref="AA344:AK344"/>
    <mergeCell ref="D208:M208"/>
    <mergeCell ref="D211:M211"/>
    <mergeCell ref="AI237:AJ237"/>
    <mergeCell ref="U245:W245"/>
    <mergeCell ref="W262:X262"/>
    <mergeCell ref="M261:AE261"/>
    <mergeCell ref="AF260:AK260"/>
    <mergeCell ref="D279:H279"/>
    <mergeCell ref="X279:AC279"/>
    <mergeCell ref="U264:W264"/>
    <mergeCell ref="M273:AE273"/>
    <mergeCell ref="M272:R272"/>
    <mergeCell ref="M274:T274"/>
    <mergeCell ref="S422:T422"/>
    <mergeCell ref="S386:T386"/>
    <mergeCell ref="AD386:AE386"/>
    <mergeCell ref="AC380:AF380"/>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C356:AE356"/>
    <mergeCell ref="N379:Q379"/>
    <mergeCell ref="AC394:AJ394"/>
    <mergeCell ref="N387:P387"/>
    <mergeCell ref="AC379:AF379"/>
    <mergeCell ref="AE434:AF434"/>
    <mergeCell ref="M367:N367"/>
    <mergeCell ref="AI401:AJ401"/>
    <mergeCell ref="AG403:AJ403"/>
    <mergeCell ref="Q438:R438"/>
    <mergeCell ref="Q403:U403"/>
    <mergeCell ref="E429:AJ429"/>
    <mergeCell ref="V386:W386"/>
    <mergeCell ref="D415:AJ416"/>
    <mergeCell ref="P427:R427"/>
    <mergeCell ref="AA309:AF309"/>
    <mergeCell ref="W270:X270"/>
    <mergeCell ref="U272:W272"/>
    <mergeCell ref="M266:T266"/>
    <mergeCell ref="M265:AE265"/>
    <mergeCell ref="AA307:AK307"/>
    <mergeCell ref="AA301:AF301"/>
    <mergeCell ref="AC220:AQ220"/>
    <mergeCell ref="D205:M205"/>
    <mergeCell ref="J174:AB174"/>
    <mergeCell ref="V225:W225"/>
    <mergeCell ref="V224:W224"/>
    <mergeCell ref="V226:W226"/>
    <mergeCell ref="V227:W227"/>
    <mergeCell ref="V228:W228"/>
    <mergeCell ref="V229:W229"/>
    <mergeCell ref="I185:AE185"/>
    <mergeCell ref="I189:P189"/>
    <mergeCell ref="T189:AE189"/>
    <mergeCell ref="M246:AE246"/>
    <mergeCell ref="AA258:AK258"/>
    <mergeCell ref="M257:AE257"/>
    <mergeCell ref="U175:V175"/>
    <mergeCell ref="R177:S177"/>
    <mergeCell ref="L288:AD288"/>
    <mergeCell ref="Z264:AE264"/>
    <mergeCell ref="M264:R264"/>
    <mergeCell ref="A291:AT292"/>
    <mergeCell ref="AA247:AK247"/>
    <mergeCell ref="M260:AE260"/>
    <mergeCell ref="X180:Y180"/>
    <mergeCell ref="AP205:AQ20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D204:M204"/>
    <mergeCell ref="T197:U197"/>
    <mergeCell ref="Y120:AK120"/>
    <mergeCell ref="AI178:AK178"/>
    <mergeCell ref="J173:S173"/>
    <mergeCell ref="O155:AH155"/>
    <mergeCell ref="T195:U195"/>
    <mergeCell ref="E187:AE188"/>
    <mergeCell ref="AH197:AI197"/>
    <mergeCell ref="Z205:AN205"/>
    <mergeCell ref="O156:AH156"/>
    <mergeCell ref="Y123:AK123"/>
    <mergeCell ref="AI238:AJ238"/>
    <mergeCell ref="A86:AT87"/>
    <mergeCell ref="A89:AT90"/>
    <mergeCell ref="A92:AT98"/>
    <mergeCell ref="A100:AT103"/>
    <mergeCell ref="I184:AE184"/>
    <mergeCell ref="Y117:AK117"/>
    <mergeCell ref="M241:AK241"/>
    <mergeCell ref="A105:AT106"/>
    <mergeCell ref="L113:O113"/>
    <mergeCell ref="W159:X159"/>
    <mergeCell ref="A169:AT170"/>
    <mergeCell ref="M258:T258"/>
    <mergeCell ref="Z256:AE256"/>
    <mergeCell ref="W254:X254"/>
    <mergeCell ref="U256:W256"/>
    <mergeCell ref="T196:U196"/>
    <mergeCell ref="D220:Z220"/>
    <mergeCell ref="T193:AI193"/>
    <mergeCell ref="AI236:AJ236"/>
    <mergeCell ref="M256:R256"/>
    <mergeCell ref="P113:S113"/>
    <mergeCell ref="M253:AE253"/>
    <mergeCell ref="F150:T150"/>
    <mergeCell ref="O157:X157"/>
    <mergeCell ref="O158:R158"/>
    <mergeCell ref="O160:T160"/>
    <mergeCell ref="O159:T159"/>
    <mergeCell ref="X176:Y176"/>
    <mergeCell ref="AI235:AJ235"/>
    <mergeCell ref="M252:AE252"/>
    <mergeCell ref="M247:T247"/>
    <mergeCell ref="AF252:AK252"/>
    <mergeCell ref="T287:V287"/>
    <mergeCell ref="P300:R300"/>
    <mergeCell ref="AA296:AK296"/>
    <mergeCell ref="P205:U205"/>
    <mergeCell ref="M248:AE248"/>
    <mergeCell ref="AF178:AG178"/>
    <mergeCell ref="M254:T254"/>
    <mergeCell ref="M255:AE255"/>
    <mergeCell ref="AC254:AE254"/>
    <mergeCell ref="AA299:AK299"/>
    <mergeCell ref="AA320:AK320"/>
    <mergeCell ref="AA315:AK315"/>
    <mergeCell ref="AA312:AK312"/>
    <mergeCell ref="H320:R320"/>
    <mergeCell ref="H317:M317"/>
    <mergeCell ref="P316:R316"/>
    <mergeCell ref="H314:R314"/>
    <mergeCell ref="AA297:AK297"/>
    <mergeCell ref="H296:R296"/>
    <mergeCell ref="P308:R308"/>
    <mergeCell ref="H302:R302"/>
    <mergeCell ref="AB285:AD285"/>
    <mergeCell ref="W243:X243"/>
    <mergeCell ref="T212:U212"/>
    <mergeCell ref="AC262:AE262"/>
    <mergeCell ref="AH255:AK255"/>
    <mergeCell ref="A231:AT232"/>
    <mergeCell ref="T200:U200"/>
    <mergeCell ref="X198:AT199"/>
    <mergeCell ref="AH194:AI194"/>
    <mergeCell ref="M263:AE263"/>
    <mergeCell ref="AH271:AK271"/>
    <mergeCell ref="T276:X276"/>
    <mergeCell ref="AA328:AK328"/>
    <mergeCell ref="AA300:AF300"/>
    <mergeCell ref="AI300:AK300"/>
    <mergeCell ref="AA332:AF332"/>
    <mergeCell ref="H329:R329"/>
    <mergeCell ref="H305:R305"/>
    <mergeCell ref="H332:M332"/>
    <mergeCell ref="AA339:AK339"/>
    <mergeCell ref="H333:M333"/>
    <mergeCell ref="AA334:AK334"/>
    <mergeCell ref="L285:S285"/>
    <mergeCell ref="L287:Q287"/>
    <mergeCell ref="AA298:AK298"/>
    <mergeCell ref="AA340:AF340"/>
    <mergeCell ref="H315:R315"/>
    <mergeCell ref="AA313:AK313"/>
    <mergeCell ref="AA318:AK318"/>
    <mergeCell ref="AA316:AF316"/>
    <mergeCell ref="AA314:AK314"/>
    <mergeCell ref="AA326:AK326"/>
    <mergeCell ref="AA337:AK337"/>
    <mergeCell ref="AA336:AK336"/>
    <mergeCell ref="AI324:AK324"/>
    <mergeCell ref="AA321:AK321"/>
    <mergeCell ref="AA338:AK338"/>
    <mergeCell ref="AA330:AK330"/>
    <mergeCell ref="H334:R334"/>
    <mergeCell ref="H316:M316"/>
    <mergeCell ref="H338:R338"/>
    <mergeCell ref="H339:R339"/>
    <mergeCell ref="H310:R310"/>
    <mergeCell ref="L286:AD286"/>
    <mergeCell ref="Z272:AE272"/>
    <mergeCell ref="P348:R348"/>
    <mergeCell ref="AA350:AK350"/>
    <mergeCell ref="E377:AH378"/>
    <mergeCell ref="Q374:AG374"/>
    <mergeCell ref="H349:M349"/>
    <mergeCell ref="AA345:AK345"/>
    <mergeCell ref="H342:R342"/>
    <mergeCell ref="AJ366:AK366"/>
    <mergeCell ref="AA341:AF341"/>
    <mergeCell ref="H341:M341"/>
    <mergeCell ref="P340:R340"/>
    <mergeCell ref="AA333:AF333"/>
    <mergeCell ref="H337:R337"/>
    <mergeCell ref="AI332:AK332"/>
    <mergeCell ref="AA329:AK329"/>
    <mergeCell ref="H326:R326"/>
    <mergeCell ref="P332:R332"/>
    <mergeCell ref="AA324:AF324"/>
    <mergeCell ref="AA317:AF317"/>
    <mergeCell ref="H323:R323"/>
    <mergeCell ref="AA323:AK323"/>
    <mergeCell ref="AA322:AK322"/>
    <mergeCell ref="H297:R297"/>
    <mergeCell ref="H318:R318"/>
    <mergeCell ref="M365:N365"/>
    <mergeCell ref="H331:R331"/>
    <mergeCell ref="H347:R347"/>
    <mergeCell ref="AJ365:AK365"/>
    <mergeCell ref="H345:R345"/>
    <mergeCell ref="Y373:Z373"/>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Y287:AD287"/>
    <mergeCell ref="AA304:AK304"/>
    <mergeCell ref="AF268:AK268"/>
    <mergeCell ref="AC270:AE270"/>
    <mergeCell ref="M271:AE271"/>
    <mergeCell ref="AA308:AF308"/>
    <mergeCell ref="AI308:AK308"/>
    <mergeCell ref="H306:R306"/>
    <mergeCell ref="AH263:AK263"/>
    <mergeCell ref="M268:AE268"/>
    <mergeCell ref="AA302:AK302"/>
    <mergeCell ref="L289:AD289"/>
    <mergeCell ref="L284:AD284"/>
    <mergeCell ref="H299:R299"/>
    <mergeCell ref="V285:W285"/>
    <mergeCell ref="H301:M301"/>
    <mergeCell ref="AH508:AK508"/>
    <mergeCell ref="H340:M340"/>
    <mergeCell ref="H350:R350"/>
    <mergeCell ref="H344:R344"/>
    <mergeCell ref="AA342:AK342"/>
    <mergeCell ref="H348:M348"/>
    <mergeCell ref="H325:M325"/>
    <mergeCell ref="AA331:AK331"/>
    <mergeCell ref="H328:R328"/>
    <mergeCell ref="AA306:AK306"/>
    <mergeCell ref="AA310:AK310"/>
    <mergeCell ref="AA305:AK305"/>
    <mergeCell ref="D447:AF447"/>
    <mergeCell ref="AD421:AE421"/>
    <mergeCell ref="H423:AE424"/>
    <mergeCell ref="P324:R324"/>
    <mergeCell ref="N372:O372"/>
    <mergeCell ref="AA346:AK346"/>
    <mergeCell ref="H336:R336"/>
    <mergeCell ref="P358:AE358"/>
    <mergeCell ref="P352:AE352"/>
    <mergeCell ref="AA349:AF349"/>
    <mergeCell ref="P353:AE353"/>
    <mergeCell ref="AA347:AK347"/>
    <mergeCell ref="H346:R346"/>
    <mergeCell ref="P354:AE354"/>
    <mergeCell ref="R421:S421"/>
    <mergeCell ref="S411:U411"/>
    <mergeCell ref="AA348:AF348"/>
    <mergeCell ref="H324:M324"/>
    <mergeCell ref="H330:R330"/>
    <mergeCell ref="AE411:AJ411"/>
    <mergeCell ref="AA325:AF325"/>
    <mergeCell ref="Q398:U398"/>
    <mergeCell ref="AC550:AF550"/>
    <mergeCell ref="AH546:AK546"/>
    <mergeCell ref="AH528:AK528"/>
    <mergeCell ref="G610:R610"/>
    <mergeCell ref="G617:R617"/>
    <mergeCell ref="O543:AA543"/>
    <mergeCell ref="AH531:AK531"/>
    <mergeCell ref="AE562:AH562"/>
    <mergeCell ref="AH532:AK532"/>
    <mergeCell ref="AH533:AK533"/>
    <mergeCell ref="Q500:AK500"/>
    <mergeCell ref="AC536:AF536"/>
    <mergeCell ref="D454:AF454"/>
    <mergeCell ref="AG455:AJ455"/>
    <mergeCell ref="W475:Y475"/>
    <mergeCell ref="W478:Y478"/>
    <mergeCell ref="D479:V479"/>
    <mergeCell ref="O540:AA540"/>
    <mergeCell ref="AH513:AK513"/>
    <mergeCell ref="Q501:AK501"/>
    <mergeCell ref="AF582:AK582"/>
    <mergeCell ref="W564:Y564"/>
    <mergeCell ref="AH534:AK534"/>
    <mergeCell ref="AH517:AK517"/>
    <mergeCell ref="AC526:AF526"/>
    <mergeCell ref="AH512:AK512"/>
    <mergeCell ref="Z611:AK611"/>
    <mergeCell ref="AG599:AH599"/>
    <mergeCell ref="G580:L580"/>
    <mergeCell ref="Z589:AE589"/>
    <mergeCell ref="Q568:S568"/>
    <mergeCell ref="Q573:S573"/>
    <mergeCell ref="Q569:S569"/>
    <mergeCell ref="Q566:S566"/>
    <mergeCell ref="AH520:AK520"/>
    <mergeCell ref="M565:P565"/>
    <mergeCell ref="T565:V565"/>
    <mergeCell ref="AI564:AL564"/>
    <mergeCell ref="W565:Y565"/>
    <mergeCell ref="AE565:AH565"/>
    <mergeCell ref="T562:V562"/>
    <mergeCell ref="O531:AA531"/>
    <mergeCell ref="M566:P566"/>
    <mergeCell ref="AC531:AF531"/>
    <mergeCell ref="AH524:AK524"/>
    <mergeCell ref="C565:L565"/>
    <mergeCell ref="AH527:AK527"/>
    <mergeCell ref="AH544:AK544"/>
    <mergeCell ref="AI569:AL569"/>
    <mergeCell ref="Q572:S572"/>
    <mergeCell ref="C571:L571"/>
    <mergeCell ref="AE573:AH573"/>
    <mergeCell ref="C569:L569"/>
    <mergeCell ref="W571:Y571"/>
    <mergeCell ref="T573:V573"/>
    <mergeCell ref="C568:L568"/>
    <mergeCell ref="T570:V570"/>
    <mergeCell ref="AC510:AF510"/>
    <mergeCell ref="B522:H524"/>
    <mergeCell ref="M564:P564"/>
    <mergeCell ref="AH548:AK548"/>
    <mergeCell ref="AC523:AF523"/>
    <mergeCell ref="AC522:AF522"/>
    <mergeCell ref="C562:L562"/>
    <mergeCell ref="AH535:AK535"/>
    <mergeCell ref="C567:L567"/>
    <mergeCell ref="B559:L561"/>
    <mergeCell ref="Z567:AD567"/>
    <mergeCell ref="AC532:AF532"/>
    <mergeCell ref="AH514:AK514"/>
    <mergeCell ref="AH516:AK516"/>
    <mergeCell ref="AC548:AF548"/>
    <mergeCell ref="AC516:AF516"/>
    <mergeCell ref="AH545:AK545"/>
    <mergeCell ref="AC542:AF542"/>
    <mergeCell ref="AH550:AK550"/>
    <mergeCell ref="AH522:AK522"/>
    <mergeCell ref="AC533:AF533"/>
    <mergeCell ref="W566:Y566"/>
    <mergeCell ref="AE566:AH566"/>
    <mergeCell ref="W562:Y562"/>
    <mergeCell ref="W563:Y563"/>
    <mergeCell ref="Z566:AD566"/>
    <mergeCell ref="U835:X835"/>
    <mergeCell ref="C834:H834"/>
    <mergeCell ref="C836:H836"/>
    <mergeCell ref="O801:S801"/>
    <mergeCell ref="C833:H833"/>
    <mergeCell ref="B728:F728"/>
    <mergeCell ref="B730:F730"/>
    <mergeCell ref="AG681:AH681"/>
    <mergeCell ref="B733:F733"/>
    <mergeCell ref="B732:F732"/>
    <mergeCell ref="B735:F735"/>
    <mergeCell ref="H688:R688"/>
    <mergeCell ref="B731:F731"/>
    <mergeCell ref="G722:J725"/>
    <mergeCell ref="G676:R676"/>
    <mergeCell ref="C806:AN807"/>
    <mergeCell ref="J801:N801"/>
    <mergeCell ref="G760:J760"/>
    <mergeCell ref="J787:K787"/>
    <mergeCell ref="B736:F736"/>
    <mergeCell ref="AC801:AG801"/>
    <mergeCell ref="J805:N805"/>
    <mergeCell ref="J803:N803"/>
    <mergeCell ref="AC782:AG782"/>
    <mergeCell ref="AC746:AG746"/>
    <mergeCell ref="AC783:AG783"/>
    <mergeCell ref="AC791:AG794"/>
    <mergeCell ref="J799:N799"/>
    <mergeCell ref="X800:AB800"/>
    <mergeCell ref="J797:N797"/>
    <mergeCell ref="X803:AB803"/>
    <mergeCell ref="X798:AB798"/>
    <mergeCell ref="G695:L695"/>
    <mergeCell ref="X785:AB785"/>
    <mergeCell ref="O731:S731"/>
    <mergeCell ref="X797:AB797"/>
    <mergeCell ref="O743:S743"/>
    <mergeCell ref="J795:N795"/>
    <mergeCell ref="AC758:AG758"/>
    <mergeCell ref="B737:F737"/>
    <mergeCell ref="B739:F739"/>
    <mergeCell ref="B738:F738"/>
    <mergeCell ref="T730:W730"/>
    <mergeCell ref="X727:AB727"/>
    <mergeCell ref="G734:J734"/>
    <mergeCell ref="G727:J727"/>
    <mergeCell ref="K726:N726"/>
    <mergeCell ref="G726:J726"/>
    <mergeCell ref="O753:S753"/>
    <mergeCell ref="T756:W756"/>
    <mergeCell ref="X755:AB755"/>
    <mergeCell ref="B761:F761"/>
    <mergeCell ref="G741:J741"/>
    <mergeCell ref="G738:J738"/>
    <mergeCell ref="X738:AB738"/>
    <mergeCell ref="X739:AB739"/>
    <mergeCell ref="K760:N760"/>
    <mergeCell ref="O760:S760"/>
    <mergeCell ref="K745:N745"/>
    <mergeCell ref="K731:N731"/>
    <mergeCell ref="T777:W780"/>
    <mergeCell ref="X783:AB783"/>
    <mergeCell ref="X784:AB784"/>
    <mergeCell ref="G729:J729"/>
    <mergeCell ref="U837:X837"/>
    <mergeCell ref="O795:S795"/>
    <mergeCell ref="G735:J735"/>
    <mergeCell ref="O791:S794"/>
    <mergeCell ref="AC759:AG759"/>
    <mergeCell ref="O747:S747"/>
    <mergeCell ref="O783:S783"/>
    <mergeCell ref="O764:R764"/>
    <mergeCell ref="K742:N742"/>
    <mergeCell ref="X726:AB726"/>
    <mergeCell ref="G730:J730"/>
    <mergeCell ref="O781:S781"/>
    <mergeCell ref="AC749:AG749"/>
    <mergeCell ref="BD908:BE908"/>
    <mergeCell ref="BD910:BE910"/>
    <mergeCell ref="AC895:AH895"/>
    <mergeCell ref="AA940:AF940"/>
    <mergeCell ref="BD913:BE913"/>
    <mergeCell ref="BD915:BF915"/>
    <mergeCell ref="BD914:BF914"/>
    <mergeCell ref="BD911:BE911"/>
    <mergeCell ref="BD909:BE909"/>
    <mergeCell ref="BD919:BE919"/>
    <mergeCell ref="BD912:BE912"/>
    <mergeCell ref="G732:J732"/>
    <mergeCell ref="AH757:AJ757"/>
    <mergeCell ref="AH747:AJ747"/>
    <mergeCell ref="AH748:AJ748"/>
    <mergeCell ref="AC744:AG744"/>
    <mergeCell ref="AH752:AJ752"/>
    <mergeCell ref="J784:N784"/>
    <mergeCell ref="K748:N748"/>
    <mergeCell ref="U941:Z941"/>
    <mergeCell ref="AA941:AF941"/>
    <mergeCell ref="AZ859:BA859"/>
    <mergeCell ref="Q838:T838"/>
    <mergeCell ref="AG839:AJ839"/>
    <mergeCell ref="M883:V883"/>
    <mergeCell ref="Y839:AB839"/>
    <mergeCell ref="M885:V885"/>
    <mergeCell ref="W877:AC877"/>
    <mergeCell ref="W881:AC881"/>
    <mergeCell ref="U839:X839"/>
    <mergeCell ref="J857:V857"/>
    <mergeCell ref="W854:AC854"/>
    <mergeCell ref="AC893:AH893"/>
    <mergeCell ref="AA939:AF939"/>
    <mergeCell ref="AW927:AY927"/>
    <mergeCell ref="AA935:AF935"/>
    <mergeCell ref="U936:Z936"/>
    <mergeCell ref="AA936:AF936"/>
    <mergeCell ref="F938:T938"/>
    <mergeCell ref="AC896:AH896"/>
    <mergeCell ref="AC902:AH902"/>
    <mergeCell ref="AC899:AH899"/>
    <mergeCell ref="AC898:AH898"/>
    <mergeCell ref="AC903:AH903"/>
    <mergeCell ref="C838:H838"/>
    <mergeCell ref="F839:L839"/>
    <mergeCell ref="W880:AC880"/>
    <mergeCell ref="U933:Z933"/>
    <mergeCell ref="W875:AC875"/>
    <mergeCell ref="W867:AC867"/>
    <mergeCell ref="W857:AC857"/>
    <mergeCell ref="U942:Z942"/>
    <mergeCell ref="U943:Z943"/>
    <mergeCell ref="F939:T939"/>
    <mergeCell ref="F940:T940"/>
    <mergeCell ref="U945:Z945"/>
    <mergeCell ref="W853:AC853"/>
    <mergeCell ref="M854:V854"/>
    <mergeCell ref="M884:V884"/>
    <mergeCell ref="W886:AC886"/>
    <mergeCell ref="Z908:AE908"/>
    <mergeCell ref="AC897:AH897"/>
    <mergeCell ref="C837:H837"/>
    <mergeCell ref="W859:AC859"/>
    <mergeCell ref="W863:AC863"/>
    <mergeCell ref="W860:AC860"/>
    <mergeCell ref="W862:AC862"/>
    <mergeCell ref="W883:AC883"/>
    <mergeCell ref="C845:AJ845"/>
    <mergeCell ref="W884:AC884"/>
    <mergeCell ref="M838:P838"/>
    <mergeCell ref="C840:L840"/>
    <mergeCell ref="W865:AC865"/>
    <mergeCell ref="W851:AC851"/>
    <mergeCell ref="AG838:AJ838"/>
    <mergeCell ref="W852:AC852"/>
    <mergeCell ref="W874:AC874"/>
    <mergeCell ref="T866:V866"/>
    <mergeCell ref="T868:V868"/>
    <mergeCell ref="W876:AC876"/>
    <mergeCell ref="W870:AC870"/>
    <mergeCell ref="U840:X840"/>
    <mergeCell ref="M840:P840"/>
    <mergeCell ref="U834:X834"/>
    <mergeCell ref="X802:AB802"/>
    <mergeCell ref="AC797:AG797"/>
    <mergeCell ref="J777:N780"/>
    <mergeCell ref="AG831:AJ832"/>
    <mergeCell ref="AC805:AG805"/>
    <mergeCell ref="AC795:AG795"/>
    <mergeCell ref="AC761:AG761"/>
    <mergeCell ref="O761:S761"/>
    <mergeCell ref="AC834:AF834"/>
    <mergeCell ref="M833:P833"/>
    <mergeCell ref="T782:W782"/>
    <mergeCell ref="T796:W796"/>
    <mergeCell ref="T797:W797"/>
    <mergeCell ref="J800:N800"/>
    <mergeCell ref="Z814:AE814"/>
    <mergeCell ref="Y837:AB837"/>
    <mergeCell ref="M834:P834"/>
    <mergeCell ref="J802:N802"/>
    <mergeCell ref="O782:S782"/>
    <mergeCell ref="O802:S802"/>
    <mergeCell ref="O800:S800"/>
    <mergeCell ref="J798:N798"/>
    <mergeCell ref="O797:S797"/>
    <mergeCell ref="J783:N783"/>
    <mergeCell ref="O798:S798"/>
    <mergeCell ref="U833:X833"/>
    <mergeCell ref="O803:S803"/>
    <mergeCell ref="M837:P837"/>
    <mergeCell ref="Z823:AE823"/>
    <mergeCell ref="Z816:AE816"/>
    <mergeCell ref="AC785:AG785"/>
    <mergeCell ref="T802:W802"/>
    <mergeCell ref="T800:W800"/>
    <mergeCell ref="O785:S785"/>
    <mergeCell ref="X796:AB796"/>
    <mergeCell ref="Z821:AE821"/>
    <mergeCell ref="X732:AB732"/>
    <mergeCell ref="AK739:AO739"/>
    <mergeCell ref="K759:N759"/>
    <mergeCell ref="O759:S759"/>
    <mergeCell ref="O737:S737"/>
    <mergeCell ref="O744:S744"/>
    <mergeCell ref="T749:W749"/>
    <mergeCell ref="AK755:AO755"/>
    <mergeCell ref="AC747:AG747"/>
    <mergeCell ref="X740:AB740"/>
    <mergeCell ref="AH742:AJ742"/>
    <mergeCell ref="X745:AB745"/>
    <mergeCell ref="X758:AB758"/>
    <mergeCell ref="O804:S804"/>
    <mergeCell ref="J791:N794"/>
    <mergeCell ref="T798:W798"/>
    <mergeCell ref="T760:W760"/>
    <mergeCell ref="T804:W804"/>
    <mergeCell ref="J796:N796"/>
    <mergeCell ref="AC732:AG732"/>
    <mergeCell ref="AC738:AG738"/>
    <mergeCell ref="K736:N736"/>
    <mergeCell ref="AK732:AO732"/>
    <mergeCell ref="AK733:AO733"/>
    <mergeCell ref="AH737:AJ737"/>
    <mergeCell ref="T732:W732"/>
    <mergeCell ref="AH760:AJ760"/>
    <mergeCell ref="K749:N749"/>
    <mergeCell ref="X746:AB746"/>
    <mergeCell ref="X737:AB737"/>
    <mergeCell ref="T750:W750"/>
    <mergeCell ref="K737:N737"/>
    <mergeCell ref="AH734:AJ734"/>
    <mergeCell ref="AH754:AJ754"/>
    <mergeCell ref="AH755:AJ755"/>
    <mergeCell ref="AH756:AJ756"/>
    <mergeCell ref="AK736:AO736"/>
    <mergeCell ref="X751:AB751"/>
    <mergeCell ref="K746:N746"/>
    <mergeCell ref="K734:N734"/>
    <mergeCell ref="K735:N735"/>
    <mergeCell ref="T736:W736"/>
    <mergeCell ref="AH735:AJ735"/>
    <mergeCell ref="AC730:AG730"/>
    <mergeCell ref="AK730:AO730"/>
    <mergeCell ref="X753:AB753"/>
    <mergeCell ref="AC741:AG741"/>
    <mergeCell ref="O745:S745"/>
    <mergeCell ref="T740:W740"/>
    <mergeCell ref="O739:S739"/>
    <mergeCell ref="AC755:AG755"/>
    <mergeCell ref="T746:W746"/>
    <mergeCell ref="O741:S741"/>
    <mergeCell ref="AK738:AO738"/>
    <mergeCell ref="X730:AB730"/>
    <mergeCell ref="AH730:AJ730"/>
    <mergeCell ref="X754:AB754"/>
    <mergeCell ref="AK754:AO754"/>
    <mergeCell ref="CG742:CH742"/>
    <mergeCell ref="O729:S729"/>
    <mergeCell ref="O735:S735"/>
    <mergeCell ref="CG743:CH743"/>
    <mergeCell ref="T739:W739"/>
    <mergeCell ref="AK737:AO737"/>
    <mergeCell ref="X735:AB735"/>
    <mergeCell ref="AK731:AO731"/>
    <mergeCell ref="T731:W731"/>
    <mergeCell ref="T734:W734"/>
    <mergeCell ref="O736:S736"/>
    <mergeCell ref="AC735:AG735"/>
    <mergeCell ref="CI735:CJ735"/>
    <mergeCell ref="AC729:AG729"/>
    <mergeCell ref="AH728:AJ728"/>
    <mergeCell ref="AH729:AJ729"/>
    <mergeCell ref="O748:S748"/>
    <mergeCell ref="O728:S728"/>
    <mergeCell ref="CI732:CJ732"/>
    <mergeCell ref="CU732:CY732"/>
    <mergeCell ref="CU733:CY733"/>
    <mergeCell ref="CP738:CT738"/>
    <mergeCell ref="CU739:CY739"/>
    <mergeCell ref="CI734:CJ734"/>
    <mergeCell ref="T735:W735"/>
    <mergeCell ref="X731:AB731"/>
    <mergeCell ref="T727:W727"/>
    <mergeCell ref="O732:S732"/>
    <mergeCell ref="T733:W733"/>
    <mergeCell ref="O738:S738"/>
    <mergeCell ref="N697:O697"/>
    <mergeCell ref="O733:S733"/>
    <mergeCell ref="O734:S734"/>
    <mergeCell ref="O722:S725"/>
    <mergeCell ref="AE704:AI704"/>
    <mergeCell ref="E715:AK715"/>
    <mergeCell ref="W714:AK714"/>
    <mergeCell ref="CI726:CJ726"/>
    <mergeCell ref="CZ728:DD728"/>
    <mergeCell ref="DJ736:DN736"/>
    <mergeCell ref="DE742:DI742"/>
    <mergeCell ref="CK736:CL736"/>
    <mergeCell ref="CK742:CL742"/>
    <mergeCell ref="CM742:CN742"/>
    <mergeCell ref="CI739:CJ739"/>
    <mergeCell ref="CI736:CJ736"/>
    <mergeCell ref="CZ735:DD735"/>
    <mergeCell ref="DE734:DI734"/>
    <mergeCell ref="CZ731:DD731"/>
    <mergeCell ref="AK735:AO735"/>
    <mergeCell ref="AH732:AJ732"/>
    <mergeCell ref="CG746:CH746"/>
    <mergeCell ref="CK731:CL731"/>
    <mergeCell ref="CM734:CN734"/>
    <mergeCell ref="CI740:CJ740"/>
    <mergeCell ref="CM743:CN743"/>
    <mergeCell ref="CP732:CT732"/>
    <mergeCell ref="CK734:CL734"/>
    <mergeCell ref="CP733:CT733"/>
    <mergeCell ref="CP731:CT731"/>
    <mergeCell ref="CK733:CL733"/>
    <mergeCell ref="CI742:CJ742"/>
    <mergeCell ref="CZ743:DD743"/>
    <mergeCell ref="CU742:CY742"/>
    <mergeCell ref="CP744:CT744"/>
    <mergeCell ref="CM745:CN745"/>
    <mergeCell ref="CU745:CY745"/>
    <mergeCell ref="CU744:CY744"/>
    <mergeCell ref="CU735:CY735"/>
    <mergeCell ref="CK732:CL732"/>
    <mergeCell ref="DJ734:DN734"/>
    <mergeCell ref="CZ732:DD732"/>
    <mergeCell ref="CZ733:DD733"/>
    <mergeCell ref="DE739:DI739"/>
    <mergeCell ref="DE745:DI745"/>
    <mergeCell ref="CM732:CN732"/>
    <mergeCell ref="CG740:CH740"/>
    <mergeCell ref="AH736:AJ736"/>
    <mergeCell ref="G670:R670"/>
    <mergeCell ref="AG689:AH689"/>
    <mergeCell ref="AI695:AK695"/>
    <mergeCell ref="J713:O713"/>
    <mergeCell ref="G684:R684"/>
    <mergeCell ref="O730:S730"/>
    <mergeCell ref="AE701:AF701"/>
    <mergeCell ref="X733:AB733"/>
    <mergeCell ref="CP739:CT739"/>
    <mergeCell ref="CI737:CJ737"/>
    <mergeCell ref="CP737:CT737"/>
    <mergeCell ref="CM741:CN741"/>
    <mergeCell ref="AC736:AG736"/>
    <mergeCell ref="AC740:AG740"/>
    <mergeCell ref="G736:J736"/>
    <mergeCell ref="K733:N733"/>
    <mergeCell ref="X736:AB736"/>
    <mergeCell ref="O727:S727"/>
    <mergeCell ref="K732:N732"/>
    <mergeCell ref="O726:S726"/>
    <mergeCell ref="K730:N730"/>
    <mergeCell ref="K729:N729"/>
    <mergeCell ref="CG727:CH727"/>
    <mergeCell ref="CI729:CJ729"/>
    <mergeCell ref="CZ740:DD740"/>
    <mergeCell ref="DE740:DI740"/>
    <mergeCell ref="DE733:DI733"/>
    <mergeCell ref="DE737:DI737"/>
    <mergeCell ref="DE735:DI735"/>
    <mergeCell ref="CI744:CJ744"/>
    <mergeCell ref="CZ745:DD745"/>
    <mergeCell ref="DE738:DI738"/>
    <mergeCell ref="CM738:CN738"/>
    <mergeCell ref="CK735:CL735"/>
    <mergeCell ref="CP736:CT736"/>
    <mergeCell ref="CU736:CY736"/>
    <mergeCell ref="CM736:CN736"/>
    <mergeCell ref="CU734:CY734"/>
    <mergeCell ref="CI743:CJ743"/>
    <mergeCell ref="CM735:CN735"/>
    <mergeCell ref="CU737:CY737"/>
    <mergeCell ref="CP741:CT741"/>
    <mergeCell ref="CM740:CN740"/>
    <mergeCell ref="CP734:CT734"/>
    <mergeCell ref="CK740:CL740"/>
    <mergeCell ref="CK743:CL743"/>
    <mergeCell ref="CZ738:DD738"/>
    <mergeCell ref="CI745:CJ745"/>
    <mergeCell ref="CZ744:DD744"/>
    <mergeCell ref="CZ734:DD734"/>
    <mergeCell ref="CK744:CL744"/>
    <mergeCell ref="CP743:CT743"/>
    <mergeCell ref="CK745:CL745"/>
    <mergeCell ref="CP742:CT742"/>
    <mergeCell ref="AI679:AK679"/>
    <mergeCell ref="Z684:AK684"/>
    <mergeCell ref="K728:N728"/>
    <mergeCell ref="T643:V643"/>
    <mergeCell ref="T644:V644"/>
    <mergeCell ref="T645:V645"/>
    <mergeCell ref="AK729:AO729"/>
    <mergeCell ref="M639:P639"/>
    <mergeCell ref="AO641:AS641"/>
    <mergeCell ref="C643:L643"/>
    <mergeCell ref="T639:V639"/>
    <mergeCell ref="AF638:AJ638"/>
    <mergeCell ref="Z663:AE663"/>
    <mergeCell ref="AG673:AH673"/>
    <mergeCell ref="B726:F726"/>
    <mergeCell ref="G728:J728"/>
    <mergeCell ref="B729:F729"/>
    <mergeCell ref="AI687:AK687"/>
    <mergeCell ref="Z671:AE671"/>
    <mergeCell ref="Z651:AK651"/>
    <mergeCell ref="AI663:AK663"/>
    <mergeCell ref="N689:O689"/>
    <mergeCell ref="G694:R694"/>
    <mergeCell ref="AI655:AK655"/>
    <mergeCell ref="G662:R662"/>
    <mergeCell ref="G661:R661"/>
    <mergeCell ref="G678:R678"/>
    <mergeCell ref="Z677:AK677"/>
    <mergeCell ref="M640:P640"/>
    <mergeCell ref="Q641:S641"/>
    <mergeCell ref="P695:R695"/>
    <mergeCell ref="R713:T713"/>
    <mergeCell ref="AO639:AS639"/>
    <mergeCell ref="AI671:AK671"/>
    <mergeCell ref="Z640:AB640"/>
    <mergeCell ref="T646:V646"/>
    <mergeCell ref="T636:V636"/>
    <mergeCell ref="G655:L655"/>
    <mergeCell ref="Q646:S646"/>
    <mergeCell ref="C641:L641"/>
    <mergeCell ref="W642:Y642"/>
    <mergeCell ref="M638:P638"/>
    <mergeCell ref="C638:L638"/>
    <mergeCell ref="C639:L639"/>
    <mergeCell ref="M641:P641"/>
    <mergeCell ref="W641:Y641"/>
    <mergeCell ref="Z638:AB638"/>
    <mergeCell ref="T638:V638"/>
    <mergeCell ref="Z667:AK667"/>
    <mergeCell ref="T637:V637"/>
    <mergeCell ref="C637:L637"/>
    <mergeCell ref="Z670:AK670"/>
    <mergeCell ref="AK639:AN639"/>
    <mergeCell ref="AK640:AN640"/>
    <mergeCell ref="AK645:AN645"/>
    <mergeCell ref="AC646:AE646"/>
    <mergeCell ref="AF641:AJ641"/>
    <mergeCell ref="M643:P643"/>
    <mergeCell ref="G652:R652"/>
    <mergeCell ref="C640:L640"/>
    <mergeCell ref="T641:V641"/>
    <mergeCell ref="Q638:S638"/>
    <mergeCell ref="M636:P636"/>
    <mergeCell ref="Z580:AE580"/>
    <mergeCell ref="Z597:AE597"/>
    <mergeCell ref="G593:R593"/>
    <mergeCell ref="AG583:AH583"/>
    <mergeCell ref="C570:L570"/>
    <mergeCell ref="AI568:AL568"/>
    <mergeCell ref="W572:Y572"/>
    <mergeCell ref="W573:Y573"/>
    <mergeCell ref="G597:L597"/>
    <mergeCell ref="H590:R590"/>
    <mergeCell ref="Z587:AK587"/>
    <mergeCell ref="G601:R601"/>
    <mergeCell ref="C573:L573"/>
    <mergeCell ref="P597:R597"/>
    <mergeCell ref="Z596:AK596"/>
    <mergeCell ref="AA598:AK598"/>
    <mergeCell ref="G578:R578"/>
    <mergeCell ref="H598:R598"/>
    <mergeCell ref="P580:R580"/>
    <mergeCell ref="G585:R585"/>
    <mergeCell ref="M569:P569"/>
    <mergeCell ref="G576:R576"/>
    <mergeCell ref="AI570:AL570"/>
    <mergeCell ref="Z576:AK576"/>
    <mergeCell ref="Z579:AK579"/>
    <mergeCell ref="AI572:AL572"/>
    <mergeCell ref="Z569:AD569"/>
    <mergeCell ref="W568:Y568"/>
    <mergeCell ref="C572:L572"/>
    <mergeCell ref="M572:P572"/>
    <mergeCell ref="M570:P570"/>
    <mergeCell ref="M571:P571"/>
    <mergeCell ref="G603:R603"/>
    <mergeCell ref="G604:R604"/>
    <mergeCell ref="Z585:AK585"/>
    <mergeCell ref="Z593:AK593"/>
    <mergeCell ref="G587:R587"/>
    <mergeCell ref="G602:R602"/>
    <mergeCell ref="Z602:AK602"/>
    <mergeCell ref="P613:R613"/>
    <mergeCell ref="Z586:AK586"/>
    <mergeCell ref="AI597:AK597"/>
    <mergeCell ref="Z604:AK604"/>
    <mergeCell ref="G594:R594"/>
    <mergeCell ref="Z588:AK588"/>
    <mergeCell ref="Z603:AK603"/>
    <mergeCell ref="G589:L589"/>
    <mergeCell ref="Z612:AK612"/>
    <mergeCell ref="AG591:AH591"/>
    <mergeCell ref="G596:R596"/>
    <mergeCell ref="Z609:AK609"/>
    <mergeCell ref="G613:L613"/>
    <mergeCell ref="Z655:AE655"/>
    <mergeCell ref="AC637:AE637"/>
    <mergeCell ref="C636:L636"/>
    <mergeCell ref="AF636:AJ636"/>
    <mergeCell ref="AH509:AK509"/>
    <mergeCell ref="G482:V482"/>
    <mergeCell ref="AE569:AH569"/>
    <mergeCell ref="M568:P568"/>
    <mergeCell ref="Q571:S571"/>
    <mergeCell ref="AI573:AL573"/>
    <mergeCell ref="AE570:AH570"/>
    <mergeCell ref="Q570:S570"/>
    <mergeCell ref="T571:V571"/>
    <mergeCell ref="Z573:AD573"/>
    <mergeCell ref="S497:AK498"/>
    <mergeCell ref="AC509:AF509"/>
    <mergeCell ref="AH549:AK549"/>
    <mergeCell ref="AC543:AF543"/>
    <mergeCell ref="AI562:AL562"/>
    <mergeCell ref="AI566:AL566"/>
    <mergeCell ref="Q559:S561"/>
    <mergeCell ref="G609:R609"/>
    <mergeCell ref="AG607:AH607"/>
    <mergeCell ref="H614:R614"/>
    <mergeCell ref="AI605:AK605"/>
    <mergeCell ref="G618:R618"/>
    <mergeCell ref="AA606:AK606"/>
    <mergeCell ref="Z618:AK618"/>
    <mergeCell ref="N607:O607"/>
    <mergeCell ref="AI613:AK613"/>
    <mergeCell ref="G612:R612"/>
    <mergeCell ref="G611:R611"/>
    <mergeCell ref="AO640:AS640"/>
    <mergeCell ref="Z643:AB643"/>
    <mergeCell ref="AK632:AN634"/>
    <mergeCell ref="AC636:AE636"/>
    <mergeCell ref="G577:R577"/>
    <mergeCell ref="AA581:AK581"/>
    <mergeCell ref="AE572:AH572"/>
    <mergeCell ref="G586:R586"/>
    <mergeCell ref="Z568:AD568"/>
    <mergeCell ref="AI571:AL571"/>
    <mergeCell ref="Z571:AD571"/>
    <mergeCell ref="T568:V568"/>
    <mergeCell ref="Z572:AD572"/>
    <mergeCell ref="DJ727:DN727"/>
    <mergeCell ref="CU725:CY725"/>
    <mergeCell ref="AC643:AE643"/>
    <mergeCell ref="W643:Y643"/>
    <mergeCell ref="Z605:AE605"/>
    <mergeCell ref="AF637:AJ637"/>
    <mergeCell ref="AI621:AK621"/>
    <mergeCell ref="AA622:AK622"/>
    <mergeCell ref="AC632:AE634"/>
    <mergeCell ref="G677:R677"/>
    <mergeCell ref="W637:Y637"/>
    <mergeCell ref="A625:AT626"/>
    <mergeCell ref="G621:L621"/>
    <mergeCell ref="AA614:AK614"/>
    <mergeCell ref="Z578:AK578"/>
    <mergeCell ref="W711:AK711"/>
    <mergeCell ref="AF644:AJ644"/>
    <mergeCell ref="AF645:AJ645"/>
    <mergeCell ref="AC644:AE644"/>
    <mergeCell ref="CG726:CH726"/>
    <mergeCell ref="CZ726:DD726"/>
    <mergeCell ref="B647:AN647"/>
    <mergeCell ref="H656:R656"/>
    <mergeCell ref="M582:R582"/>
    <mergeCell ref="M635:P635"/>
    <mergeCell ref="M637:P637"/>
    <mergeCell ref="W632:Y634"/>
    <mergeCell ref="W636:Y636"/>
    <mergeCell ref="AK727:AO727"/>
    <mergeCell ref="AO649:AS649"/>
    <mergeCell ref="G675:R675"/>
    <mergeCell ref="EH660:EL660"/>
    <mergeCell ref="Z687:AE687"/>
    <mergeCell ref="Z678:AK678"/>
    <mergeCell ref="EC655:EG655"/>
    <mergeCell ref="DX657:EB657"/>
    <mergeCell ref="DX663:EB663"/>
    <mergeCell ref="DX664:EB664"/>
    <mergeCell ref="EC664:EG664"/>
    <mergeCell ref="EH664:EL664"/>
    <mergeCell ref="AC639:AE639"/>
    <mergeCell ref="AC642:AE642"/>
    <mergeCell ref="AF646:AJ646"/>
    <mergeCell ref="W644:Y644"/>
    <mergeCell ref="M644:P644"/>
    <mergeCell ref="G595:R595"/>
    <mergeCell ref="H606:R606"/>
    <mergeCell ref="Z645:AB645"/>
    <mergeCell ref="Z646:AB646"/>
    <mergeCell ref="C642:L642"/>
    <mergeCell ref="Q643:S643"/>
    <mergeCell ref="Z668:AK668"/>
    <mergeCell ref="G671:L671"/>
    <mergeCell ref="N657:O657"/>
    <mergeCell ref="G669:R669"/>
    <mergeCell ref="G683:R683"/>
    <mergeCell ref="EC671:EG671"/>
    <mergeCell ref="EH671:EL671"/>
    <mergeCell ref="DX647:EB647"/>
    <mergeCell ref="DX674:EB674"/>
    <mergeCell ref="DX673:EB673"/>
    <mergeCell ref="DO725:DS725"/>
    <mergeCell ref="AC728:AG728"/>
    <mergeCell ref="P671:R671"/>
    <mergeCell ref="AO648:AS648"/>
    <mergeCell ref="AA672:AK672"/>
    <mergeCell ref="AC727:AG727"/>
    <mergeCell ref="Z692:AK692"/>
    <mergeCell ref="AK728:AO728"/>
    <mergeCell ref="N681:O681"/>
    <mergeCell ref="DO726:DS726"/>
    <mergeCell ref="G679:L679"/>
    <mergeCell ref="G654:R654"/>
    <mergeCell ref="G686:R686"/>
    <mergeCell ref="P687:R687"/>
    <mergeCell ref="Z653:AK653"/>
    <mergeCell ref="CU726:CY726"/>
    <mergeCell ref="CP725:CT725"/>
    <mergeCell ref="AH726:AJ726"/>
    <mergeCell ref="AC726:AG726"/>
    <mergeCell ref="Z679:AE679"/>
    <mergeCell ref="Z675:AK675"/>
    <mergeCell ref="DE725:DI725"/>
    <mergeCell ref="DE727:DI727"/>
    <mergeCell ref="DJ729:DN729"/>
    <mergeCell ref="CI725:CJ725"/>
    <mergeCell ref="AA688:AK688"/>
    <mergeCell ref="CP727:CT727"/>
    <mergeCell ref="CG732:CH732"/>
    <mergeCell ref="CG733:CH733"/>
    <mergeCell ref="CI727:CJ727"/>
    <mergeCell ref="DJ728:DN728"/>
    <mergeCell ref="DJ725:DN725"/>
    <mergeCell ref="CZ727:DD727"/>
    <mergeCell ref="CP729:CT729"/>
    <mergeCell ref="Z686:AK686"/>
    <mergeCell ref="G653:R653"/>
    <mergeCell ref="H680:R680"/>
    <mergeCell ref="G659:R659"/>
    <mergeCell ref="G660:R660"/>
    <mergeCell ref="J712:X712"/>
    <mergeCell ref="T722:W725"/>
    <mergeCell ref="AA656:AK656"/>
    <mergeCell ref="G663:L663"/>
    <mergeCell ref="H664:R664"/>
    <mergeCell ref="AG657:AH657"/>
    <mergeCell ref="H696:R696"/>
    <mergeCell ref="AH727:AJ727"/>
    <mergeCell ref="X729:AB729"/>
    <mergeCell ref="Z660:AK660"/>
    <mergeCell ref="G685:R685"/>
    <mergeCell ref="CM725:CN725"/>
    <mergeCell ref="Z695:AE695"/>
    <mergeCell ref="CM727:CN727"/>
    <mergeCell ref="AK722:AO725"/>
    <mergeCell ref="DO727:DS727"/>
    <mergeCell ref="DZ727:ED727"/>
    <mergeCell ref="EO738:ES738"/>
    <mergeCell ref="ET738:EX738"/>
    <mergeCell ref="EO732:ES732"/>
    <mergeCell ref="ET732:EX732"/>
    <mergeCell ref="EO734:ES734"/>
    <mergeCell ref="ET734:EX734"/>
    <mergeCell ref="ET730:EX730"/>
    <mergeCell ref="ET728:EX728"/>
    <mergeCell ref="EO736:ES736"/>
    <mergeCell ref="Z621:AE621"/>
    <mergeCell ref="N623:O623"/>
    <mergeCell ref="H622:R622"/>
    <mergeCell ref="AF639:AJ639"/>
    <mergeCell ref="Z637:AB637"/>
    <mergeCell ref="AK641:AN641"/>
    <mergeCell ref="AC641:AE641"/>
    <mergeCell ref="B648:AN648"/>
    <mergeCell ref="Q640:S640"/>
    <mergeCell ref="CG735:CH735"/>
    <mergeCell ref="CZ736:DD736"/>
    <mergeCell ref="DJ733:DN733"/>
    <mergeCell ref="AA680:AK680"/>
    <mergeCell ref="CK729:CL729"/>
    <mergeCell ref="CM726:CN726"/>
    <mergeCell ref="CK730:CL730"/>
    <mergeCell ref="CK727:CL727"/>
    <mergeCell ref="AE707:AI707"/>
    <mergeCell ref="DJ731:DN731"/>
    <mergeCell ref="DJ732:DN732"/>
    <mergeCell ref="DE728:DI728"/>
    <mergeCell ref="CI741:CJ741"/>
    <mergeCell ref="CP745:CT745"/>
    <mergeCell ref="CZ742:DD742"/>
    <mergeCell ref="CK746:CL746"/>
    <mergeCell ref="DU728:DY728"/>
    <mergeCell ref="EE731:EI731"/>
    <mergeCell ref="EE730:EI730"/>
    <mergeCell ref="EJ738:EN738"/>
    <mergeCell ref="DU729:DY729"/>
    <mergeCell ref="EE729:EI729"/>
    <mergeCell ref="DE730:DI730"/>
    <mergeCell ref="CU730:CY730"/>
    <mergeCell ref="X728:AB728"/>
    <mergeCell ref="CP735:CT735"/>
    <mergeCell ref="ET760:EX760"/>
    <mergeCell ref="EO759:ES759"/>
    <mergeCell ref="CZ760:DD760"/>
    <mergeCell ref="DZ740:ED740"/>
    <mergeCell ref="EE740:EI740"/>
    <mergeCell ref="EJ740:EN740"/>
    <mergeCell ref="DZ739:ED739"/>
    <mergeCell ref="EJ733:EN733"/>
    <mergeCell ref="EE739:EI739"/>
    <mergeCell ref="EJ739:EN739"/>
    <mergeCell ref="DZ734:ED734"/>
    <mergeCell ref="ET740:EX740"/>
    <mergeCell ref="EE736:EI736"/>
    <mergeCell ref="EJ736:EN736"/>
    <mergeCell ref="DE732:DI732"/>
    <mergeCell ref="CP740:CT740"/>
    <mergeCell ref="CM737:CN737"/>
    <mergeCell ref="CI733:C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W708:AK708"/>
    <mergeCell ref="Z691:AK691"/>
    <mergeCell ref="AA696:AK696"/>
    <mergeCell ref="AE710:AF710"/>
    <mergeCell ref="AC640:AE640"/>
    <mergeCell ref="CG744:CH744"/>
    <mergeCell ref="CI748:CJ748"/>
    <mergeCell ref="AH741:AJ741"/>
    <mergeCell ref="DJ726:DN726"/>
    <mergeCell ref="DJ739:DN739"/>
    <mergeCell ref="CI746:CJ746"/>
    <mergeCell ref="CZ730:DD730"/>
    <mergeCell ref="CU727:CY727"/>
    <mergeCell ref="CZ729:DD729"/>
    <mergeCell ref="CM729:CN729"/>
    <mergeCell ref="CM731:CN731"/>
    <mergeCell ref="AC748:AG748"/>
    <mergeCell ref="AK751:AO751"/>
    <mergeCell ref="AK752:AO752"/>
    <mergeCell ref="AC798:AG798"/>
    <mergeCell ref="Z826:AE826"/>
    <mergeCell ref="Y831:AB832"/>
    <mergeCell ref="T803:W803"/>
    <mergeCell ref="T784:W784"/>
    <mergeCell ref="T799:W799"/>
    <mergeCell ref="T795:W795"/>
    <mergeCell ref="O805:S805"/>
    <mergeCell ref="O796:S796"/>
    <mergeCell ref="AC757:AG757"/>
    <mergeCell ref="DZ729:ED729"/>
    <mergeCell ref="DE736:DI736"/>
    <mergeCell ref="DO728:DS728"/>
    <mergeCell ref="DG122:DM122"/>
    <mergeCell ref="CU122:CV122"/>
    <mergeCell ref="AH722:AJ725"/>
    <mergeCell ref="AH733:AJ733"/>
    <mergeCell ref="AM572:AS572"/>
    <mergeCell ref="DO734:DS734"/>
    <mergeCell ref="CM733:CN733"/>
    <mergeCell ref="CK738:CL738"/>
    <mergeCell ref="CI731:CJ731"/>
    <mergeCell ref="CK737:CL737"/>
    <mergeCell ref="CZ739:DD739"/>
    <mergeCell ref="CK739:CL739"/>
    <mergeCell ref="DJ740:DN740"/>
    <mergeCell ref="CU740:CY740"/>
    <mergeCell ref="CM744:CN744"/>
    <mergeCell ref="DO741:DS741"/>
    <mergeCell ref="DO747:DS747"/>
    <mergeCell ref="X799:AB799"/>
    <mergeCell ref="AC804:AG804"/>
    <mergeCell ref="AC796:AG796"/>
    <mergeCell ref="Z669:AK669"/>
    <mergeCell ref="Q642:S642"/>
    <mergeCell ref="AK644:AN644"/>
    <mergeCell ref="C645:L645"/>
    <mergeCell ref="B741:F741"/>
    <mergeCell ref="AH753:AJ753"/>
    <mergeCell ref="K738:N738"/>
    <mergeCell ref="X743:AB743"/>
    <mergeCell ref="X744:AB744"/>
    <mergeCell ref="T743:W743"/>
    <mergeCell ref="T742:W742"/>
    <mergeCell ref="X748:AB748"/>
    <mergeCell ref="T738:W738"/>
    <mergeCell ref="B742:F742"/>
    <mergeCell ref="B748:F748"/>
    <mergeCell ref="G742:J742"/>
    <mergeCell ref="AK746:AO746"/>
    <mergeCell ref="AH740:AJ740"/>
    <mergeCell ref="G746:J746"/>
    <mergeCell ref="CG747:CH747"/>
    <mergeCell ref="CG748:CH748"/>
    <mergeCell ref="AC750:AG750"/>
    <mergeCell ref="AC751:AG751"/>
    <mergeCell ref="AC752:AG752"/>
    <mergeCell ref="AC753:AG753"/>
    <mergeCell ref="AC754:AG754"/>
    <mergeCell ref="X752:AB752"/>
    <mergeCell ref="AH751:AJ751"/>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G836:AJ836"/>
    <mergeCell ref="Y834:AB834"/>
    <mergeCell ref="Q836:T836"/>
    <mergeCell ref="Q834:T834"/>
    <mergeCell ref="M886:V886"/>
    <mergeCell ref="W878:AC878"/>
    <mergeCell ref="W885:AC885"/>
    <mergeCell ref="AC837:AF837"/>
    <mergeCell ref="Q839:T839"/>
    <mergeCell ref="W850:AC850"/>
    <mergeCell ref="W855:AC855"/>
    <mergeCell ref="AA957:AF957"/>
    <mergeCell ref="I958:T958"/>
    <mergeCell ref="U957:Z957"/>
    <mergeCell ref="U947:Z947"/>
    <mergeCell ref="P954:T954"/>
    <mergeCell ref="F953:T953"/>
    <mergeCell ref="F949:T949"/>
    <mergeCell ref="U948:Z948"/>
    <mergeCell ref="U949:Z949"/>
    <mergeCell ref="AA947:AF947"/>
    <mergeCell ref="U932:Z932"/>
    <mergeCell ref="Z910:AE910"/>
    <mergeCell ref="W887:AC887"/>
    <mergeCell ref="M880:V880"/>
    <mergeCell ref="Q833:T833"/>
    <mergeCell ref="W879:AC879"/>
    <mergeCell ref="G731:J731"/>
    <mergeCell ref="Z659:AK659"/>
    <mergeCell ref="AK646:AN646"/>
    <mergeCell ref="T801:W801"/>
    <mergeCell ref="Z822:AE822"/>
    <mergeCell ref="H672:R672"/>
    <mergeCell ref="U838:X838"/>
    <mergeCell ref="J804:N804"/>
    <mergeCell ref="J785:N785"/>
    <mergeCell ref="X791:AB794"/>
    <mergeCell ref="X795:AB795"/>
    <mergeCell ref="X804:AB804"/>
    <mergeCell ref="X801:AB801"/>
    <mergeCell ref="T791:W794"/>
    <mergeCell ref="X781:AB781"/>
    <mergeCell ref="Q831:T832"/>
    <mergeCell ref="Z817:AE817"/>
    <mergeCell ref="O799:S799"/>
    <mergeCell ref="U831:X832"/>
    <mergeCell ref="U946:Z946"/>
    <mergeCell ref="A1134:B1134"/>
    <mergeCell ref="G733:J733"/>
    <mergeCell ref="B740:F740"/>
    <mergeCell ref="T753:W753"/>
    <mergeCell ref="AH738:AJ738"/>
    <mergeCell ref="AC731:AG731"/>
    <mergeCell ref="AC802:AG802"/>
    <mergeCell ref="AC803:AG803"/>
    <mergeCell ref="Y835:AB835"/>
    <mergeCell ref="AG835:AJ835"/>
    <mergeCell ref="A1109:B1109"/>
    <mergeCell ref="A1103:B1103"/>
    <mergeCell ref="K740:N740"/>
    <mergeCell ref="AJ1000:AQ1000"/>
    <mergeCell ref="K741:N741"/>
    <mergeCell ref="O756:S756"/>
    <mergeCell ref="T783:W783"/>
    <mergeCell ref="C771:AR773"/>
    <mergeCell ref="AC760:AG760"/>
    <mergeCell ref="T757:W757"/>
    <mergeCell ref="K758:N758"/>
    <mergeCell ref="X756:AB756"/>
    <mergeCell ref="X757:AB757"/>
    <mergeCell ref="U958:Z958"/>
    <mergeCell ref="AA976:AG976"/>
    <mergeCell ref="F937:T937"/>
    <mergeCell ref="U935:Z935"/>
    <mergeCell ref="C835:H835"/>
    <mergeCell ref="AH745:AJ745"/>
    <mergeCell ref="AH746:AJ746"/>
    <mergeCell ref="AH744:AJ744"/>
    <mergeCell ref="W888:AC888"/>
    <mergeCell ref="AB926:AE926"/>
    <mergeCell ref="AA931:AF931"/>
    <mergeCell ref="M967:S967"/>
    <mergeCell ref="M969:S969"/>
    <mergeCell ref="M869:V869"/>
    <mergeCell ref="M964:S964"/>
    <mergeCell ref="T982:Z982"/>
    <mergeCell ref="I956:T956"/>
    <mergeCell ref="F936:T936"/>
    <mergeCell ref="AA946:AF946"/>
    <mergeCell ref="AC901:AH901"/>
    <mergeCell ref="AA953:AF953"/>
    <mergeCell ref="AA937:AF937"/>
    <mergeCell ref="AA945:AF945"/>
    <mergeCell ref="F947:T947"/>
    <mergeCell ref="U953:Z953"/>
    <mergeCell ref="AA932:AF932"/>
    <mergeCell ref="M887:V887"/>
    <mergeCell ref="U955:Z955"/>
    <mergeCell ref="F955:H955"/>
    <mergeCell ref="F924:T924"/>
    <mergeCell ref="I955:T955"/>
    <mergeCell ref="AA955:AF955"/>
    <mergeCell ref="U950:Z950"/>
    <mergeCell ref="AA952:AF952"/>
    <mergeCell ref="F951:T951"/>
    <mergeCell ref="U951:Z951"/>
    <mergeCell ref="U952:Z952"/>
    <mergeCell ref="AC894:AH894"/>
    <mergeCell ref="AA951:AF951"/>
    <mergeCell ref="C901:AB901"/>
    <mergeCell ref="A1106:B1106"/>
    <mergeCell ref="AE969:AK969"/>
    <mergeCell ref="AE970:AK970"/>
    <mergeCell ref="X741:AB741"/>
    <mergeCell ref="G740:J740"/>
    <mergeCell ref="AH743:AJ743"/>
    <mergeCell ref="X742:AB742"/>
    <mergeCell ref="AC840:AF840"/>
    <mergeCell ref="M976:S976"/>
    <mergeCell ref="U940:Z940"/>
    <mergeCell ref="F946:T946"/>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U944:Z944"/>
    <mergeCell ref="U937:Z937"/>
    <mergeCell ref="K753:N753"/>
    <mergeCell ref="T748:W748"/>
    <mergeCell ref="G749:J749"/>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M831:P832"/>
    <mergeCell ref="AB999:AI999"/>
    <mergeCell ref="T744:W744"/>
    <mergeCell ref="D1009:AE1009"/>
    <mergeCell ref="O777:S780"/>
    <mergeCell ref="B762:AH763"/>
    <mergeCell ref="X782:AB782"/>
    <mergeCell ref="T781:W781"/>
    <mergeCell ref="J781:N781"/>
    <mergeCell ref="T737:W737"/>
    <mergeCell ref="D1010:AE1010"/>
    <mergeCell ref="O740:S740"/>
    <mergeCell ref="G745:J745"/>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E965:AK965"/>
    <mergeCell ref="AC745:AG745"/>
    <mergeCell ref="AH761:AJ761"/>
    <mergeCell ref="AK753:AO753"/>
    <mergeCell ref="AH749:AJ749"/>
    <mergeCell ref="AK748:AO748"/>
    <mergeCell ref="AK749:AO749"/>
    <mergeCell ref="AK760:AO760"/>
    <mergeCell ref="O749:S749"/>
    <mergeCell ref="O758:S758"/>
    <mergeCell ref="AA977:AG977"/>
    <mergeCell ref="AE964:AK964"/>
    <mergeCell ref="I959:T959"/>
    <mergeCell ref="O750:S750"/>
    <mergeCell ref="U929:Z929"/>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G1038:AH1038"/>
    <mergeCell ref="D1017:AE1019"/>
    <mergeCell ref="AF1030:AI1031"/>
    <mergeCell ref="D1004:AE1007"/>
    <mergeCell ref="D1003:AE1003"/>
    <mergeCell ref="K739:N739"/>
    <mergeCell ref="AJ1062:AQ1062"/>
    <mergeCell ref="G743:J743"/>
    <mergeCell ref="K751:N751"/>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D1008:AE1008"/>
    <mergeCell ref="R996:AA996"/>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O738:FS738"/>
    <mergeCell ref="FT738:FX738"/>
    <mergeCell ref="EZ738:FD738"/>
    <mergeCell ref="EZ736:FD736"/>
    <mergeCell ref="M981:S981"/>
    <mergeCell ref="O784:S784"/>
    <mergeCell ref="AK758:AO758"/>
    <mergeCell ref="G747:J747"/>
    <mergeCell ref="X749:AB749"/>
    <mergeCell ref="C904:AB904"/>
    <mergeCell ref="F935:T935"/>
    <mergeCell ref="E894:AB894"/>
    <mergeCell ref="M839:P839"/>
    <mergeCell ref="ET743:EX743"/>
    <mergeCell ref="ET739:EX739"/>
    <mergeCell ref="EO740:ES740"/>
    <mergeCell ref="EZ760:FD760"/>
    <mergeCell ref="FE760:FI760"/>
    <mergeCell ref="FJ760:FN760"/>
    <mergeCell ref="FO760:FS760"/>
    <mergeCell ref="FT760:FX760"/>
    <mergeCell ref="EZ759:FD759"/>
    <mergeCell ref="FE753:FI753"/>
    <mergeCell ref="FT749:FX749"/>
    <mergeCell ref="FE748:FI748"/>
    <mergeCell ref="G739:J739"/>
    <mergeCell ref="EZ750:FD750"/>
    <mergeCell ref="FE751:FI751"/>
    <mergeCell ref="FT747:FX747"/>
    <mergeCell ref="EZ747:FD747"/>
    <mergeCell ref="FE747:FI747"/>
    <mergeCell ref="FJ747:FN747"/>
    <mergeCell ref="EZ748:FD748"/>
    <mergeCell ref="FJ758:FN758"/>
    <mergeCell ref="FO758:FS758"/>
    <mergeCell ref="EZ742:FD742"/>
    <mergeCell ref="FE742:FI742"/>
    <mergeCell ref="EZ746:FD746"/>
    <mergeCell ref="FE746:FI746"/>
    <mergeCell ref="FJ746:FN746"/>
    <mergeCell ref="Q840:T840"/>
    <mergeCell ref="FY736:GC736"/>
    <mergeCell ref="EZ737:FD737"/>
    <mergeCell ref="FE737:FI737"/>
    <mergeCell ref="FJ737:FN737"/>
    <mergeCell ref="FO737:FS737"/>
    <mergeCell ref="FT737:FX737"/>
    <mergeCell ref="FY737:GC737"/>
    <mergeCell ref="FY734:GC734"/>
    <mergeCell ref="FT732:FX732"/>
    <mergeCell ref="FT733:FX733"/>
    <mergeCell ref="FE736:FI736"/>
    <mergeCell ref="FJ736:FN736"/>
    <mergeCell ref="FO736:FS736"/>
    <mergeCell ref="FT736:FX736"/>
    <mergeCell ref="FE734:FI734"/>
    <mergeCell ref="FJ733:FN733"/>
    <mergeCell ref="W869:AC869"/>
    <mergeCell ref="BG856:BL856"/>
    <mergeCell ref="AH739:AJ739"/>
    <mergeCell ref="AC737:AG737"/>
    <mergeCell ref="CG741:CH741"/>
    <mergeCell ref="CI750:CJ750"/>
    <mergeCell ref="CK750:CL750"/>
    <mergeCell ref="Z815:AE815"/>
    <mergeCell ref="AC799:AG799"/>
    <mergeCell ref="X777:AB780"/>
    <mergeCell ref="CP810:CT810"/>
    <mergeCell ref="CP796:CT796"/>
    <mergeCell ref="CM760:CN760"/>
    <mergeCell ref="CP760:CT760"/>
    <mergeCell ref="DO762:DS762"/>
    <mergeCell ref="DE761:DI761"/>
    <mergeCell ref="CM748:CN748"/>
    <mergeCell ref="DJ743:DN743"/>
    <mergeCell ref="CP749:CT749"/>
    <mergeCell ref="EJ742:EN742"/>
    <mergeCell ref="EE741:EI741"/>
    <mergeCell ref="DJ745:DN745"/>
    <mergeCell ref="CP747:CT747"/>
    <mergeCell ref="CM746:CN746"/>
    <mergeCell ref="FY755:GC755"/>
    <mergeCell ref="FJ751:FN751"/>
    <mergeCell ref="FO751:FS751"/>
    <mergeCell ref="FT751:FX751"/>
    <mergeCell ref="EE755:EI755"/>
    <mergeCell ref="DO758:DS758"/>
    <mergeCell ref="FY757:GC757"/>
    <mergeCell ref="CM747:CN747"/>
    <mergeCell ref="FE728:FI728"/>
    <mergeCell ref="FJ728:FN728"/>
    <mergeCell ref="FO728:FS728"/>
    <mergeCell ref="ET741:EX741"/>
    <mergeCell ref="FJ748:FN748"/>
    <mergeCell ref="FO748:FS748"/>
    <mergeCell ref="FO741:FS741"/>
    <mergeCell ref="FY746:GC746"/>
    <mergeCell ref="FY738:GC738"/>
    <mergeCell ref="FY748:GC748"/>
    <mergeCell ref="FT739:FX739"/>
    <mergeCell ref="FY739:GC739"/>
    <mergeCell ref="FO747:FS747"/>
    <mergeCell ref="FT748:FX748"/>
    <mergeCell ref="FT741:FX741"/>
    <mergeCell ref="FT742:FX742"/>
    <mergeCell ref="FY750:GC750"/>
    <mergeCell ref="EZ751:FD751"/>
    <mergeCell ref="FO743:FS743"/>
    <mergeCell ref="FT743:FX743"/>
    <mergeCell ref="FY743:GC743"/>
    <mergeCell ref="EZ744:FD744"/>
    <mergeCell ref="FE744:FI744"/>
    <mergeCell ref="FJ744:FN744"/>
    <mergeCell ref="FY745:GC745"/>
    <mergeCell ref="FT759:FX759"/>
    <mergeCell ref="FY759:GC759"/>
    <mergeCell ref="FJ739:FN739"/>
    <mergeCell ref="FO739:FS739"/>
    <mergeCell ref="FE759:FI759"/>
    <mergeCell ref="FJ759:FN759"/>
    <mergeCell ref="FY740:GC740"/>
    <mergeCell ref="FT756:FX756"/>
    <mergeCell ref="FY756:GC756"/>
    <mergeCell ref="EZ757:FD757"/>
    <mergeCell ref="FE757:FI757"/>
    <mergeCell ref="FJ757:FN757"/>
    <mergeCell ref="FO757:FS757"/>
    <mergeCell ref="FY753:GC753"/>
    <mergeCell ref="EZ754:FD754"/>
    <mergeCell ref="FO740:FS740"/>
    <mergeCell ref="FT740:FX740"/>
    <mergeCell ref="FY749:GC749"/>
    <mergeCell ref="FY742:GC742"/>
    <mergeCell ref="EZ743:FD743"/>
    <mergeCell ref="FE743:FI743"/>
    <mergeCell ref="FT745:FX745"/>
    <mergeCell ref="EZ740:FD740"/>
    <mergeCell ref="FE740:FI740"/>
    <mergeCell ref="FJ740:FN740"/>
    <mergeCell ref="FO746:FS746"/>
    <mergeCell ref="FT746:FX746"/>
    <mergeCell ref="FY744:GC744"/>
    <mergeCell ref="EZ745:FD745"/>
    <mergeCell ref="FE745:FI745"/>
    <mergeCell ref="FJ745:FN745"/>
    <mergeCell ref="FO745:FS745"/>
    <mergeCell ref="FJ742:FN742"/>
    <mergeCell ref="FO742:FS742"/>
    <mergeCell ref="EW646:FA646"/>
    <mergeCell ref="EW663:FA663"/>
    <mergeCell ref="EW660:FA660"/>
    <mergeCell ref="EW665:FA665"/>
    <mergeCell ref="EZ725:FD725"/>
    <mergeCell ref="FE725:FI725"/>
    <mergeCell ref="FJ738:FN738"/>
    <mergeCell ref="FJ725:FN725"/>
    <mergeCell ref="FO725:FS725"/>
    <mergeCell ref="FY732:GC732"/>
    <mergeCell ref="FJ732:FN732"/>
    <mergeCell ref="FO732:FS732"/>
    <mergeCell ref="FE735:FI735"/>
    <mergeCell ref="FJ735:FN735"/>
    <mergeCell ref="FO735:FS735"/>
    <mergeCell ref="FT735:FX735"/>
    <mergeCell ref="FO759:FS759"/>
    <mergeCell ref="ET749:EX749"/>
    <mergeCell ref="EO729:ES729"/>
    <mergeCell ref="ET729:EX729"/>
    <mergeCell ref="EE728:EI728"/>
    <mergeCell ref="EC660:EG660"/>
    <mergeCell ref="EC672:EG672"/>
    <mergeCell ref="EC649:EG649"/>
    <mergeCell ref="EC651:EG651"/>
    <mergeCell ref="ER649:EV649"/>
    <mergeCell ref="FJ743:FN743"/>
    <mergeCell ref="FJ729:FN729"/>
    <mergeCell ref="FO729:FS729"/>
    <mergeCell ref="EO726:ES726"/>
    <mergeCell ref="EZ735:FD735"/>
    <mergeCell ref="EZ739:FD739"/>
    <mergeCell ref="FE739:FI739"/>
    <mergeCell ref="EC659:EG659"/>
    <mergeCell ref="FJ734:FN734"/>
    <mergeCell ref="FO734:FS734"/>
    <mergeCell ref="FE732:FI732"/>
    <mergeCell ref="ET744:EX744"/>
    <mergeCell ref="EE743:EI743"/>
    <mergeCell ref="EO727:ES727"/>
    <mergeCell ref="ET727:EX727"/>
    <mergeCell ref="DZ725:ED725"/>
    <mergeCell ref="EJ726:EN726"/>
    <mergeCell ref="EC654:EG654"/>
    <mergeCell ref="EH654:EL654"/>
    <mergeCell ref="DZ749:ED749"/>
    <mergeCell ref="EJ755:EN755"/>
    <mergeCell ref="EH678:EL678"/>
    <mergeCell ref="EW678:FA678"/>
    <mergeCell ref="EW664:FA664"/>
    <mergeCell ref="ER658:EV658"/>
    <mergeCell ref="ER656:EV656"/>
    <mergeCell ref="ER655:EV655"/>
    <mergeCell ref="EH653:EL653"/>
    <mergeCell ref="EM653:EQ653"/>
    <mergeCell ref="EH648:EL648"/>
    <mergeCell ref="EM648:EQ648"/>
    <mergeCell ref="EH672:EL672"/>
    <mergeCell ref="EC674:EG674"/>
    <mergeCell ref="EH668:EL668"/>
    <mergeCell ref="EM668:EQ668"/>
    <mergeCell ref="FT753:FX753"/>
    <mergeCell ref="FE738:FI738"/>
    <mergeCell ref="FE758:FI758"/>
    <mergeCell ref="FT757:FX757"/>
    <mergeCell ref="FT734:FX734"/>
    <mergeCell ref="ER664:EV664"/>
    <mergeCell ref="DZ736:ED736"/>
    <mergeCell ref="ET753:EX753"/>
    <mergeCell ref="DX655:EB655"/>
    <mergeCell ref="EW659:FA659"/>
    <mergeCell ref="EW657:FA657"/>
    <mergeCell ref="EH649:EL649"/>
    <mergeCell ref="EW652:FA652"/>
    <mergeCell ref="EM651:EQ651"/>
    <mergeCell ref="EC656:EG656"/>
    <mergeCell ref="EW647:FA647"/>
    <mergeCell ref="EC648:EG648"/>
    <mergeCell ref="EW648:FA648"/>
    <mergeCell ref="ER651:EV651"/>
    <mergeCell ref="ER648:EV648"/>
    <mergeCell ref="EM671:EQ671"/>
    <mergeCell ref="ER671:EV671"/>
    <mergeCell ref="EW671:FA671"/>
    <mergeCell ref="EW675:FA675"/>
    <mergeCell ref="ER665:EV665"/>
    <mergeCell ref="EH650:EL650"/>
    <mergeCell ref="EM650:EQ650"/>
    <mergeCell ref="EM675:EQ675"/>
    <mergeCell ref="ER675:EV675"/>
    <mergeCell ref="ER669:EV669"/>
    <mergeCell ref="EC668:EG668"/>
    <mergeCell ref="EW650:FA650"/>
    <mergeCell ref="EW651:FA651"/>
    <mergeCell ref="EC657:EG657"/>
    <mergeCell ref="EC647:EG647"/>
    <mergeCell ref="EH647:EL647"/>
    <mergeCell ref="EM647:EQ647"/>
    <mergeCell ref="ER654:EV654"/>
    <mergeCell ref="EW654:FA654"/>
    <mergeCell ref="EW661:FA661"/>
    <mergeCell ref="EH657:EL657"/>
    <mergeCell ref="ER657:EV657"/>
    <mergeCell ref="EO735:ES735"/>
    <mergeCell ref="DZ737:ED737"/>
    <mergeCell ref="ET735:EX735"/>
    <mergeCell ref="DZ735:ED735"/>
    <mergeCell ref="EE735:EI735"/>
    <mergeCell ref="DX666:EB666"/>
    <mergeCell ref="EZ728:FD728"/>
    <mergeCell ref="DZ726:ED726"/>
    <mergeCell ref="EE726:EI726"/>
    <mergeCell ref="EW658:FA658"/>
    <mergeCell ref="ER678:EV678"/>
    <mergeCell ref="DX677:EB677"/>
    <mergeCell ref="EM669:EQ669"/>
    <mergeCell ref="DX649:EB649"/>
    <mergeCell ref="EC652:EG652"/>
    <mergeCell ref="EH652:EL652"/>
    <mergeCell ref="EO728:ES728"/>
    <mergeCell ref="DX651:EB651"/>
    <mergeCell ref="DX648:EB648"/>
    <mergeCell ref="EC678:EG678"/>
    <mergeCell ref="EW668:FA668"/>
    <mergeCell ref="ER672:EV672"/>
    <mergeCell ref="EC675:EG675"/>
    <mergeCell ref="EH675:EL675"/>
    <mergeCell ref="EM674:EQ674"/>
    <mergeCell ref="EW674:FA674"/>
    <mergeCell ref="EW662:FA662"/>
    <mergeCell ref="EM664:EQ664"/>
    <mergeCell ref="EC677:EG677"/>
    <mergeCell ref="EH677:EL677"/>
    <mergeCell ref="EM677:EQ677"/>
    <mergeCell ref="EC667:EG667"/>
    <mergeCell ref="EW672:FA672"/>
    <mergeCell ref="DX670:EB670"/>
    <mergeCell ref="EC670:EG670"/>
    <mergeCell ref="EH670:EL670"/>
    <mergeCell ref="DX667:EB667"/>
    <mergeCell ref="ER668:EV668"/>
    <mergeCell ref="EH674:EL674"/>
    <mergeCell ref="EC662:EG662"/>
    <mergeCell ref="EH662:EL662"/>
    <mergeCell ref="EH676:EL676"/>
    <mergeCell ref="DX665:EB665"/>
    <mergeCell ref="EC665:EG665"/>
    <mergeCell ref="DX671:EB671"/>
    <mergeCell ref="ER674:EV674"/>
    <mergeCell ref="EM667:EQ667"/>
    <mergeCell ref="ER667:EV667"/>
    <mergeCell ref="EW667:FA667"/>
    <mergeCell ref="EH667:EL667"/>
    <mergeCell ref="DX669:EB669"/>
    <mergeCell ref="DO739:DS739"/>
    <mergeCell ref="DO735:DS735"/>
    <mergeCell ref="DO736:DS736"/>
    <mergeCell ref="DO731:DS731"/>
    <mergeCell ref="DO732:DS732"/>
    <mergeCell ref="DO740:DS740"/>
    <mergeCell ref="DU730:DY730"/>
    <mergeCell ref="DZ742:ED742"/>
    <mergeCell ref="DU734:DY734"/>
    <mergeCell ref="DU740:DY740"/>
    <mergeCell ref="DU736:DY736"/>
    <mergeCell ref="DU738:DY738"/>
    <mergeCell ref="EJ741:EN741"/>
    <mergeCell ref="EJ731:EN731"/>
    <mergeCell ref="EO733:ES733"/>
    <mergeCell ref="EJ732:EN732"/>
    <mergeCell ref="EO731:ES731"/>
    <mergeCell ref="EJ730:EN730"/>
    <mergeCell ref="DO737:DS737"/>
    <mergeCell ref="DO730:DS730"/>
    <mergeCell ref="DU742:DY742"/>
    <mergeCell ref="DU741:DY741"/>
    <mergeCell ref="DZ738:ED738"/>
    <mergeCell ref="EE738:EI738"/>
    <mergeCell ref="EE732:EI732"/>
    <mergeCell ref="DZ741:ED741"/>
    <mergeCell ref="ET736:EX736"/>
    <mergeCell ref="EZ761:FD761"/>
    <mergeCell ref="FE761:FI761"/>
    <mergeCell ref="EJ743:EN743"/>
    <mergeCell ref="EO743:ES743"/>
    <mergeCell ref="DZ743:ED743"/>
    <mergeCell ref="ET745:EX745"/>
    <mergeCell ref="EJ761:EN761"/>
    <mergeCell ref="ET746:EX746"/>
    <mergeCell ref="ET742:EX742"/>
    <mergeCell ref="EO737:ES737"/>
    <mergeCell ref="ET737:EX737"/>
    <mergeCell ref="ET761:EX761"/>
    <mergeCell ref="ET726:EX726"/>
    <mergeCell ref="DZ733:ED733"/>
    <mergeCell ref="DZ731:ED731"/>
    <mergeCell ref="EE727:EI727"/>
    <mergeCell ref="DZ728:ED728"/>
    <mergeCell ref="EJ727:EN727"/>
    <mergeCell ref="ET733:EX733"/>
    <mergeCell ref="EJ735:EN735"/>
    <mergeCell ref="EZ734:FD734"/>
    <mergeCell ref="EO757:ES757"/>
    <mergeCell ref="EO760:ES760"/>
    <mergeCell ref="EJ760:EN760"/>
    <mergeCell ref="DJ758:DN758"/>
    <mergeCell ref="DZ746:ED746"/>
    <mergeCell ref="EE746:EI746"/>
    <mergeCell ref="EJ746:EN746"/>
    <mergeCell ref="DE743:DI743"/>
    <mergeCell ref="DU726:DY726"/>
    <mergeCell ref="ER670:EV670"/>
    <mergeCell ref="DZ745:ED745"/>
    <mergeCell ref="EE761:EI761"/>
    <mergeCell ref="DE729:DI729"/>
    <mergeCell ref="ER659:EV659"/>
    <mergeCell ref="ER660:EV660"/>
    <mergeCell ref="DJ784:DN784"/>
    <mergeCell ref="DO784:DS784"/>
    <mergeCell ref="DO783:DS783"/>
    <mergeCell ref="DJ761:DN761"/>
    <mergeCell ref="DO759:DS759"/>
    <mergeCell ref="DO760:DS760"/>
    <mergeCell ref="DE759:DI759"/>
    <mergeCell ref="EE760:EI760"/>
    <mergeCell ref="DU746:DY746"/>
    <mergeCell ref="EO761:ES761"/>
    <mergeCell ref="EJ748:EN748"/>
    <mergeCell ref="EO753:ES753"/>
    <mergeCell ref="DE752:DI752"/>
    <mergeCell ref="EO746:ES746"/>
    <mergeCell ref="DE746:DI746"/>
    <mergeCell ref="DU745:DY745"/>
    <mergeCell ref="DU743:DY743"/>
    <mergeCell ref="ET748:EX748"/>
    <mergeCell ref="DO744:DS744"/>
    <mergeCell ref="DE741:DI741"/>
    <mergeCell ref="CU743:CY743"/>
    <mergeCell ref="CZ759:DD759"/>
    <mergeCell ref="AO642:AS642"/>
    <mergeCell ref="CZ781:DD781"/>
    <mergeCell ref="DZ730:ED730"/>
    <mergeCell ref="DU725:DY725"/>
    <mergeCell ref="EM656:EQ656"/>
    <mergeCell ref="DJ754:DN754"/>
    <mergeCell ref="DE758:DI758"/>
    <mergeCell ref="DO785:DS785"/>
    <mergeCell ref="DE781:DI781"/>
    <mergeCell ref="CZ785:DD785"/>
    <mergeCell ref="DE785:DI785"/>
    <mergeCell ref="DE783:DI783"/>
    <mergeCell ref="EE759:EI759"/>
    <mergeCell ref="DU759:DY759"/>
    <mergeCell ref="DZ759:ED759"/>
    <mergeCell ref="DU760:DY760"/>
    <mergeCell ref="DZ760:ED760"/>
    <mergeCell ref="DJ760:DN760"/>
    <mergeCell ref="EM657:EQ657"/>
    <mergeCell ref="EM662:EQ662"/>
    <mergeCell ref="EM660:EQ660"/>
    <mergeCell ref="DX658:EB658"/>
    <mergeCell ref="EC658:EG658"/>
    <mergeCell ref="EC663:EG663"/>
    <mergeCell ref="DX675:EB675"/>
    <mergeCell ref="EM670:EQ670"/>
    <mergeCell ref="EJ757:EN757"/>
    <mergeCell ref="EZ741:FD741"/>
    <mergeCell ref="FE741:FI741"/>
    <mergeCell ref="FJ741:FN74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CK759:CL759"/>
    <mergeCell ref="CP783:CT783"/>
    <mergeCell ref="CP784:CT784"/>
    <mergeCell ref="DJ742:DN742"/>
    <mergeCell ref="DE784:DI784"/>
    <mergeCell ref="DO782:DS782"/>
    <mergeCell ref="CZ753:DD753"/>
    <mergeCell ref="DE753:DI753"/>
    <mergeCell ref="DO742:DS742"/>
    <mergeCell ref="EE744:EI744"/>
    <mergeCell ref="EJ744:EN744"/>
    <mergeCell ref="DJ744:DN744"/>
    <mergeCell ref="DE744:DI744"/>
    <mergeCell ref="ET759:EX759"/>
    <mergeCell ref="EJ759:EN759"/>
    <mergeCell ref="EO747:ES747"/>
    <mergeCell ref="ET747:EX747"/>
    <mergeCell ref="EO745:ES745"/>
    <mergeCell ref="CP803:CT803"/>
    <mergeCell ref="CP804:CT804"/>
    <mergeCell ref="CP801:CT801"/>
    <mergeCell ref="CP800:CT800"/>
    <mergeCell ref="CP799:CT799"/>
    <mergeCell ref="CP798:CT798"/>
    <mergeCell ref="CZ761:DD761"/>
    <mergeCell ref="DJ783:DN783"/>
    <mergeCell ref="CU747:CY747"/>
    <mergeCell ref="DU761:DY761"/>
    <mergeCell ref="DZ761:ED761"/>
    <mergeCell ref="DE782:DI782"/>
    <mergeCell ref="DO748:DS748"/>
    <mergeCell ref="DJ748:DN748"/>
    <mergeCell ref="DJ782:DN782"/>
    <mergeCell ref="AF643:AJ643"/>
    <mergeCell ref="AO643:AS643"/>
    <mergeCell ref="AO645:AS645"/>
    <mergeCell ref="DU735:DY735"/>
    <mergeCell ref="DJ730:DN730"/>
    <mergeCell ref="EC645:EG645"/>
    <mergeCell ref="EH645:EL645"/>
    <mergeCell ref="DJ781:DN781"/>
    <mergeCell ref="DO746:DS746"/>
    <mergeCell ref="DU744:DY744"/>
    <mergeCell ref="EE745:EI745"/>
    <mergeCell ref="AK745:AO745"/>
    <mergeCell ref="DU747:DY747"/>
    <mergeCell ref="DZ747:ED747"/>
    <mergeCell ref="EE747:EI747"/>
    <mergeCell ref="DO761:DS761"/>
    <mergeCell ref="CU782:CY782"/>
    <mergeCell ref="CP782:CT782"/>
    <mergeCell ref="EE742:EI742"/>
    <mergeCell ref="DU739:DY739"/>
    <mergeCell ref="CU785:CY785"/>
    <mergeCell ref="CU761:CY761"/>
    <mergeCell ref="DJ737:DN737"/>
    <mergeCell ref="DJ738:DN738"/>
    <mergeCell ref="DJ735:DN735"/>
    <mergeCell ref="CU750:CY750"/>
    <mergeCell ref="CP756:CT756"/>
    <mergeCell ref="DU733:DY733"/>
    <mergeCell ref="DU731:DY731"/>
    <mergeCell ref="DU732:DY732"/>
    <mergeCell ref="CZ737:DD737"/>
    <mergeCell ref="CZ746:DD746"/>
    <mergeCell ref="EJ747:EN747"/>
    <mergeCell ref="DJ746:DN746"/>
    <mergeCell ref="DO781:DS781"/>
    <mergeCell ref="DJ759:DN759"/>
    <mergeCell ref="DJ785:DN785"/>
    <mergeCell ref="CZ782:DD782"/>
    <mergeCell ref="DO745:DS745"/>
    <mergeCell ref="DJ749:DN749"/>
    <mergeCell ref="DO749:DS749"/>
    <mergeCell ref="DE757:DI757"/>
    <mergeCell ref="DJ757:DN757"/>
    <mergeCell ref="DO757:DS757"/>
    <mergeCell ref="EE757:EI757"/>
    <mergeCell ref="EE737:EI737"/>
    <mergeCell ref="DZ732:ED732"/>
    <mergeCell ref="EE733:EI733"/>
    <mergeCell ref="EJ737:EN737"/>
    <mergeCell ref="EJ725:EN725"/>
    <mergeCell ref="DZ744:ED744"/>
    <mergeCell ref="P430:R430"/>
    <mergeCell ref="EM644:EQ644"/>
    <mergeCell ref="DX645:EB645"/>
    <mergeCell ref="EH655:EL655"/>
    <mergeCell ref="EM655:EQ655"/>
    <mergeCell ref="DX656:EB656"/>
    <mergeCell ref="EM649:EQ649"/>
    <mergeCell ref="ER663:EV663"/>
    <mergeCell ref="EH656:EL656"/>
    <mergeCell ref="EH659:EL659"/>
    <mergeCell ref="EH658:EL658"/>
    <mergeCell ref="ER661:EV661"/>
    <mergeCell ref="AC521:AF521"/>
    <mergeCell ref="DO743:DS743"/>
    <mergeCell ref="EO741:ES741"/>
    <mergeCell ref="EO742:ES742"/>
    <mergeCell ref="DU737:DY737"/>
    <mergeCell ref="DO733:DS733"/>
    <mergeCell ref="DO729:DS729"/>
    <mergeCell ref="DE731:DI731"/>
    <mergeCell ref="EM659:EQ659"/>
    <mergeCell ref="ER647:EV647"/>
    <mergeCell ref="DO738:DS738"/>
    <mergeCell ref="T632:V634"/>
    <mergeCell ref="AK744:AO744"/>
    <mergeCell ref="EO744:ES744"/>
    <mergeCell ref="CI738:CJ738"/>
    <mergeCell ref="EO739:ES739"/>
    <mergeCell ref="ET731:EX731"/>
    <mergeCell ref="EW656:FA656"/>
    <mergeCell ref="EH651:EL651"/>
    <mergeCell ref="EW655:FA655"/>
    <mergeCell ref="EW645:FA645"/>
    <mergeCell ref="EC653:EG653"/>
    <mergeCell ref="ER653:EV653"/>
    <mergeCell ref="EW653:FA653"/>
    <mergeCell ref="EW649:FA649"/>
    <mergeCell ref="AO638:AS638"/>
    <mergeCell ref="EH661:EL661"/>
    <mergeCell ref="EM661:EQ661"/>
    <mergeCell ref="DU727:DY727"/>
    <mergeCell ref="EE725:EI725"/>
    <mergeCell ref="EJ728:EN728"/>
    <mergeCell ref="AK734:AO734"/>
    <mergeCell ref="EO730:ES730"/>
    <mergeCell ref="EO725:ES725"/>
    <mergeCell ref="CU729:CY729"/>
    <mergeCell ref="EM678:EQ678"/>
    <mergeCell ref="EE734:EI734"/>
    <mergeCell ref="EJ734:EN734"/>
    <mergeCell ref="EW676:FA676"/>
    <mergeCell ref="ER677:EV677"/>
    <mergeCell ref="ER676:EV676"/>
    <mergeCell ref="EC669:EG669"/>
    <mergeCell ref="EH669:EL669"/>
    <mergeCell ref="EW669:FA669"/>
    <mergeCell ref="EW677:FA677"/>
    <mergeCell ref="ET725:EX725"/>
    <mergeCell ref="EM676:EQ676"/>
    <mergeCell ref="DX678:EB678"/>
    <mergeCell ref="EM672:EQ672"/>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M632:P634"/>
    <mergeCell ref="W635:Y635"/>
    <mergeCell ref="T635:V635"/>
    <mergeCell ref="T726:W726"/>
    <mergeCell ref="G693:R693"/>
    <mergeCell ref="Z644:AB644"/>
    <mergeCell ref="AK726:AO726"/>
    <mergeCell ref="Z661:AK661"/>
    <mergeCell ref="G692:R692"/>
    <mergeCell ref="P663:R663"/>
    <mergeCell ref="G687:L687"/>
    <mergeCell ref="O153:AH153"/>
    <mergeCell ref="O154:AH154"/>
    <mergeCell ref="AK636:AN636"/>
    <mergeCell ref="AF640:AJ640"/>
    <mergeCell ref="AM569:AS569"/>
    <mergeCell ref="Z639:AB639"/>
    <mergeCell ref="AF632:AJ634"/>
    <mergeCell ref="AM567:AS567"/>
    <mergeCell ref="AK638:AN638"/>
    <mergeCell ref="AC524:AF524"/>
    <mergeCell ref="AM570:AS570"/>
    <mergeCell ref="EH663:EL663"/>
    <mergeCell ref="EM663:EQ663"/>
    <mergeCell ref="ER662:EV662"/>
    <mergeCell ref="EH665:EL665"/>
    <mergeCell ref="EM665:EQ665"/>
    <mergeCell ref="EM658:EQ658"/>
    <mergeCell ref="DX661:EB661"/>
    <mergeCell ref="EC661:EG661"/>
    <mergeCell ref="DX662:EB662"/>
    <mergeCell ref="DX659:EB659"/>
    <mergeCell ref="AO635:AS635"/>
    <mergeCell ref="DX652:EB652"/>
    <mergeCell ref="DX650:EB650"/>
    <mergeCell ref="ER650:EV650"/>
    <mergeCell ref="EM645:EQ645"/>
    <mergeCell ref="EM652:EQ652"/>
    <mergeCell ref="ER652:EV652"/>
    <mergeCell ref="EM654:EQ654"/>
    <mergeCell ref="DX653:EB653"/>
    <mergeCell ref="DX660:EB660"/>
    <mergeCell ref="N665:O665"/>
    <mergeCell ref="A69:AT70"/>
    <mergeCell ref="A72:AT73"/>
    <mergeCell ref="A552:AT553"/>
    <mergeCell ref="A488:AT489"/>
    <mergeCell ref="A360:AT361"/>
    <mergeCell ref="I401:N401"/>
    <mergeCell ref="M366:N366"/>
    <mergeCell ref="J394:U394"/>
    <mergeCell ref="Z601:AK601"/>
    <mergeCell ref="AK637:AN637"/>
    <mergeCell ref="AI340:AK340"/>
    <mergeCell ref="Z632:AB634"/>
    <mergeCell ref="P621:R621"/>
    <mergeCell ref="W640:Y640"/>
    <mergeCell ref="Q635:S635"/>
    <mergeCell ref="Q636:S636"/>
    <mergeCell ref="Q637:S637"/>
    <mergeCell ref="Z635:AB635"/>
    <mergeCell ref="AI567:AL567"/>
    <mergeCell ref="M243:T243"/>
    <mergeCell ref="AC243:AE243"/>
    <mergeCell ref="AG457:AJ457"/>
    <mergeCell ref="AH536:AK536"/>
    <mergeCell ref="M567:P567"/>
    <mergeCell ref="D477:V477"/>
    <mergeCell ref="T559:V561"/>
    <mergeCell ref="M563:P563"/>
    <mergeCell ref="Q565:S565"/>
    <mergeCell ref="Z565:AD565"/>
    <mergeCell ref="B509:H510"/>
    <mergeCell ref="W479:Y479"/>
    <mergeCell ref="AK635:AN63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Z676:AK676"/>
    <mergeCell ref="T729:W729"/>
    <mergeCell ref="AE703:AI703"/>
    <mergeCell ref="Z652:AK652"/>
    <mergeCell ref="AO644:AS644"/>
    <mergeCell ref="AE564:AH564"/>
    <mergeCell ref="AE567:AH567"/>
    <mergeCell ref="M573:P573"/>
    <mergeCell ref="Z619:AK619"/>
    <mergeCell ref="AH525:AK525"/>
    <mergeCell ref="Z443:AA443"/>
    <mergeCell ref="AM564:AS564"/>
    <mergeCell ref="AM566:AS566"/>
    <mergeCell ref="AM574:AS574"/>
    <mergeCell ref="AC511:AF511"/>
    <mergeCell ref="G667:R667"/>
    <mergeCell ref="P679:R679"/>
    <mergeCell ref="Q639:S639"/>
    <mergeCell ref="T640:V640"/>
    <mergeCell ref="K727:N727"/>
    <mergeCell ref="B649:AN649"/>
    <mergeCell ref="G651:R651"/>
    <mergeCell ref="M642:P642"/>
    <mergeCell ref="AI589:AK589"/>
    <mergeCell ref="AC638:AE638"/>
    <mergeCell ref="AM573:AS573"/>
    <mergeCell ref="AE571:AH571"/>
    <mergeCell ref="AM571:AS571"/>
    <mergeCell ref="AO636:AS636"/>
    <mergeCell ref="AG615:AH615"/>
    <mergeCell ref="AO632:AS634"/>
    <mergeCell ref="Q632:S634"/>
    <mergeCell ref="D994:Q994"/>
    <mergeCell ref="AB994:AI994"/>
    <mergeCell ref="O746:S746"/>
    <mergeCell ref="T747:W747"/>
    <mergeCell ref="AH759:AJ759"/>
    <mergeCell ref="G761:J761"/>
    <mergeCell ref="AD767:AF767"/>
    <mergeCell ref="O754:S754"/>
    <mergeCell ref="O751:S751"/>
    <mergeCell ref="T751:W751"/>
    <mergeCell ref="K752:N752"/>
    <mergeCell ref="O752:S752"/>
    <mergeCell ref="K754:N754"/>
    <mergeCell ref="T754:W754"/>
    <mergeCell ref="K755:N755"/>
    <mergeCell ref="AH758:AJ758"/>
    <mergeCell ref="K743:N743"/>
    <mergeCell ref="K744:N744"/>
    <mergeCell ref="B760:F760"/>
    <mergeCell ref="B759:F759"/>
    <mergeCell ref="B750:F750"/>
    <mergeCell ref="B751:F751"/>
    <mergeCell ref="B744:F744"/>
    <mergeCell ref="Z825:AE825"/>
    <mergeCell ref="P824:Y824"/>
    <mergeCell ref="AG764:AJ764"/>
    <mergeCell ref="J782:N782"/>
    <mergeCell ref="T752:W752"/>
    <mergeCell ref="O755:S755"/>
    <mergeCell ref="T755:W755"/>
    <mergeCell ref="AC756:AG756"/>
    <mergeCell ref="G744:J74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T190:AE190"/>
    <mergeCell ref="I190:N190"/>
    <mergeCell ref="N191:AE192"/>
    <mergeCell ref="M242:AE242"/>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3" workbookViewId="0">
      <selection activeCell="D123" sqref="D123:S125"/>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549</v>
      </c>
      <c r="B1" s="125"/>
      <c r="C1" s="125"/>
      <c r="D1" s="125"/>
      <c r="E1" s="126"/>
      <c r="F1" s="1868" t="s">
        <v>621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1)Citi Perm Loan Tranche A</v>
      </c>
      <c r="G2" s="139" t="str">
        <f>Application!B636&amp;Application!C636</f>
        <v>2)Citi Perm Loan Tranche B</v>
      </c>
      <c r="H2" s="139" t="str">
        <f>Application!B637&amp;Application!C637</f>
        <v>3)SMC AHF 13.0</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5000000</v>
      </c>
      <c r="C4" s="147">
        <v>5000000</v>
      </c>
      <c r="D4" s="147"/>
      <c r="E4" s="147">
        <f>C4</f>
        <v>5000000</v>
      </c>
      <c r="F4" s="147"/>
      <c r="G4" s="147"/>
      <c r="H4" s="147"/>
      <c r="I4" s="147"/>
      <c r="J4" s="147"/>
      <c r="K4" s="147"/>
      <c r="L4" s="147"/>
      <c r="M4" s="147"/>
      <c r="N4" s="147"/>
      <c r="O4" s="147"/>
      <c r="P4" s="147"/>
      <c r="Q4" s="147"/>
      <c r="R4" s="516">
        <f>SUM(E4:Q4)</f>
        <v>5000000</v>
      </c>
      <c r="S4" s="148"/>
      <c r="T4" s="148"/>
      <c r="U4" s="143"/>
    </row>
    <row r="5" spans="1:21" s="144" customFormat="1">
      <c r="A5" s="145" t="s">
        <v>28</v>
      </c>
      <c r="B5" s="146">
        <f>SUM(C5+D5)</f>
        <v>100000</v>
      </c>
      <c r="C5" s="147">
        <v>100000</v>
      </c>
      <c r="D5" s="147"/>
      <c r="E5" s="147">
        <f>C5</f>
        <v>100000</v>
      </c>
      <c r="F5" s="147"/>
      <c r="G5" s="147"/>
      <c r="H5" s="147"/>
      <c r="I5" s="147"/>
      <c r="J5" s="147"/>
      <c r="K5" s="147"/>
      <c r="L5" s="147"/>
      <c r="M5" s="147"/>
      <c r="N5" s="147"/>
      <c r="O5" s="147"/>
      <c r="P5" s="147"/>
      <c r="Q5" s="147"/>
      <c r="R5" s="516">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5100000</v>
      </c>
      <c r="C8" s="146">
        <f t="shared" ref="C8:Q8" si="0">SUM(C4:C7)</f>
        <v>5100000</v>
      </c>
      <c r="D8" s="146">
        <f t="shared" si="0"/>
        <v>0</v>
      </c>
      <c r="E8" s="146">
        <f t="shared" si="0"/>
        <v>5100000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5100000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v>500000</v>
      </c>
      <c r="T10" s="147"/>
      <c r="U10" s="143"/>
    </row>
    <row r="11" spans="1:21" s="144" customFormat="1">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5600000</v>
      </c>
      <c r="C12" s="146">
        <f t="shared" si="2"/>
        <v>5600000</v>
      </c>
      <c r="D12" s="146">
        <f t="shared" si="2"/>
        <v>0</v>
      </c>
      <c r="E12" s="146">
        <f t="shared" si="2"/>
        <v>5600000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5600000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f>C29</f>
        <v>1000000</v>
      </c>
      <c r="F29" s="147"/>
      <c r="G29" s="147"/>
      <c r="H29" s="147"/>
      <c r="I29" s="147"/>
      <c r="J29" s="147"/>
      <c r="K29" s="147"/>
      <c r="L29" s="147"/>
      <c r="M29" s="147"/>
      <c r="N29" s="147"/>
      <c r="O29" s="147"/>
      <c r="P29" s="147"/>
      <c r="Q29" s="147"/>
      <c r="R29" s="516">
        <f t="shared" ref="R29:R37" si="7">SUM(E29:Q29)</f>
        <v>1000000</v>
      </c>
      <c r="S29" s="147">
        <v>1000000</v>
      </c>
      <c r="T29" s="147"/>
      <c r="U29" s="143"/>
    </row>
    <row r="30" spans="1:21" s="144" customFormat="1">
      <c r="A30" s="145" t="s">
        <v>599</v>
      </c>
      <c r="B30" s="146">
        <f t="shared" si="6"/>
        <v>21096973</v>
      </c>
      <c r="C30" s="147">
        <v>21096973</v>
      </c>
      <c r="D30" s="147"/>
      <c r="E30" s="147">
        <f>C30-F30-G30-H30</f>
        <v>3682441</v>
      </c>
      <c r="F30" s="147">
        <v>15800000</v>
      </c>
      <c r="G30" s="147">
        <v>614532</v>
      </c>
      <c r="H30" s="147">
        <v>1000000</v>
      </c>
      <c r="I30" s="147"/>
      <c r="J30" s="147"/>
      <c r="K30" s="147"/>
      <c r="L30" s="147"/>
      <c r="M30" s="147"/>
      <c r="N30" s="147"/>
      <c r="O30" s="147"/>
      <c r="P30" s="147"/>
      <c r="Q30" s="147"/>
      <c r="R30" s="516">
        <f t="shared" si="7"/>
        <v>21096973</v>
      </c>
      <c r="S30" s="147">
        <f>R30</f>
        <v>21096973</v>
      </c>
      <c r="T30" s="147"/>
      <c r="U30" s="143"/>
    </row>
    <row r="31" spans="1:21" s="144" customFormat="1">
      <c r="A31" s="145" t="s">
        <v>600</v>
      </c>
      <c r="B31" s="146">
        <f t="shared" si="6"/>
        <v>1626982</v>
      </c>
      <c r="C31" s="147">
        <v>1626982</v>
      </c>
      <c r="D31" s="147"/>
      <c r="E31" s="147">
        <f>C31</f>
        <v>1626982</v>
      </c>
      <c r="F31" s="147"/>
      <c r="G31" s="147"/>
      <c r="H31" s="147"/>
      <c r="I31" s="147"/>
      <c r="J31" s="147"/>
      <c r="K31" s="147"/>
      <c r="L31" s="147"/>
      <c r="M31" s="147"/>
      <c r="N31" s="147"/>
      <c r="O31" s="147"/>
      <c r="P31" s="147"/>
      <c r="Q31" s="147"/>
      <c r="R31" s="516">
        <f t="shared" si="7"/>
        <v>1626982</v>
      </c>
      <c r="S31" s="147" cm="1">
        <f t="array" ref="S31:S35">R31:R35</f>
        <v>1626982</v>
      </c>
      <c r="T31" s="147"/>
      <c r="U31" s="143"/>
    </row>
    <row r="32" spans="1:21" s="144" customFormat="1">
      <c r="A32" s="145" t="s">
        <v>137</v>
      </c>
      <c r="B32" s="146">
        <f t="shared" si="6"/>
        <v>1084655</v>
      </c>
      <c r="C32" s="147">
        <v>1084655</v>
      </c>
      <c r="D32" s="147"/>
      <c r="E32" s="147">
        <f>C32</f>
        <v>1084655</v>
      </c>
      <c r="F32" s="147"/>
      <c r="G32" s="147"/>
      <c r="H32" s="147"/>
      <c r="I32" s="147"/>
      <c r="J32" s="147"/>
      <c r="K32" s="147"/>
      <c r="L32" s="147"/>
      <c r="M32" s="147"/>
      <c r="N32" s="147"/>
      <c r="O32" s="147"/>
      <c r="P32" s="147"/>
      <c r="Q32" s="147"/>
      <c r="R32" s="516">
        <f t="shared" si="7"/>
        <v>1084655</v>
      </c>
      <c r="S32" s="147">
        <v>1084655</v>
      </c>
      <c r="T32" s="147"/>
      <c r="U32" s="143"/>
    </row>
    <row r="33" spans="1:21" s="144" customFormat="1">
      <c r="A33" s="145" t="s">
        <v>138</v>
      </c>
      <c r="B33" s="146">
        <f t="shared" si="6"/>
        <v>1084655</v>
      </c>
      <c r="C33" s="147">
        <v>1084655</v>
      </c>
      <c r="D33" s="147"/>
      <c r="E33" s="147">
        <f>C33</f>
        <v>1084655</v>
      </c>
      <c r="F33" s="147"/>
      <c r="G33" s="147"/>
      <c r="H33" s="147"/>
      <c r="I33" s="147"/>
      <c r="J33" s="147"/>
      <c r="K33" s="147"/>
      <c r="L33" s="147"/>
      <c r="M33" s="147"/>
      <c r="N33" s="147"/>
      <c r="O33" s="147"/>
      <c r="P33" s="147"/>
      <c r="Q33" s="147"/>
      <c r="R33" s="516">
        <f t="shared" si="7"/>
        <v>1084655</v>
      </c>
      <c r="S33" s="147">
        <v>1084655</v>
      </c>
      <c r="T33" s="147"/>
      <c r="U33" s="143"/>
    </row>
    <row r="34" spans="1:21" s="144" customFormat="1">
      <c r="A34" s="145" t="s">
        <v>139</v>
      </c>
      <c r="B34" s="146">
        <f t="shared" si="6"/>
        <v>4519395</v>
      </c>
      <c r="C34" s="147">
        <v>4519395</v>
      </c>
      <c r="D34" s="147"/>
      <c r="E34" s="147">
        <f>C34</f>
        <v>4519395</v>
      </c>
      <c r="F34" s="147"/>
      <c r="G34" s="147"/>
      <c r="H34" s="147"/>
      <c r="I34" s="147"/>
      <c r="J34" s="147"/>
      <c r="K34" s="147"/>
      <c r="L34" s="147"/>
      <c r="M34" s="147"/>
      <c r="N34" s="147"/>
      <c r="O34" s="147"/>
      <c r="P34" s="147"/>
      <c r="Q34" s="147"/>
      <c r="R34" s="516">
        <f t="shared" si="7"/>
        <v>4519395</v>
      </c>
      <c r="S34" s="147">
        <v>4519395</v>
      </c>
      <c r="T34" s="147"/>
      <c r="U34" s="143"/>
    </row>
    <row r="35" spans="1:21" s="144" customFormat="1">
      <c r="A35" s="145" t="s">
        <v>140</v>
      </c>
      <c r="B35" s="146">
        <f t="shared" si="6"/>
        <v>309127</v>
      </c>
      <c r="C35" s="147">
        <v>309127</v>
      </c>
      <c r="D35" s="147"/>
      <c r="E35" s="147">
        <f>C35</f>
        <v>309127</v>
      </c>
      <c r="F35" s="147"/>
      <c r="G35" s="147"/>
      <c r="H35" s="147"/>
      <c r="I35" s="147"/>
      <c r="J35" s="147"/>
      <c r="K35" s="147"/>
      <c r="L35" s="147"/>
      <c r="M35" s="147"/>
      <c r="N35" s="147"/>
      <c r="O35" s="147"/>
      <c r="P35" s="147"/>
      <c r="Q35" s="147"/>
      <c r="R35" s="516">
        <f t="shared" si="7"/>
        <v>309127</v>
      </c>
      <c r="S35" s="147">
        <v>309127</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30721787</v>
      </c>
      <c r="C38" s="146">
        <f>SUM(C29:C37)</f>
        <v>30721787</v>
      </c>
      <c r="D38" s="146">
        <f t="shared" ref="D38:Q38" si="8">SUM(D29:D37)</f>
        <v>0</v>
      </c>
      <c r="E38" s="146">
        <f t="shared" si="8"/>
        <v>13307255</v>
      </c>
      <c r="F38" s="146">
        <f t="shared" si="8"/>
        <v>15800000</v>
      </c>
      <c r="G38" s="146">
        <f t="shared" si="8"/>
        <v>614532</v>
      </c>
      <c r="H38" s="146">
        <f t="shared" si="8"/>
        <v>1000000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30721787</v>
      </c>
      <c r="S38" s="150">
        <f>SUM(S29:S37)</f>
        <v>30721787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950000</v>
      </c>
      <c r="C40" s="147">
        <v>950000</v>
      </c>
      <c r="D40" s="147"/>
      <c r="E40" s="147">
        <f>C40</f>
        <v>950000</v>
      </c>
      <c r="F40" s="147"/>
      <c r="G40" s="147"/>
      <c r="H40" s="147"/>
      <c r="I40" s="147"/>
      <c r="J40" s="147"/>
      <c r="K40" s="147"/>
      <c r="L40" s="147"/>
      <c r="M40" s="147"/>
      <c r="N40" s="147"/>
      <c r="O40" s="147"/>
      <c r="P40" s="147"/>
      <c r="Q40" s="147"/>
      <c r="R40" s="516">
        <f>SUM(E40:Q40)</f>
        <v>950000</v>
      </c>
      <c r="S40" s="147">
        <f>R40</f>
        <v>950000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950000</v>
      </c>
      <c r="C42" s="146">
        <f>SUM(C39:C41)</f>
        <v>950000</v>
      </c>
      <c r="D42" s="146">
        <f>SUM(D39:D41)</f>
        <v>0</v>
      </c>
      <c r="E42" s="146">
        <f t="shared" ref="E42:T42" si="9">SUM(E40:E41)</f>
        <v>950000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950000</v>
      </c>
      <c r="S42" s="150">
        <f t="shared" si="9"/>
        <v>950000</v>
      </c>
      <c r="T42" s="150">
        <f t="shared" si="9"/>
        <v>0</v>
      </c>
      <c r="U42" s="143"/>
    </row>
    <row r="43" spans="1:21" s="144" customFormat="1">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3757811</v>
      </c>
      <c r="C45" s="147">
        <v>3757811</v>
      </c>
      <c r="D45" s="147"/>
      <c r="E45" s="147">
        <f>C45</f>
        <v>3757811</v>
      </c>
      <c r="F45" s="147"/>
      <c r="G45" s="147"/>
      <c r="H45" s="147"/>
      <c r="I45" s="147"/>
      <c r="J45" s="147"/>
      <c r="K45" s="147"/>
      <c r="L45" s="147"/>
      <c r="M45" s="147"/>
      <c r="N45" s="147"/>
      <c r="O45" s="147"/>
      <c r="P45" s="147"/>
      <c r="Q45" s="147"/>
      <c r="R45" s="516">
        <f t="shared" ref="R45:R53" si="11">SUM(E45:Q45)</f>
        <v>3757811</v>
      </c>
      <c r="S45" s="147">
        <v>2494529</v>
      </c>
      <c r="T45" s="147"/>
      <c r="U45" s="143"/>
    </row>
    <row r="46" spans="1:21" s="144" customFormat="1">
      <c r="A46" s="145" t="s">
        <v>151</v>
      </c>
      <c r="B46" s="146">
        <f t="shared" si="10"/>
        <v>310727</v>
      </c>
      <c r="C46" s="147">
        <v>310727</v>
      </c>
      <c r="D46" s="147"/>
      <c r="E46" s="147">
        <f>C46</f>
        <v>310727</v>
      </c>
      <c r="F46" s="147"/>
      <c r="G46" s="147"/>
      <c r="H46" s="147"/>
      <c r="I46" s="147"/>
      <c r="J46" s="147"/>
      <c r="K46" s="147"/>
      <c r="L46" s="147"/>
      <c r="M46" s="147"/>
      <c r="N46" s="147"/>
      <c r="O46" s="147"/>
      <c r="P46" s="147"/>
      <c r="Q46" s="147"/>
      <c r="R46" s="516">
        <f t="shared" si="11"/>
        <v>310727</v>
      </c>
      <c r="S46" s="147">
        <v>233045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278214</v>
      </c>
      <c r="C48" s="147">
        <v>278214</v>
      </c>
      <c r="D48" s="147"/>
      <c r="E48" s="147">
        <f>C48</f>
        <v>278214</v>
      </c>
      <c r="F48" s="147"/>
      <c r="G48" s="147"/>
      <c r="H48" s="147"/>
      <c r="I48" s="147"/>
      <c r="J48" s="147"/>
      <c r="K48" s="147"/>
      <c r="L48" s="147"/>
      <c r="M48" s="147"/>
      <c r="N48" s="147"/>
      <c r="O48" s="147"/>
      <c r="P48" s="147"/>
      <c r="Q48" s="147"/>
      <c r="R48" s="516">
        <f t="shared" si="11"/>
        <v>278214</v>
      </c>
      <c r="S48" s="147">
        <f>R48</f>
        <v>278214</v>
      </c>
      <c r="T48" s="147"/>
      <c r="U48" s="143"/>
    </row>
    <row r="49" spans="1:21" s="144" customFormat="1">
      <c r="A49" s="145" t="s">
        <v>57</v>
      </c>
      <c r="B49" s="146">
        <f t="shared" si="10"/>
        <v>77680</v>
      </c>
      <c r="C49" s="147">
        <v>77680</v>
      </c>
      <c r="D49" s="147"/>
      <c r="E49" s="147">
        <f>C49</f>
        <v>77680</v>
      </c>
      <c r="F49" s="147"/>
      <c r="G49" s="147"/>
      <c r="H49" s="147"/>
      <c r="I49" s="147"/>
      <c r="J49" s="147"/>
      <c r="K49" s="147"/>
      <c r="L49" s="147"/>
      <c r="M49" s="147"/>
      <c r="N49" s="147"/>
      <c r="O49" s="147"/>
      <c r="P49" s="147"/>
      <c r="Q49" s="147"/>
      <c r="R49" s="516">
        <f t="shared" si="11"/>
        <v>77680</v>
      </c>
      <c r="S49" s="147">
        <v>77680</v>
      </c>
      <c r="T49" s="147"/>
      <c r="U49" s="143"/>
    </row>
    <row r="50" spans="1:21" s="144" customFormat="1">
      <c r="A50" s="145" t="s">
        <v>156</v>
      </c>
      <c r="B50" s="146">
        <f t="shared" si="10"/>
        <v>120000</v>
      </c>
      <c r="C50" s="147">
        <v>120000</v>
      </c>
      <c r="D50" s="147"/>
      <c r="E50" s="147">
        <f>C50</f>
        <v>120000</v>
      </c>
      <c r="F50" s="147"/>
      <c r="G50" s="147"/>
      <c r="H50" s="147"/>
      <c r="I50" s="147"/>
      <c r="J50" s="147"/>
      <c r="K50" s="147"/>
      <c r="L50" s="147"/>
      <c r="M50" s="147"/>
      <c r="N50" s="147"/>
      <c r="O50" s="147"/>
      <c r="P50" s="147"/>
      <c r="Q50" s="147"/>
      <c r="R50" s="516">
        <f t="shared" si="11"/>
        <v>120000</v>
      </c>
      <c r="S50" s="147">
        <v>75000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315000</v>
      </c>
      <c r="C52" s="147">
        <v>315000</v>
      </c>
      <c r="D52" s="147"/>
      <c r="E52" s="147">
        <f>C52</f>
        <v>315000</v>
      </c>
      <c r="F52" s="147"/>
      <c r="G52" s="147"/>
      <c r="H52" s="147"/>
      <c r="I52" s="147"/>
      <c r="J52" s="147"/>
      <c r="K52" s="147"/>
      <c r="L52" s="147"/>
      <c r="M52" s="147"/>
      <c r="N52" s="147"/>
      <c r="O52" s="147"/>
      <c r="P52" s="147"/>
      <c r="Q52" s="147"/>
      <c r="R52" s="516">
        <f t="shared" si="11"/>
        <v>315000</v>
      </c>
      <c r="S52" s="147">
        <f>R52</f>
        <v>315000</v>
      </c>
      <c r="T52" s="147"/>
      <c r="U52" s="143"/>
    </row>
    <row r="53" spans="1:21" s="144" customFormat="1">
      <c r="A53" s="1143"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4859432</v>
      </c>
      <c r="C54" s="150">
        <f t="shared" ref="C54:T54" si="12">SUM(C45:C53)</f>
        <v>4859432</v>
      </c>
      <c r="D54" s="150">
        <f t="shared" si="12"/>
        <v>0</v>
      </c>
      <c r="E54" s="150">
        <f t="shared" si="12"/>
        <v>4859432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4859432</v>
      </c>
      <c r="S54" s="150">
        <f t="shared" si="12"/>
        <v>3473468</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10000</v>
      </c>
      <c r="C58" s="147">
        <v>10000</v>
      </c>
      <c r="D58" s="147"/>
      <c r="E58" s="147">
        <f>C58</f>
        <v>10000</v>
      </c>
      <c r="F58" s="147"/>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2772</v>
      </c>
      <c r="B61" s="146">
        <f t="shared" si="13"/>
        <v>15000</v>
      </c>
      <c r="C61" s="147">
        <v>15000</v>
      </c>
      <c r="D61" s="147"/>
      <c r="E61" s="147">
        <f>C61</f>
        <v>15000</v>
      </c>
      <c r="F61" s="147"/>
      <c r="G61" s="147"/>
      <c r="H61" s="147"/>
      <c r="I61" s="147"/>
      <c r="J61" s="147"/>
      <c r="K61" s="147"/>
      <c r="L61" s="147"/>
      <c r="M61" s="147"/>
      <c r="N61" s="147"/>
      <c r="O61" s="147"/>
      <c r="P61" s="147"/>
      <c r="Q61" s="147"/>
      <c r="R61" s="516">
        <f t="shared" si="14"/>
        <v>15000</v>
      </c>
      <c r="S61" s="148"/>
      <c r="T61" s="148"/>
      <c r="U61" s="143"/>
    </row>
    <row r="62" spans="1:21" s="144" customFormat="1" ht="13.65" customHeight="1">
      <c r="A62" s="149" t="s">
        <v>301</v>
      </c>
      <c r="B62" s="146">
        <f>SUM(C62:D62)</f>
        <v>25000</v>
      </c>
      <c r="C62" s="146">
        <f t="shared" ref="C62:R62" si="15">SUM(C56:C61)</f>
        <v>25000</v>
      </c>
      <c r="D62" s="146">
        <f t="shared" si="15"/>
        <v>0</v>
      </c>
      <c r="E62" s="146">
        <f t="shared" si="15"/>
        <v>25000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25000</v>
      </c>
      <c r="S62" s="148"/>
      <c r="T62" s="148"/>
      <c r="U62" s="143"/>
    </row>
    <row r="63" spans="1:21" s="144" customFormat="1">
      <c r="A63" s="154" t="s">
        <v>302</v>
      </c>
      <c r="B63" s="146">
        <f t="shared" ref="B63:R63" si="16">SUM(B8+B11+B13+B14+B15+B26+B27+B38+B42+B43+B54+B62)</f>
        <v>42806219</v>
      </c>
      <c r="C63" s="146">
        <f t="shared" si="16"/>
        <v>42806219</v>
      </c>
      <c r="D63" s="146">
        <f t="shared" si="16"/>
        <v>0</v>
      </c>
      <c r="E63" s="146">
        <f t="shared" si="16"/>
        <v>25391687</v>
      </c>
      <c r="F63" s="146">
        <f t="shared" si="16"/>
        <v>15800000</v>
      </c>
      <c r="G63" s="146">
        <f t="shared" si="16"/>
        <v>614532</v>
      </c>
      <c r="H63" s="146">
        <f t="shared" si="16"/>
        <v>1000000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42806219</v>
      </c>
      <c r="S63" s="146">
        <f>SUM(S10+S13+S14+S15+S26+S27+S38+S42+S43+S54)</f>
        <v>36295255</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2791</v>
      </c>
      <c r="B69" s="146">
        <f>SUM(C69+D69)</f>
        <v>300000</v>
      </c>
      <c r="C69" s="147">
        <f>75000+50000+100000+75000</f>
        <v>300000</v>
      </c>
      <c r="D69" s="147"/>
      <c r="E69" s="147">
        <f>C69</f>
        <v>300000</v>
      </c>
      <c r="F69" s="147"/>
      <c r="G69" s="147"/>
      <c r="H69" s="147"/>
      <c r="I69" s="147"/>
      <c r="J69" s="147"/>
      <c r="K69" s="147"/>
      <c r="L69" s="147"/>
      <c r="M69" s="147"/>
      <c r="N69" s="147"/>
      <c r="O69" s="147"/>
      <c r="P69" s="147"/>
      <c r="Q69" s="147"/>
      <c r="R69" s="516">
        <f>SUM(E69:Q69)</f>
        <v>300000</v>
      </c>
      <c r="S69" s="147">
        <v>75000</v>
      </c>
      <c r="T69" s="147"/>
      <c r="U69" s="143"/>
    </row>
    <row r="70" spans="1:21" s="144" customFormat="1">
      <c r="A70" s="149" t="s">
        <v>1634</v>
      </c>
      <c r="B70" s="146">
        <f>SUM(C70:D70)</f>
        <v>400000</v>
      </c>
      <c r="C70" s="146">
        <f>SUM(C65:C69)</f>
        <v>400000</v>
      </c>
      <c r="D70" s="146">
        <f>SUM(D65:D69)</f>
        <v>0</v>
      </c>
      <c r="E70" s="146">
        <f t="shared" ref="E70:T70" si="17">SUM(E65:E69)</f>
        <v>400000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400000</v>
      </c>
      <c r="S70" s="150">
        <f t="shared" si="17"/>
        <v>175000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398971</v>
      </c>
      <c r="C75" s="147">
        <v>398971</v>
      </c>
      <c r="D75" s="147"/>
      <c r="E75" s="147">
        <f>C75</f>
        <v>398971</v>
      </c>
      <c r="F75" s="147"/>
      <c r="G75" s="147"/>
      <c r="H75" s="147"/>
      <c r="I75" s="147"/>
      <c r="J75" s="147"/>
      <c r="K75" s="147"/>
      <c r="L75" s="147"/>
      <c r="M75" s="147"/>
      <c r="N75" s="147"/>
      <c r="O75" s="147"/>
      <c r="P75" s="147"/>
      <c r="Q75" s="147"/>
      <c r="R75" s="516">
        <f>SUM(E75:Q75)</f>
        <v>398971</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398971</v>
      </c>
      <c r="C77" s="146">
        <f>SUM(C72:C76)</f>
        <v>398971</v>
      </c>
      <c r="D77" s="146">
        <f>SUM(D72:D76)</f>
        <v>0</v>
      </c>
      <c r="E77" s="146">
        <f t="shared" ref="E77:Q77" si="18">SUM(E72:E76)</f>
        <v>398971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398971</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1580000</v>
      </c>
      <c r="C79" s="147">
        <v>1580000</v>
      </c>
      <c r="D79" s="147"/>
      <c r="E79" s="147">
        <f>C79</f>
        <v>1580000</v>
      </c>
      <c r="F79" s="147"/>
      <c r="G79" s="147"/>
      <c r="H79" s="147"/>
      <c r="I79" s="147"/>
      <c r="J79" s="147"/>
      <c r="K79" s="147"/>
      <c r="L79" s="147"/>
      <c r="M79" s="147"/>
      <c r="N79" s="147"/>
      <c r="O79" s="147"/>
      <c r="P79" s="147"/>
      <c r="Q79" s="147"/>
      <c r="R79" s="516">
        <f>SUM(E79:Q79)</f>
        <v>1580000</v>
      </c>
      <c r="S79" s="147" cm="1">
        <f t="array" ref="S79:S80">R79:R80</f>
        <v>1580000</v>
      </c>
      <c r="T79" s="147"/>
      <c r="U79" s="143"/>
    </row>
    <row r="80" spans="1:21" s="144" customFormat="1">
      <c r="A80" s="283" t="s">
        <v>58</v>
      </c>
      <c r="B80" s="146">
        <f>SUM(C80:D80)</f>
        <v>426932</v>
      </c>
      <c r="C80" s="147">
        <v>426932</v>
      </c>
      <c r="D80" s="147"/>
      <c r="E80" s="147">
        <f>C80</f>
        <v>426932</v>
      </c>
      <c r="F80" s="147"/>
      <c r="G80" s="147"/>
      <c r="H80" s="147"/>
      <c r="I80" s="147"/>
      <c r="J80" s="147"/>
      <c r="K80" s="147"/>
      <c r="L80" s="147"/>
      <c r="M80" s="147"/>
      <c r="N80" s="147"/>
      <c r="O80" s="147"/>
      <c r="P80" s="147"/>
      <c r="Q80" s="147"/>
      <c r="R80" s="516">
        <f>SUM(E80:Q80)</f>
        <v>426932</v>
      </c>
      <c r="S80" s="147">
        <v>426932</v>
      </c>
      <c r="T80" s="147"/>
      <c r="U80" s="143"/>
    </row>
    <row r="81" spans="1:21" s="144" customFormat="1">
      <c r="A81" s="149" t="s">
        <v>1209</v>
      </c>
      <c r="B81" s="146">
        <f>SUM(C81:D81)</f>
        <v>2006932</v>
      </c>
      <c r="C81" s="509">
        <f>SUM(C79:C80)</f>
        <v>2006932</v>
      </c>
      <c r="D81" s="509">
        <f t="shared" ref="D81:T81" si="19">SUM(D79:D80)</f>
        <v>0</v>
      </c>
      <c r="E81" s="509">
        <f t="shared" si="19"/>
        <v>2006932</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2006932</v>
      </c>
      <c r="S81" s="509">
        <f t="shared" si="19"/>
        <v>2006932</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2051</v>
      </c>
      <c r="B83" s="146">
        <f t="shared" ref="B83:B95" si="20">SUM(C83+D83)</f>
        <v>70171</v>
      </c>
      <c r="C83" s="147">
        <v>70171</v>
      </c>
      <c r="D83" s="147"/>
      <c r="E83" s="147">
        <f>C83</f>
        <v>70171</v>
      </c>
      <c r="F83" s="147"/>
      <c r="G83" s="147"/>
      <c r="H83" s="147"/>
      <c r="I83" s="147"/>
      <c r="J83" s="147"/>
      <c r="K83" s="147"/>
      <c r="L83" s="147"/>
      <c r="M83" s="147"/>
      <c r="N83" s="147"/>
      <c r="O83" s="147"/>
      <c r="P83" s="147"/>
      <c r="Q83" s="147"/>
      <c r="R83" s="516">
        <f t="shared" ref="R83:R95" si="21">SUM(E83:Q83)</f>
        <v>70171</v>
      </c>
      <c r="S83" s="148"/>
      <c r="T83" s="148"/>
      <c r="U83" s="143"/>
    </row>
    <row r="84" spans="1:21" s="144" customFormat="1">
      <c r="A84" s="145" t="s">
        <v>767</v>
      </c>
      <c r="B84" s="146">
        <f t="shared" si="20"/>
        <v>50000</v>
      </c>
      <c r="C84" s="147">
        <v>50000</v>
      </c>
      <c r="D84" s="147"/>
      <c r="E84" s="147">
        <f>C84</f>
        <v>50000</v>
      </c>
      <c r="F84" s="147"/>
      <c r="G84" s="147"/>
      <c r="H84" s="147"/>
      <c r="I84" s="147"/>
      <c r="J84" s="147"/>
      <c r="K84" s="147"/>
      <c r="L84" s="147"/>
      <c r="M84" s="147"/>
      <c r="N84" s="147"/>
      <c r="O84" s="147"/>
      <c r="P84" s="147"/>
      <c r="Q84" s="147"/>
      <c r="R84" s="516">
        <f t="shared" si="21"/>
        <v>50000</v>
      </c>
      <c r="S84" s="147" cm="1">
        <f t="array" ref="S84:S86">R84:R86</f>
        <v>50000</v>
      </c>
      <c r="T84" s="147"/>
      <c r="U84" s="143"/>
    </row>
    <row r="85" spans="1:21" s="144" customFormat="1">
      <c r="A85" s="145" t="s">
        <v>768</v>
      </c>
      <c r="B85" s="146">
        <f t="shared" si="20"/>
        <v>1478594</v>
      </c>
      <c r="C85" s="147">
        <v>1478594</v>
      </c>
      <c r="D85" s="147"/>
      <c r="E85" s="147">
        <f>C85</f>
        <v>1478594</v>
      </c>
      <c r="F85" s="147"/>
      <c r="G85" s="147"/>
      <c r="H85" s="147"/>
      <c r="I85" s="147"/>
      <c r="J85" s="147"/>
      <c r="K85" s="147"/>
      <c r="L85" s="147"/>
      <c r="M85" s="147"/>
      <c r="N85" s="147"/>
      <c r="O85" s="147"/>
      <c r="P85" s="147"/>
      <c r="Q85" s="147"/>
      <c r="R85" s="516">
        <f t="shared" si="21"/>
        <v>1478594</v>
      </c>
      <c r="S85" s="147">
        <v>1478594</v>
      </c>
      <c r="T85" s="147"/>
      <c r="U85" s="143"/>
    </row>
    <row r="86" spans="1:21" s="144" customFormat="1">
      <c r="A86" s="145" t="s">
        <v>769</v>
      </c>
      <c r="B86" s="146">
        <f t="shared" si="20"/>
        <v>726406</v>
      </c>
      <c r="C86" s="147">
        <v>726406</v>
      </c>
      <c r="D86" s="147"/>
      <c r="E86" s="147">
        <f>C86</f>
        <v>726406</v>
      </c>
      <c r="F86" s="147"/>
      <c r="G86" s="147"/>
      <c r="H86" s="147"/>
      <c r="I86" s="147"/>
      <c r="J86" s="147"/>
      <c r="K86" s="147"/>
      <c r="L86" s="147"/>
      <c r="M86" s="147"/>
      <c r="N86" s="147"/>
      <c r="O86" s="147"/>
      <c r="P86" s="147"/>
      <c r="Q86" s="147"/>
      <c r="R86" s="516">
        <f t="shared" si="21"/>
        <v>726406</v>
      </c>
      <c r="S86" s="147">
        <v>726406</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100000</v>
      </c>
      <c r="C88" s="147">
        <v>100000</v>
      </c>
      <c r="D88" s="147"/>
      <c r="E88" s="147">
        <f t="shared" ref="E88:E95" si="22">C88</f>
        <v>100000</v>
      </c>
      <c r="F88" s="147"/>
      <c r="G88" s="147"/>
      <c r="H88" s="147"/>
      <c r="I88" s="147"/>
      <c r="J88" s="147"/>
      <c r="K88" s="147"/>
      <c r="L88" s="147"/>
      <c r="M88" s="147"/>
      <c r="N88" s="147"/>
      <c r="O88" s="147"/>
      <c r="P88" s="147"/>
      <c r="Q88" s="147"/>
      <c r="R88" s="516">
        <f t="shared" si="21"/>
        <v>100000</v>
      </c>
      <c r="S88" s="148"/>
      <c r="T88" s="148"/>
      <c r="U88" s="143"/>
    </row>
    <row r="89" spans="1:21" s="144" customFormat="1">
      <c r="A89" s="145" t="s">
        <v>772</v>
      </c>
      <c r="B89" s="146">
        <f t="shared" si="20"/>
        <v>100000</v>
      </c>
      <c r="C89" s="147">
        <v>100000</v>
      </c>
      <c r="D89" s="147"/>
      <c r="E89" s="147">
        <f t="shared" si="22"/>
        <v>100000</v>
      </c>
      <c r="F89" s="147"/>
      <c r="G89" s="147"/>
      <c r="H89" s="147"/>
      <c r="I89" s="147"/>
      <c r="J89" s="147"/>
      <c r="K89" s="147"/>
      <c r="L89" s="147"/>
      <c r="M89" s="147"/>
      <c r="N89" s="147"/>
      <c r="O89" s="147"/>
      <c r="P89" s="147"/>
      <c r="Q89" s="147"/>
      <c r="R89" s="516">
        <f t="shared" si="21"/>
        <v>100000</v>
      </c>
      <c r="S89" s="147" cm="1">
        <f t="array" ref="S89:S92">R89:R92</f>
        <v>100000</v>
      </c>
      <c r="T89" s="147"/>
      <c r="U89" s="143"/>
    </row>
    <row r="90" spans="1:21" s="144" customFormat="1">
      <c r="A90" s="145" t="s">
        <v>773</v>
      </c>
      <c r="B90" s="146">
        <f t="shared" si="20"/>
        <v>15000</v>
      </c>
      <c r="C90" s="147">
        <v>15000</v>
      </c>
      <c r="D90" s="147"/>
      <c r="E90" s="147">
        <f t="shared" si="22"/>
        <v>15000</v>
      </c>
      <c r="F90" s="147"/>
      <c r="G90" s="147"/>
      <c r="H90" s="147"/>
      <c r="I90" s="147"/>
      <c r="J90" s="147"/>
      <c r="K90" s="147"/>
      <c r="L90" s="147"/>
      <c r="M90" s="147"/>
      <c r="N90" s="147"/>
      <c r="O90" s="147"/>
      <c r="P90" s="147"/>
      <c r="Q90" s="147"/>
      <c r="R90" s="516">
        <f t="shared" si="21"/>
        <v>15000</v>
      </c>
      <c r="S90" s="147">
        <v>15000</v>
      </c>
      <c r="T90" s="147"/>
      <c r="U90" s="143"/>
    </row>
    <row r="91" spans="1:21" s="144" customFormat="1">
      <c r="A91" s="145" t="s">
        <v>372</v>
      </c>
      <c r="B91" s="146">
        <f t="shared" si="20"/>
        <v>50000</v>
      </c>
      <c r="C91" s="147">
        <v>50000</v>
      </c>
      <c r="D91" s="147"/>
      <c r="E91" s="147">
        <f t="shared" si="22"/>
        <v>50000</v>
      </c>
      <c r="F91" s="147"/>
      <c r="G91" s="147"/>
      <c r="H91" s="147"/>
      <c r="I91" s="147"/>
      <c r="J91" s="147"/>
      <c r="K91" s="147"/>
      <c r="L91" s="147"/>
      <c r="M91" s="147"/>
      <c r="N91" s="147"/>
      <c r="O91" s="147"/>
      <c r="P91" s="147"/>
      <c r="Q91" s="147"/>
      <c r="R91" s="516">
        <f t="shared" si="21"/>
        <v>50000</v>
      </c>
      <c r="S91" s="147">
        <v>50000</v>
      </c>
      <c r="T91" s="147"/>
      <c r="U91" s="143"/>
    </row>
    <row r="92" spans="1:21" s="144" customFormat="1">
      <c r="A92" s="283" t="s">
        <v>1211</v>
      </c>
      <c r="B92" s="146">
        <f t="shared" si="20"/>
        <v>20000</v>
      </c>
      <c r="C92" s="147">
        <v>20000</v>
      </c>
      <c r="D92" s="147"/>
      <c r="E92" s="147">
        <f t="shared" si="22"/>
        <v>20000</v>
      </c>
      <c r="F92" s="147"/>
      <c r="G92" s="147"/>
      <c r="H92" s="147"/>
      <c r="I92" s="147"/>
      <c r="J92" s="147"/>
      <c r="K92" s="147"/>
      <c r="L92" s="147"/>
      <c r="M92" s="147"/>
      <c r="N92" s="147"/>
      <c r="O92" s="147"/>
      <c r="P92" s="147"/>
      <c r="Q92" s="147"/>
      <c r="R92" s="516">
        <f t="shared" si="21"/>
        <v>20000</v>
      </c>
      <c r="S92" s="147">
        <v>20000</v>
      </c>
      <c r="T92" s="147"/>
      <c r="U92" s="143"/>
    </row>
    <row r="93" spans="1:21" s="144" customFormat="1">
      <c r="A93" s="1143" t="s">
        <v>2773</v>
      </c>
      <c r="B93" s="146">
        <f t="shared" si="20"/>
        <v>105000</v>
      </c>
      <c r="C93" s="147">
        <v>105000</v>
      </c>
      <c r="D93" s="147"/>
      <c r="E93" s="147">
        <f t="shared" si="22"/>
        <v>105000</v>
      </c>
      <c r="F93" s="147"/>
      <c r="G93" s="147"/>
      <c r="H93" s="147"/>
      <c r="I93" s="147"/>
      <c r="J93" s="147"/>
      <c r="K93" s="147"/>
      <c r="L93" s="147"/>
      <c r="M93" s="147"/>
      <c r="N93" s="147"/>
      <c r="O93" s="147"/>
      <c r="P93" s="147"/>
      <c r="Q93" s="147"/>
      <c r="R93" s="516">
        <f t="shared" si="21"/>
        <v>105000</v>
      </c>
      <c r="S93" s="147"/>
      <c r="T93" s="147"/>
      <c r="U93" s="143"/>
    </row>
    <row r="94" spans="1:21" s="144" customFormat="1">
      <c r="A94" s="1143" t="s">
        <v>2774</v>
      </c>
      <c r="B94" s="146">
        <f t="shared" si="20"/>
        <v>5530</v>
      </c>
      <c r="C94" s="147">
        <v>5530</v>
      </c>
      <c r="D94" s="147"/>
      <c r="E94" s="147">
        <f t="shared" si="22"/>
        <v>5530</v>
      </c>
      <c r="F94" s="147"/>
      <c r="G94" s="147"/>
      <c r="H94" s="147"/>
      <c r="I94" s="147"/>
      <c r="J94" s="147"/>
      <c r="K94" s="147"/>
      <c r="L94" s="147"/>
      <c r="M94" s="147"/>
      <c r="N94" s="147"/>
      <c r="O94" s="147"/>
      <c r="P94" s="147"/>
      <c r="Q94" s="147"/>
      <c r="R94" s="516">
        <f t="shared" si="21"/>
        <v>5530</v>
      </c>
      <c r="S94" s="147" cm="1">
        <f t="array" ref="S94:S95">R94:R95</f>
        <v>5530</v>
      </c>
      <c r="T94" s="147"/>
      <c r="U94" s="143"/>
    </row>
    <row r="95" spans="1:21" s="144" customFormat="1" ht="23">
      <c r="A95" s="1143" t="s">
        <v>2783</v>
      </c>
      <c r="B95" s="146">
        <f t="shared" si="20"/>
        <v>500000</v>
      </c>
      <c r="C95" s="147">
        <f>250000+250000</f>
        <v>500000</v>
      </c>
      <c r="D95" s="147"/>
      <c r="E95" s="147">
        <f t="shared" si="22"/>
        <v>500000</v>
      </c>
      <c r="F95" s="147"/>
      <c r="G95" s="147"/>
      <c r="H95" s="147"/>
      <c r="I95" s="147"/>
      <c r="J95" s="147"/>
      <c r="K95" s="147"/>
      <c r="L95" s="147"/>
      <c r="M95" s="147"/>
      <c r="N95" s="147"/>
      <c r="O95" s="147"/>
      <c r="P95" s="147"/>
      <c r="Q95" s="147"/>
      <c r="R95" s="516">
        <f t="shared" si="21"/>
        <v>500000</v>
      </c>
      <c r="S95" s="147">
        <v>500000</v>
      </c>
      <c r="T95" s="147"/>
      <c r="U95" s="143"/>
    </row>
    <row r="96" spans="1:21" s="144" customFormat="1">
      <c r="A96" s="149" t="s">
        <v>774</v>
      </c>
      <c r="B96" s="146">
        <f>SUM(C96:D96)</f>
        <v>3220701</v>
      </c>
      <c r="C96" s="146">
        <f t="shared" ref="C96:R96" si="23">SUM(C83:C95)</f>
        <v>3220701</v>
      </c>
      <c r="D96" s="146">
        <f t="shared" si="23"/>
        <v>0</v>
      </c>
      <c r="E96" s="146">
        <f t="shared" si="23"/>
        <v>3220701</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3220701</v>
      </c>
      <c r="S96" s="150">
        <f>SUM(S84:S87,S89:S95)</f>
        <v>2945530</v>
      </c>
      <c r="T96" s="146">
        <f>SUM(T84:T87,T89:T95)</f>
        <v>0</v>
      </c>
      <c r="U96" s="143"/>
    </row>
    <row r="97" spans="1:21" s="144" customFormat="1">
      <c r="A97" s="149" t="s">
        <v>775</v>
      </c>
      <c r="B97" s="146">
        <f>SUM(C97:D97)</f>
        <v>48832823</v>
      </c>
      <c r="C97" s="146">
        <f t="shared" ref="C97:R97" si="24">SUM(C63+C70+C77+C81+C96)</f>
        <v>48832823</v>
      </c>
      <c r="D97" s="146">
        <f t="shared" si="24"/>
        <v>0</v>
      </c>
      <c r="E97" s="146">
        <f t="shared" si="24"/>
        <v>31418291</v>
      </c>
      <c r="F97" s="146">
        <f t="shared" si="24"/>
        <v>15800000</v>
      </c>
      <c r="G97" s="146">
        <f t="shared" si="24"/>
        <v>614532</v>
      </c>
      <c r="H97" s="146">
        <f t="shared" si="24"/>
        <v>1000000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48832823</v>
      </c>
      <c r="S97" s="146">
        <f>SUM(S63+S70+S81+S96)</f>
        <v>41422717</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6213407</v>
      </c>
      <c r="C99" s="974">
        <v>6213407</v>
      </c>
      <c r="D99" s="974"/>
      <c r="E99" s="974">
        <f>C99-I99</f>
        <v>974770</v>
      </c>
      <c r="F99" s="147"/>
      <c r="G99" s="147"/>
      <c r="H99" s="147"/>
      <c r="I99" s="147">
        <v>5238637</v>
      </c>
      <c r="J99" s="147"/>
      <c r="K99" s="147"/>
      <c r="L99" s="147"/>
      <c r="M99" s="147"/>
      <c r="N99" s="147"/>
      <c r="O99" s="147"/>
      <c r="P99" s="147"/>
      <c r="Q99" s="147"/>
      <c r="R99" s="516">
        <f>SUM(E99:Q99)</f>
        <v>6213407</v>
      </c>
      <c r="S99" s="147">
        <f>R99</f>
        <v>6213407</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6213407</v>
      </c>
      <c r="C104" s="146">
        <f>SUM(C99:C103)</f>
        <v>6213407</v>
      </c>
      <c r="D104" s="146">
        <f t="shared" ref="D104:T104" si="25">SUM(D99:D103)</f>
        <v>0</v>
      </c>
      <c r="E104" s="146">
        <f t="shared" si="25"/>
        <v>974770</v>
      </c>
      <c r="F104" s="146">
        <f t="shared" si="25"/>
        <v>0</v>
      </c>
      <c r="G104" s="146">
        <f t="shared" si="25"/>
        <v>0</v>
      </c>
      <c r="H104" s="146">
        <f t="shared" si="25"/>
        <v>0</v>
      </c>
      <c r="I104" s="146">
        <f t="shared" si="25"/>
        <v>5238637</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6213407</v>
      </c>
      <c r="S104" s="150">
        <f t="shared" si="25"/>
        <v>6213407</v>
      </c>
      <c r="T104" s="150">
        <f t="shared" si="25"/>
        <v>0</v>
      </c>
      <c r="U104" s="143"/>
    </row>
    <row r="105" spans="1:21" s="144" customFormat="1">
      <c r="A105" s="149" t="s">
        <v>780</v>
      </c>
      <c r="B105" s="150">
        <f>SUM(C105:D105)</f>
        <v>55046230</v>
      </c>
      <c r="C105" s="150">
        <f t="shared" ref="C105:R105" si="26">SUM(C97+C104)</f>
        <v>55046230</v>
      </c>
      <c r="D105" s="150">
        <f t="shared" si="26"/>
        <v>0</v>
      </c>
      <c r="E105" s="150">
        <f t="shared" si="26"/>
        <v>32393061</v>
      </c>
      <c r="F105" s="150">
        <f t="shared" si="26"/>
        <v>15800000</v>
      </c>
      <c r="G105" s="150">
        <f t="shared" si="26"/>
        <v>614532</v>
      </c>
      <c r="H105" s="150">
        <f t="shared" si="26"/>
        <v>1000000</v>
      </c>
      <c r="I105" s="150">
        <f t="shared" si="26"/>
        <v>5238637</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55046230</v>
      </c>
      <c r="S105" s="150">
        <f>S97+S104</f>
        <v>47636124</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47636124</v>
      </c>
      <c r="T107" s="150">
        <f>T105+T106</f>
        <v>0</v>
      </c>
    </row>
    <row r="108" spans="1:21" s="189" customFormat="1">
      <c r="A108" s="162" t="s">
        <v>879</v>
      </c>
      <c r="B108" s="157"/>
      <c r="C108" s="157"/>
      <c r="D108" s="157"/>
      <c r="E108" s="301">
        <f>Application!AO648</f>
        <v>32393061</v>
      </c>
      <c r="F108" s="301">
        <f>Application!AO635</f>
        <v>15800000</v>
      </c>
      <c r="G108" s="301">
        <f>Application!AO636</f>
        <v>614532</v>
      </c>
      <c r="H108" s="301">
        <f>Application!AO637</f>
        <v>1000000</v>
      </c>
      <c r="I108" s="301">
        <f>Application!AO638</f>
        <v>5238637</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4" t="s">
        <v>990</v>
      </c>
      <c r="E122" s="1874"/>
      <c r="F122" s="187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6" t="s">
        <v>1224</v>
      </c>
      <c r="E123" s="1785"/>
      <c r="F123" s="1785"/>
      <c r="G123" s="1785"/>
      <c r="H123" s="1785"/>
      <c r="I123" s="1785"/>
      <c r="J123" s="1785"/>
      <c r="K123" s="1785"/>
      <c r="L123" s="1785"/>
      <c r="M123" s="1785"/>
      <c r="N123" s="1785"/>
      <c r="O123" s="1785"/>
      <c r="P123" s="1785"/>
      <c r="Q123" s="1785"/>
      <c r="R123" s="1785"/>
      <c r="S123" s="1785"/>
      <c r="T123" s="324"/>
      <c r="U123" s="326"/>
    </row>
    <row r="124" spans="1:21" ht="12.5">
      <c r="A124" s="117" t="s">
        <v>992</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5">
      <c r="A125" s="117" t="s">
        <v>993</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5">
      <c r="A129" s="117" t="s">
        <v>300</v>
      </c>
      <c r="B129" s="333"/>
      <c r="C129" s="117"/>
      <c r="D129" s="1873" t="s">
        <v>997</v>
      </c>
      <c r="E129" s="1873"/>
      <c r="F129" s="1873"/>
      <c r="G129" s="1873"/>
      <c r="H129" s="187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810"/>
      <c r="E131" s="1810"/>
      <c r="F131" s="1810"/>
      <c r="G131" s="1810"/>
      <c r="H131" s="1810"/>
      <c r="I131" s="117"/>
      <c r="J131" s="1810"/>
      <c r="K131" s="1810"/>
      <c r="L131" s="1810"/>
      <c r="M131" s="1810"/>
      <c r="N131" s="117"/>
      <c r="O131" s="117"/>
      <c r="P131" s="117"/>
      <c r="Q131" s="117"/>
      <c r="R131" s="117"/>
      <c r="S131" s="117"/>
      <c r="T131" s="324"/>
      <c r="U131" s="326"/>
    </row>
    <row r="132" spans="1:21" ht="12" customHeight="1">
      <c r="A132" s="336"/>
      <c r="B132" s="117"/>
      <c r="C132" s="117"/>
      <c r="D132" s="1877" t="s">
        <v>1000</v>
      </c>
      <c r="E132" s="1877"/>
      <c r="F132" s="1877"/>
      <c r="G132" s="1877"/>
      <c r="H132" s="1877"/>
      <c r="I132" s="117"/>
      <c r="J132" s="1877" t="s">
        <v>1001</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3">
      <c r="A139" s="1875" t="s">
        <v>1004</v>
      </c>
      <c r="B139" s="1875"/>
      <c r="C139" s="1875"/>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114" sqref="C114"/>
    </sheetView>
  </sheetViews>
  <sheetFormatPr defaultColWidth="0" defaultRowHeight="11.5" zeroHeight="1"/>
  <cols>
    <col min="1" max="1" width="32.6328125" style="397" customWidth="1"/>
    <col min="2" max="3" width="12.08984375" style="393" customWidth="1"/>
    <col min="4" max="6" width="12.90625" style="393" customWidth="1"/>
    <col min="7" max="9" width="12.08984375" style="393" customWidth="1"/>
    <col min="10" max="10" width="12.08984375" style="394" customWidth="1"/>
    <col min="11" max="11" width="8.90625" style="395" hidden="1" customWidth="1"/>
    <col min="12" max="21" width="8.90625" style="393" hidden="1" customWidth="1"/>
    <col min="22" max="23" width="0" style="393" hidden="1"/>
    <col min="24" max="256" width="8.90625" style="393" hidden="1"/>
    <col min="257" max="257" width="32.6328125" style="393" hidden="1" customWidth="1"/>
    <col min="258" max="259" width="12.08984375" style="393" hidden="1" customWidth="1"/>
    <col min="260" max="260" width="12.90625" style="393" hidden="1" customWidth="1"/>
    <col min="261" max="266" width="12.08984375" style="393" hidden="1" customWidth="1"/>
    <col min="267" max="277" width="8.90625" style="393" hidden="1" customWidth="1"/>
    <col min="278" max="512" width="8.90625" style="393" hidden="1"/>
    <col min="513" max="513" width="32.6328125" style="393" hidden="1" customWidth="1"/>
    <col min="514" max="515" width="12.08984375" style="393" hidden="1" customWidth="1"/>
    <col min="516" max="516" width="12.90625" style="393" hidden="1" customWidth="1"/>
    <col min="517" max="522" width="12.08984375" style="393" hidden="1" customWidth="1"/>
    <col min="523" max="533" width="8.90625" style="393" hidden="1" customWidth="1"/>
    <col min="534" max="768" width="8.90625" style="393" hidden="1"/>
    <col min="769" max="769" width="32.6328125" style="393" hidden="1" customWidth="1"/>
    <col min="770" max="771" width="12.08984375" style="393" hidden="1" customWidth="1"/>
    <col min="772" max="772" width="12.90625" style="393" hidden="1" customWidth="1"/>
    <col min="773" max="778" width="12.08984375" style="393" hidden="1" customWidth="1"/>
    <col min="779" max="789" width="8.90625" style="393" hidden="1" customWidth="1"/>
    <col min="790" max="1024" width="8.90625" style="393" hidden="1"/>
    <col min="1025" max="1025" width="32.6328125" style="393" hidden="1" customWidth="1"/>
    <col min="1026" max="1027" width="12.08984375" style="393" hidden="1" customWidth="1"/>
    <col min="1028" max="1028" width="12.90625" style="393" hidden="1" customWidth="1"/>
    <col min="1029" max="1034" width="12.08984375" style="393" hidden="1" customWidth="1"/>
    <col min="1035" max="1045" width="8.90625" style="393" hidden="1" customWidth="1"/>
    <col min="1046" max="1280" width="8.90625" style="393" hidden="1"/>
    <col min="1281" max="1281" width="32.6328125" style="393" hidden="1" customWidth="1"/>
    <col min="1282" max="1283" width="12.08984375" style="393" hidden="1" customWidth="1"/>
    <col min="1284" max="1284" width="12.90625" style="393" hidden="1" customWidth="1"/>
    <col min="1285" max="1290" width="12.08984375" style="393" hidden="1" customWidth="1"/>
    <col min="1291" max="1301" width="8.90625" style="393" hidden="1" customWidth="1"/>
    <col min="1302" max="1536" width="8.90625" style="393" hidden="1"/>
    <col min="1537" max="1537" width="32.6328125" style="393" hidden="1" customWidth="1"/>
    <col min="1538" max="1539" width="12.08984375" style="393" hidden="1" customWidth="1"/>
    <col min="1540" max="1540" width="12.90625" style="393" hidden="1" customWidth="1"/>
    <col min="1541" max="1546" width="12.08984375" style="393" hidden="1" customWidth="1"/>
    <col min="1547" max="1557" width="8.90625" style="393" hidden="1" customWidth="1"/>
    <col min="1558" max="1792" width="8.90625" style="393" hidden="1"/>
    <col min="1793" max="1793" width="32.6328125" style="393" hidden="1" customWidth="1"/>
    <col min="1794" max="1795" width="12.08984375" style="393" hidden="1" customWidth="1"/>
    <col min="1796" max="1796" width="12.90625" style="393" hidden="1" customWidth="1"/>
    <col min="1797" max="1802" width="12.08984375" style="393" hidden="1" customWidth="1"/>
    <col min="1803" max="1813" width="8.90625" style="393" hidden="1" customWidth="1"/>
    <col min="1814" max="2048" width="8.90625" style="393" hidden="1"/>
    <col min="2049" max="2049" width="32.6328125" style="393" hidden="1" customWidth="1"/>
    <col min="2050" max="2051" width="12.08984375" style="393" hidden="1" customWidth="1"/>
    <col min="2052" max="2052" width="12.90625" style="393" hidden="1" customWidth="1"/>
    <col min="2053" max="2058" width="12.08984375" style="393" hidden="1" customWidth="1"/>
    <col min="2059" max="2069" width="8.90625" style="393" hidden="1" customWidth="1"/>
    <col min="2070" max="2304" width="8.90625" style="393" hidden="1"/>
    <col min="2305" max="2305" width="32.6328125" style="393" hidden="1" customWidth="1"/>
    <col min="2306" max="2307" width="12.08984375" style="393" hidden="1" customWidth="1"/>
    <col min="2308" max="2308" width="12.90625" style="393" hidden="1" customWidth="1"/>
    <col min="2309" max="2314" width="12.08984375" style="393" hidden="1" customWidth="1"/>
    <col min="2315" max="2325" width="8.90625" style="393" hidden="1" customWidth="1"/>
    <col min="2326" max="2560" width="8.90625" style="393" hidden="1"/>
    <col min="2561" max="2561" width="32.6328125" style="393" hidden="1" customWidth="1"/>
    <col min="2562" max="2563" width="12.08984375" style="393" hidden="1" customWidth="1"/>
    <col min="2564" max="2564" width="12.90625" style="393" hidden="1" customWidth="1"/>
    <col min="2565" max="2570" width="12.08984375" style="393" hidden="1" customWidth="1"/>
    <col min="2571" max="2581" width="8.90625" style="393" hidden="1" customWidth="1"/>
    <col min="2582" max="2816" width="8.90625" style="393" hidden="1"/>
    <col min="2817" max="2817" width="32.6328125" style="393" hidden="1" customWidth="1"/>
    <col min="2818" max="2819" width="12.08984375" style="393" hidden="1" customWidth="1"/>
    <col min="2820" max="2820" width="12.90625" style="393" hidden="1" customWidth="1"/>
    <col min="2821" max="2826" width="12.08984375" style="393" hidden="1" customWidth="1"/>
    <col min="2827" max="2837" width="8.90625" style="393" hidden="1" customWidth="1"/>
    <col min="2838" max="3072" width="8.90625" style="393" hidden="1"/>
    <col min="3073" max="3073" width="32.6328125" style="393" hidden="1" customWidth="1"/>
    <col min="3074" max="3075" width="12.08984375" style="393" hidden="1" customWidth="1"/>
    <col min="3076" max="3076" width="12.90625" style="393" hidden="1" customWidth="1"/>
    <col min="3077" max="3082" width="12.08984375" style="393" hidden="1" customWidth="1"/>
    <col min="3083" max="3093" width="8.90625" style="393" hidden="1" customWidth="1"/>
    <col min="3094" max="3328" width="8.90625" style="393" hidden="1"/>
    <col min="3329" max="3329" width="32.6328125" style="393" hidden="1" customWidth="1"/>
    <col min="3330" max="3331" width="12.08984375" style="393" hidden="1" customWidth="1"/>
    <col min="3332" max="3332" width="12.90625" style="393" hidden="1" customWidth="1"/>
    <col min="3333" max="3338" width="12.08984375" style="393" hidden="1" customWidth="1"/>
    <col min="3339" max="3349" width="8.90625" style="393" hidden="1" customWidth="1"/>
    <col min="3350" max="3584" width="8.90625" style="393" hidden="1"/>
    <col min="3585" max="3585" width="32.6328125" style="393" hidden="1" customWidth="1"/>
    <col min="3586" max="3587" width="12.08984375" style="393" hidden="1" customWidth="1"/>
    <col min="3588" max="3588" width="12.90625" style="393" hidden="1" customWidth="1"/>
    <col min="3589" max="3594" width="12.08984375" style="393" hidden="1" customWidth="1"/>
    <col min="3595" max="3605" width="8.90625" style="393" hidden="1" customWidth="1"/>
    <col min="3606" max="3840" width="8.90625" style="393" hidden="1"/>
    <col min="3841" max="3841" width="32.6328125" style="393" hidden="1" customWidth="1"/>
    <col min="3842" max="3843" width="12.08984375" style="393" hidden="1" customWidth="1"/>
    <col min="3844" max="3844" width="12.90625" style="393" hidden="1" customWidth="1"/>
    <col min="3845" max="3850" width="12.08984375" style="393" hidden="1" customWidth="1"/>
    <col min="3851" max="3861" width="8.90625" style="393" hidden="1" customWidth="1"/>
    <col min="3862" max="4096" width="8.90625" style="393" hidden="1"/>
    <col min="4097" max="4097" width="32.6328125" style="393" hidden="1" customWidth="1"/>
    <col min="4098" max="4099" width="12.08984375" style="393" hidden="1" customWidth="1"/>
    <col min="4100" max="4100" width="12.90625" style="393" hidden="1" customWidth="1"/>
    <col min="4101" max="4106" width="12.08984375" style="393" hidden="1" customWidth="1"/>
    <col min="4107" max="4117" width="8.90625" style="393" hidden="1" customWidth="1"/>
    <col min="4118" max="4352" width="8.90625" style="393" hidden="1"/>
    <col min="4353" max="4353" width="32.6328125" style="393" hidden="1" customWidth="1"/>
    <col min="4354" max="4355" width="12.08984375" style="393" hidden="1" customWidth="1"/>
    <col min="4356" max="4356" width="12.90625" style="393" hidden="1" customWidth="1"/>
    <col min="4357" max="4362" width="12.08984375" style="393" hidden="1" customWidth="1"/>
    <col min="4363" max="4373" width="8.90625" style="393" hidden="1" customWidth="1"/>
    <col min="4374" max="4608" width="8.90625" style="393" hidden="1"/>
    <col min="4609" max="4609" width="32.6328125" style="393" hidden="1" customWidth="1"/>
    <col min="4610" max="4611" width="12.08984375" style="393" hidden="1" customWidth="1"/>
    <col min="4612" max="4612" width="12.90625" style="393" hidden="1" customWidth="1"/>
    <col min="4613" max="4618" width="12.08984375" style="393" hidden="1" customWidth="1"/>
    <col min="4619" max="4629" width="8.90625" style="393" hidden="1" customWidth="1"/>
    <col min="4630" max="4864" width="8.90625" style="393" hidden="1"/>
    <col min="4865" max="4865" width="32.6328125" style="393" hidden="1" customWidth="1"/>
    <col min="4866" max="4867" width="12.08984375" style="393" hidden="1" customWidth="1"/>
    <col min="4868" max="4868" width="12.90625" style="393" hidden="1" customWidth="1"/>
    <col min="4869" max="4874" width="12.08984375" style="393" hidden="1" customWidth="1"/>
    <col min="4875" max="4885" width="8.90625" style="393" hidden="1" customWidth="1"/>
    <col min="4886" max="5120" width="8.90625" style="393" hidden="1"/>
    <col min="5121" max="5121" width="32.6328125" style="393" hidden="1" customWidth="1"/>
    <col min="5122" max="5123" width="12.08984375" style="393" hidden="1" customWidth="1"/>
    <col min="5124" max="5124" width="12.90625" style="393" hidden="1" customWidth="1"/>
    <col min="5125" max="5130" width="12.08984375" style="393" hidden="1" customWidth="1"/>
    <col min="5131" max="5141" width="8.90625" style="393" hidden="1" customWidth="1"/>
    <col min="5142" max="5376" width="8.90625" style="393" hidden="1"/>
    <col min="5377" max="5377" width="32.6328125" style="393" hidden="1" customWidth="1"/>
    <col min="5378" max="5379" width="12.08984375" style="393" hidden="1" customWidth="1"/>
    <col min="5380" max="5380" width="12.90625" style="393" hidden="1" customWidth="1"/>
    <col min="5381" max="5386" width="12.08984375" style="393" hidden="1" customWidth="1"/>
    <col min="5387" max="5397" width="8.90625" style="393" hidden="1" customWidth="1"/>
    <col min="5398" max="5632" width="8.90625" style="393" hidden="1"/>
    <col min="5633" max="5633" width="32.6328125" style="393" hidden="1" customWidth="1"/>
    <col min="5634" max="5635" width="12.08984375" style="393" hidden="1" customWidth="1"/>
    <col min="5636" max="5636" width="12.90625" style="393" hidden="1" customWidth="1"/>
    <col min="5637" max="5642" width="12.08984375" style="393" hidden="1" customWidth="1"/>
    <col min="5643" max="5653" width="8.90625" style="393" hidden="1" customWidth="1"/>
    <col min="5654" max="5888" width="8.90625" style="393" hidden="1"/>
    <col min="5889" max="5889" width="32.6328125" style="393" hidden="1" customWidth="1"/>
    <col min="5890" max="5891" width="12.08984375" style="393" hidden="1" customWidth="1"/>
    <col min="5892" max="5892" width="12.90625" style="393" hidden="1" customWidth="1"/>
    <col min="5893" max="5898" width="12.08984375" style="393" hidden="1" customWidth="1"/>
    <col min="5899" max="5909" width="8.90625" style="393" hidden="1" customWidth="1"/>
    <col min="5910" max="6144" width="8.90625" style="393" hidden="1"/>
    <col min="6145" max="6145" width="32.6328125" style="393" hidden="1" customWidth="1"/>
    <col min="6146" max="6147" width="12.08984375" style="393" hidden="1" customWidth="1"/>
    <col min="6148" max="6148" width="12.90625" style="393" hidden="1" customWidth="1"/>
    <col min="6149" max="6154" width="12.08984375" style="393" hidden="1" customWidth="1"/>
    <col min="6155" max="6165" width="8.90625" style="393" hidden="1" customWidth="1"/>
    <col min="6166" max="6400" width="8.90625" style="393" hidden="1"/>
    <col min="6401" max="6401" width="32.6328125" style="393" hidden="1" customWidth="1"/>
    <col min="6402" max="6403" width="12.08984375" style="393" hidden="1" customWidth="1"/>
    <col min="6404" max="6404" width="12.90625" style="393" hidden="1" customWidth="1"/>
    <col min="6405" max="6410" width="12.08984375" style="393" hidden="1" customWidth="1"/>
    <col min="6411" max="6421" width="8.90625" style="393" hidden="1" customWidth="1"/>
    <col min="6422" max="6656" width="8.90625" style="393" hidden="1"/>
    <col min="6657" max="6657" width="32.6328125" style="393" hidden="1" customWidth="1"/>
    <col min="6658" max="6659" width="12.08984375" style="393" hidden="1" customWidth="1"/>
    <col min="6660" max="6660" width="12.90625" style="393" hidden="1" customWidth="1"/>
    <col min="6661" max="6666" width="12.08984375" style="393" hidden="1" customWidth="1"/>
    <col min="6667" max="6677" width="8.90625" style="393" hidden="1" customWidth="1"/>
    <col min="6678" max="6912" width="8.90625" style="393" hidden="1"/>
    <col min="6913" max="6913" width="32.6328125" style="393" hidden="1" customWidth="1"/>
    <col min="6914" max="6915" width="12.08984375" style="393" hidden="1" customWidth="1"/>
    <col min="6916" max="6916" width="12.90625" style="393" hidden="1" customWidth="1"/>
    <col min="6917" max="6922" width="12.08984375" style="393" hidden="1" customWidth="1"/>
    <col min="6923" max="6933" width="8.90625" style="393" hidden="1" customWidth="1"/>
    <col min="6934" max="7168" width="8.90625" style="393" hidden="1"/>
    <col min="7169" max="7169" width="32.6328125" style="393" hidden="1" customWidth="1"/>
    <col min="7170" max="7171" width="12.08984375" style="393" hidden="1" customWidth="1"/>
    <col min="7172" max="7172" width="12.90625" style="393" hidden="1" customWidth="1"/>
    <col min="7173" max="7178" width="12.08984375" style="393" hidden="1" customWidth="1"/>
    <col min="7179" max="7189" width="8.90625" style="393" hidden="1" customWidth="1"/>
    <col min="7190" max="7424" width="8.90625" style="393" hidden="1"/>
    <col min="7425" max="7425" width="32.6328125" style="393" hidden="1" customWidth="1"/>
    <col min="7426" max="7427" width="12.08984375" style="393" hidden="1" customWidth="1"/>
    <col min="7428" max="7428" width="12.90625" style="393" hidden="1" customWidth="1"/>
    <col min="7429" max="7434" width="12.08984375" style="393" hidden="1" customWidth="1"/>
    <col min="7435" max="7445" width="8.90625" style="393" hidden="1" customWidth="1"/>
    <col min="7446" max="7680" width="8.90625" style="393" hidden="1"/>
    <col min="7681" max="7681" width="32.6328125" style="393" hidden="1" customWidth="1"/>
    <col min="7682" max="7683" width="12.08984375" style="393" hidden="1" customWidth="1"/>
    <col min="7684" max="7684" width="12.90625" style="393" hidden="1" customWidth="1"/>
    <col min="7685" max="7690" width="12.08984375" style="393" hidden="1" customWidth="1"/>
    <col min="7691" max="7701" width="8.90625" style="393" hidden="1" customWidth="1"/>
    <col min="7702" max="7936" width="8.90625" style="393" hidden="1"/>
    <col min="7937" max="7937" width="32.6328125" style="393" hidden="1" customWidth="1"/>
    <col min="7938" max="7939" width="12.08984375" style="393" hidden="1" customWidth="1"/>
    <col min="7940" max="7940" width="12.90625" style="393" hidden="1" customWidth="1"/>
    <col min="7941" max="7946" width="12.08984375" style="393" hidden="1" customWidth="1"/>
    <col min="7947" max="7957" width="8.90625" style="393" hidden="1" customWidth="1"/>
    <col min="7958" max="8192" width="8.90625" style="393" hidden="1"/>
    <col min="8193" max="8193" width="32.6328125" style="393" hidden="1" customWidth="1"/>
    <col min="8194" max="8195" width="12.08984375" style="393" hidden="1" customWidth="1"/>
    <col min="8196" max="8196" width="12.90625" style="393" hidden="1" customWidth="1"/>
    <col min="8197" max="8202" width="12.08984375" style="393" hidden="1" customWidth="1"/>
    <col min="8203" max="8213" width="8.90625" style="393" hidden="1" customWidth="1"/>
    <col min="8214" max="8448" width="8.90625" style="393" hidden="1"/>
    <col min="8449" max="8449" width="32.6328125" style="393" hidden="1" customWidth="1"/>
    <col min="8450" max="8451" width="12.08984375" style="393" hidden="1" customWidth="1"/>
    <col min="8452" max="8452" width="12.90625" style="393" hidden="1" customWidth="1"/>
    <col min="8453" max="8458" width="12.08984375" style="393" hidden="1" customWidth="1"/>
    <col min="8459" max="8469" width="8.90625" style="393" hidden="1" customWidth="1"/>
    <col min="8470" max="8704" width="8.90625" style="393" hidden="1"/>
    <col min="8705" max="8705" width="32.6328125" style="393" hidden="1" customWidth="1"/>
    <col min="8706" max="8707" width="12.08984375" style="393" hidden="1" customWidth="1"/>
    <col min="8708" max="8708" width="12.90625" style="393" hidden="1" customWidth="1"/>
    <col min="8709" max="8714" width="12.08984375" style="393" hidden="1" customWidth="1"/>
    <col min="8715" max="8725" width="8.90625" style="393" hidden="1" customWidth="1"/>
    <col min="8726" max="8960" width="8.90625" style="393" hidden="1"/>
    <col min="8961" max="8961" width="32.6328125" style="393" hidden="1" customWidth="1"/>
    <col min="8962" max="8963" width="12.08984375" style="393" hidden="1" customWidth="1"/>
    <col min="8964" max="8964" width="12.90625" style="393" hidden="1" customWidth="1"/>
    <col min="8965" max="8970" width="12.08984375" style="393" hidden="1" customWidth="1"/>
    <col min="8971" max="8981" width="8.90625" style="393" hidden="1" customWidth="1"/>
    <col min="8982" max="9216" width="8.90625" style="393" hidden="1"/>
    <col min="9217" max="9217" width="32.6328125" style="393" hidden="1" customWidth="1"/>
    <col min="9218" max="9219" width="12.08984375" style="393" hidden="1" customWidth="1"/>
    <col min="9220" max="9220" width="12.90625" style="393" hidden="1" customWidth="1"/>
    <col min="9221" max="9226" width="12.08984375" style="393" hidden="1" customWidth="1"/>
    <col min="9227" max="9237" width="8.90625" style="393" hidden="1" customWidth="1"/>
    <col min="9238" max="9472" width="8.90625" style="393" hidden="1"/>
    <col min="9473" max="9473" width="32.6328125" style="393" hidden="1" customWidth="1"/>
    <col min="9474" max="9475" width="12.08984375" style="393" hidden="1" customWidth="1"/>
    <col min="9476" max="9476" width="12.90625" style="393" hidden="1" customWidth="1"/>
    <col min="9477" max="9482" width="12.08984375" style="393" hidden="1" customWidth="1"/>
    <col min="9483" max="9493" width="8.90625" style="393" hidden="1" customWidth="1"/>
    <col min="9494" max="9728" width="8.90625" style="393" hidden="1"/>
    <col min="9729" max="9729" width="32.6328125" style="393" hidden="1" customWidth="1"/>
    <col min="9730" max="9731" width="12.08984375" style="393" hidden="1" customWidth="1"/>
    <col min="9732" max="9732" width="12.90625" style="393" hidden="1" customWidth="1"/>
    <col min="9733" max="9738" width="12.08984375" style="393" hidden="1" customWidth="1"/>
    <col min="9739" max="9749" width="8.90625" style="393" hidden="1" customWidth="1"/>
    <col min="9750" max="9984" width="8.90625" style="393" hidden="1"/>
    <col min="9985" max="9985" width="32.6328125" style="393" hidden="1" customWidth="1"/>
    <col min="9986" max="9987" width="12.08984375" style="393" hidden="1" customWidth="1"/>
    <col min="9988" max="9988" width="12.90625" style="393" hidden="1" customWidth="1"/>
    <col min="9989" max="9994" width="12.08984375" style="393" hidden="1" customWidth="1"/>
    <col min="9995" max="10005" width="8.90625" style="393" hidden="1" customWidth="1"/>
    <col min="10006" max="10240" width="8.90625" style="393" hidden="1"/>
    <col min="10241" max="10241" width="32.6328125" style="393" hidden="1" customWidth="1"/>
    <col min="10242" max="10243" width="12.08984375" style="393" hidden="1" customWidth="1"/>
    <col min="10244" max="10244" width="12.90625" style="393" hidden="1" customWidth="1"/>
    <col min="10245" max="10250" width="12.08984375" style="393" hidden="1" customWidth="1"/>
    <col min="10251" max="10261" width="8.90625" style="393" hidden="1" customWidth="1"/>
    <col min="10262" max="10496" width="8.90625" style="393" hidden="1"/>
    <col min="10497" max="10497" width="32.6328125" style="393" hidden="1" customWidth="1"/>
    <col min="10498" max="10499" width="12.08984375" style="393" hidden="1" customWidth="1"/>
    <col min="10500" max="10500" width="12.90625" style="393" hidden="1" customWidth="1"/>
    <col min="10501" max="10506" width="12.08984375" style="393" hidden="1" customWidth="1"/>
    <col min="10507" max="10517" width="8.90625" style="393" hidden="1" customWidth="1"/>
    <col min="10518" max="10752" width="8.90625" style="393" hidden="1"/>
    <col min="10753" max="10753" width="32.6328125" style="393" hidden="1" customWidth="1"/>
    <col min="10754" max="10755" width="12.08984375" style="393" hidden="1" customWidth="1"/>
    <col min="10756" max="10756" width="12.90625" style="393" hidden="1" customWidth="1"/>
    <col min="10757" max="10762" width="12.08984375" style="393" hidden="1" customWidth="1"/>
    <col min="10763" max="10773" width="8.90625" style="393" hidden="1" customWidth="1"/>
    <col min="10774" max="11008" width="8.90625" style="393" hidden="1"/>
    <col min="11009" max="11009" width="32.6328125" style="393" hidden="1" customWidth="1"/>
    <col min="11010" max="11011" width="12.08984375" style="393" hidden="1" customWidth="1"/>
    <col min="11012" max="11012" width="12.90625" style="393" hidden="1" customWidth="1"/>
    <col min="11013" max="11018" width="12.08984375" style="393" hidden="1" customWidth="1"/>
    <col min="11019" max="11029" width="8.90625" style="393" hidden="1" customWidth="1"/>
    <col min="11030" max="11264" width="8.90625" style="393" hidden="1"/>
    <col min="11265" max="11265" width="32.6328125" style="393" hidden="1" customWidth="1"/>
    <col min="11266" max="11267" width="12.08984375" style="393" hidden="1" customWidth="1"/>
    <col min="11268" max="11268" width="12.90625" style="393" hidden="1" customWidth="1"/>
    <col min="11269" max="11274" width="12.08984375" style="393" hidden="1" customWidth="1"/>
    <col min="11275" max="11285" width="8.90625" style="393" hidden="1" customWidth="1"/>
    <col min="11286" max="11520" width="8.90625" style="393" hidden="1"/>
    <col min="11521" max="11521" width="32.6328125" style="393" hidden="1" customWidth="1"/>
    <col min="11522" max="11523" width="12.08984375" style="393" hidden="1" customWidth="1"/>
    <col min="11524" max="11524" width="12.90625" style="393" hidden="1" customWidth="1"/>
    <col min="11525" max="11530" width="12.08984375" style="393" hidden="1" customWidth="1"/>
    <col min="11531" max="11541" width="8.90625" style="393" hidden="1" customWidth="1"/>
    <col min="11542" max="11776" width="8.90625" style="393" hidden="1"/>
    <col min="11777" max="11777" width="32.6328125" style="393" hidden="1" customWidth="1"/>
    <col min="11778" max="11779" width="12.08984375" style="393" hidden="1" customWidth="1"/>
    <col min="11780" max="11780" width="12.90625" style="393" hidden="1" customWidth="1"/>
    <col min="11781" max="11786" width="12.08984375" style="393" hidden="1" customWidth="1"/>
    <col min="11787" max="11797" width="8.90625" style="393" hidden="1" customWidth="1"/>
    <col min="11798" max="12032" width="8.90625" style="393" hidden="1"/>
    <col min="12033" max="12033" width="32.6328125" style="393" hidden="1" customWidth="1"/>
    <col min="12034" max="12035" width="12.08984375" style="393" hidden="1" customWidth="1"/>
    <col min="12036" max="12036" width="12.90625" style="393" hidden="1" customWidth="1"/>
    <col min="12037" max="12042" width="12.08984375" style="393" hidden="1" customWidth="1"/>
    <col min="12043" max="12053" width="8.90625" style="393" hidden="1" customWidth="1"/>
    <col min="12054" max="12288" width="8.90625" style="393" hidden="1"/>
    <col min="12289" max="12289" width="32.6328125" style="393" hidden="1" customWidth="1"/>
    <col min="12290" max="12291" width="12.08984375" style="393" hidden="1" customWidth="1"/>
    <col min="12292" max="12292" width="12.90625" style="393" hidden="1" customWidth="1"/>
    <col min="12293" max="12298" width="12.08984375" style="393" hidden="1" customWidth="1"/>
    <col min="12299" max="12309" width="8.90625" style="393" hidden="1" customWidth="1"/>
    <col min="12310" max="12544" width="8.90625" style="393" hidden="1"/>
    <col min="12545" max="12545" width="32.6328125" style="393" hidden="1" customWidth="1"/>
    <col min="12546" max="12547" width="12.08984375" style="393" hidden="1" customWidth="1"/>
    <col min="12548" max="12548" width="12.90625" style="393" hidden="1" customWidth="1"/>
    <col min="12549" max="12554" width="12.08984375" style="393" hidden="1" customWidth="1"/>
    <col min="12555" max="12565" width="8.90625" style="393" hidden="1" customWidth="1"/>
    <col min="12566" max="12800" width="8.90625" style="393" hidden="1"/>
    <col min="12801" max="12801" width="32.6328125" style="393" hidden="1" customWidth="1"/>
    <col min="12802" max="12803" width="12.08984375" style="393" hidden="1" customWidth="1"/>
    <col min="12804" max="12804" width="12.90625" style="393" hidden="1" customWidth="1"/>
    <col min="12805" max="12810" width="12.08984375" style="393" hidden="1" customWidth="1"/>
    <col min="12811" max="12821" width="8.90625" style="393" hidden="1" customWidth="1"/>
    <col min="12822" max="13056" width="8.90625" style="393" hidden="1"/>
    <col min="13057" max="13057" width="32.6328125" style="393" hidden="1" customWidth="1"/>
    <col min="13058" max="13059" width="12.08984375" style="393" hidden="1" customWidth="1"/>
    <col min="13060" max="13060" width="12.90625" style="393" hidden="1" customWidth="1"/>
    <col min="13061" max="13066" width="12.08984375" style="393" hidden="1" customWidth="1"/>
    <col min="13067" max="13077" width="8.90625" style="393" hidden="1" customWidth="1"/>
    <col min="13078" max="13312" width="8.90625" style="393" hidden="1"/>
    <col min="13313" max="13313" width="32.6328125" style="393" hidden="1" customWidth="1"/>
    <col min="13314" max="13315" width="12.08984375" style="393" hidden="1" customWidth="1"/>
    <col min="13316" max="13316" width="12.90625" style="393" hidden="1" customWidth="1"/>
    <col min="13317" max="13322" width="12.08984375" style="393" hidden="1" customWidth="1"/>
    <col min="13323" max="13333" width="8.90625" style="393" hidden="1" customWidth="1"/>
    <col min="13334" max="13568" width="8.90625" style="393" hidden="1"/>
    <col min="13569" max="13569" width="32.6328125" style="393" hidden="1" customWidth="1"/>
    <col min="13570" max="13571" width="12.08984375" style="393" hidden="1" customWidth="1"/>
    <col min="13572" max="13572" width="12.90625" style="393" hidden="1" customWidth="1"/>
    <col min="13573" max="13578" width="12.08984375" style="393" hidden="1" customWidth="1"/>
    <col min="13579" max="13589" width="8.90625" style="393" hidden="1" customWidth="1"/>
    <col min="13590" max="13824" width="8.90625" style="393" hidden="1"/>
    <col min="13825" max="13825" width="32.6328125" style="393" hidden="1" customWidth="1"/>
    <col min="13826" max="13827" width="12.08984375" style="393" hidden="1" customWidth="1"/>
    <col min="13828" max="13828" width="12.90625" style="393" hidden="1" customWidth="1"/>
    <col min="13829" max="13834" width="12.08984375" style="393" hidden="1" customWidth="1"/>
    <col min="13835" max="13845" width="8.90625" style="393" hidden="1" customWidth="1"/>
    <col min="13846" max="14080" width="8.90625" style="393" hidden="1"/>
    <col min="14081" max="14081" width="32.6328125" style="393" hidden="1" customWidth="1"/>
    <col min="14082" max="14083" width="12.08984375" style="393" hidden="1" customWidth="1"/>
    <col min="14084" max="14084" width="12.90625" style="393" hidden="1" customWidth="1"/>
    <col min="14085" max="14090" width="12.08984375" style="393" hidden="1" customWidth="1"/>
    <col min="14091" max="14101" width="8.90625" style="393" hidden="1" customWidth="1"/>
    <col min="14102" max="14336" width="8.90625" style="393" hidden="1"/>
    <col min="14337" max="14337" width="32.6328125" style="393" hidden="1" customWidth="1"/>
    <col min="14338" max="14339" width="12.08984375" style="393" hidden="1" customWidth="1"/>
    <col min="14340" max="14340" width="12.90625" style="393" hidden="1" customWidth="1"/>
    <col min="14341" max="14346" width="12.08984375" style="393" hidden="1" customWidth="1"/>
    <col min="14347" max="14357" width="8.90625" style="393" hidden="1" customWidth="1"/>
    <col min="14358" max="14592" width="8.90625" style="393" hidden="1"/>
    <col min="14593" max="14593" width="32.6328125" style="393" hidden="1" customWidth="1"/>
    <col min="14594" max="14595" width="12.08984375" style="393" hidden="1" customWidth="1"/>
    <col min="14596" max="14596" width="12.90625" style="393" hidden="1" customWidth="1"/>
    <col min="14597" max="14602" width="12.08984375" style="393" hidden="1" customWidth="1"/>
    <col min="14603" max="14613" width="8.90625" style="393" hidden="1" customWidth="1"/>
    <col min="14614" max="14848" width="8.90625" style="393" hidden="1"/>
    <col min="14849" max="14849" width="32.6328125" style="393" hidden="1" customWidth="1"/>
    <col min="14850" max="14851" width="12.08984375" style="393" hidden="1" customWidth="1"/>
    <col min="14852" max="14852" width="12.90625" style="393" hidden="1" customWidth="1"/>
    <col min="14853" max="14858" width="12.08984375" style="393" hidden="1" customWidth="1"/>
    <col min="14859" max="14869" width="8.90625" style="393" hidden="1" customWidth="1"/>
    <col min="14870" max="15104" width="8.90625" style="393" hidden="1"/>
    <col min="15105" max="15105" width="32.6328125" style="393" hidden="1" customWidth="1"/>
    <col min="15106" max="15107" width="12.08984375" style="393" hidden="1" customWidth="1"/>
    <col min="15108" max="15108" width="12.90625" style="393" hidden="1" customWidth="1"/>
    <col min="15109" max="15114" width="12.08984375" style="393" hidden="1" customWidth="1"/>
    <col min="15115" max="15125" width="8.90625" style="393" hidden="1" customWidth="1"/>
    <col min="15126" max="15360" width="8.90625" style="393" hidden="1"/>
    <col min="15361" max="15361" width="32.6328125" style="393" hidden="1" customWidth="1"/>
    <col min="15362" max="15363" width="12.08984375" style="393" hidden="1" customWidth="1"/>
    <col min="15364" max="15364" width="12.90625" style="393" hidden="1" customWidth="1"/>
    <col min="15365" max="15370" width="12.08984375" style="393" hidden="1" customWidth="1"/>
    <col min="15371" max="15381" width="8.90625" style="393" hidden="1" customWidth="1"/>
    <col min="15382" max="15616" width="8.90625" style="393" hidden="1"/>
    <col min="15617" max="15617" width="32.6328125" style="393" hidden="1" customWidth="1"/>
    <col min="15618" max="15619" width="12.08984375" style="393" hidden="1" customWidth="1"/>
    <col min="15620" max="15620" width="12.90625" style="393" hidden="1" customWidth="1"/>
    <col min="15621" max="15626" width="12.08984375" style="393" hidden="1" customWidth="1"/>
    <col min="15627" max="15637" width="8.90625" style="393" hidden="1" customWidth="1"/>
    <col min="15638" max="15872" width="8.90625" style="393" hidden="1"/>
    <col min="15873" max="15873" width="32.6328125" style="393" hidden="1" customWidth="1"/>
    <col min="15874" max="15875" width="12.08984375" style="393" hidden="1" customWidth="1"/>
    <col min="15876" max="15876" width="12.90625" style="393" hidden="1" customWidth="1"/>
    <col min="15877" max="15882" width="12.08984375" style="393" hidden="1" customWidth="1"/>
    <col min="15883" max="15893" width="8.90625" style="393" hidden="1" customWidth="1"/>
    <col min="15894" max="16128" width="8.90625" style="393" hidden="1"/>
    <col min="16129" max="16129" width="32.6328125" style="393" hidden="1" customWidth="1"/>
    <col min="16130" max="16131" width="12.08984375" style="393" hidden="1" customWidth="1"/>
    <col min="16132" max="16132" width="12.90625" style="393" hidden="1" customWidth="1"/>
    <col min="16133" max="16138" width="12.08984375" style="393" hidden="1" customWidth="1"/>
    <col min="16139" max="16149" width="8.90625" style="393" hidden="1" customWidth="1"/>
    <col min="16150" max="16384" width="8.90625" style="393" hidden="1"/>
  </cols>
  <sheetData>
    <row r="1" spans="1:11" s="356" customFormat="1" ht="13">
      <c r="A1" s="1881" t="s">
        <v>1227</v>
      </c>
      <c r="B1" s="1882"/>
      <c r="C1" s="1882"/>
      <c r="D1" s="1882"/>
      <c r="E1" s="1882"/>
      <c r="F1" s="1882"/>
      <c r="G1" s="1882"/>
      <c r="H1" s="1882"/>
      <c r="I1" s="1882"/>
      <c r="J1" s="1883"/>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5000000</v>
      </c>
      <c r="C4" s="362" cm="1">
        <f t="array" ref="C4:C5">B4:B5</f>
        <v>5000000</v>
      </c>
      <c r="D4" s="362"/>
      <c r="E4" s="363"/>
      <c r="F4" s="363"/>
      <c r="G4" s="363"/>
      <c r="H4" s="363"/>
      <c r="I4" s="363"/>
      <c r="J4" s="363"/>
      <c r="K4" s="359"/>
    </row>
    <row r="5" spans="1:11" s="360" customFormat="1">
      <c r="A5" s="364" t="s">
        <v>28</v>
      </c>
      <c r="B5" s="361">
        <f>'Sources and Uses Budget'!C5</f>
        <v>100000</v>
      </c>
      <c r="C5" s="362">
        <v>100000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5100000</v>
      </c>
      <c r="C8" s="361">
        <f>SUM(C4:C7)</f>
        <v>5100000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5600000</v>
      </c>
      <c r="C12" s="361">
        <f>SUM(C8+C11)</f>
        <v>5600000</v>
      </c>
      <c r="D12" s="361">
        <f>SUM(D8+D11)</f>
        <v>0</v>
      </c>
      <c r="E12" s="363"/>
      <c r="F12" s="363"/>
      <c r="G12" s="363"/>
      <c r="H12" s="363"/>
      <c r="I12" s="363"/>
      <c r="J12" s="363"/>
      <c r="K12" s="359"/>
    </row>
    <row r="13" spans="1:11" s="360" customFormat="1">
      <c r="A13" s="366" t="s">
        <v>902</v>
      </c>
      <c r="B13" s="361">
        <f>'Sources and Uses Budget'!C13</f>
        <v>0</v>
      </c>
      <c r="C13" s="362">
        <f>B13</f>
        <v>0</v>
      </c>
      <c r="D13" s="362"/>
      <c r="E13" s="361">
        <f>'Sources and Uses Budget'!S13</f>
        <v>0</v>
      </c>
      <c r="F13" s="362">
        <f>E13</f>
        <v>0</v>
      </c>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1000000</v>
      </c>
      <c r="C29" s="362" cm="1">
        <f t="array" ref="C29:C35">B29:B35</f>
        <v>1000000</v>
      </c>
      <c r="D29" s="362"/>
      <c r="E29" s="361">
        <f>'Sources and Uses Budget'!S29</f>
        <v>1000000</v>
      </c>
      <c r="F29" s="362" cm="1">
        <f t="array" ref="F29:F37">E29:E37</f>
        <v>1000000</v>
      </c>
      <c r="G29" s="362"/>
      <c r="H29" s="361">
        <f>'Sources and Uses Budget'!T29</f>
        <v>0</v>
      </c>
      <c r="I29" s="362"/>
      <c r="J29" s="362"/>
      <c r="K29" s="359"/>
    </row>
    <row r="30" spans="1:11" s="360" customFormat="1">
      <c r="A30" s="145" t="s">
        <v>599</v>
      </c>
      <c r="B30" s="361">
        <f>'Sources and Uses Budget'!C30</f>
        <v>21096973</v>
      </c>
      <c r="C30" s="362">
        <v>21096973</v>
      </c>
      <c r="D30" s="362"/>
      <c r="E30" s="361">
        <f>'Sources and Uses Budget'!S30</f>
        <v>21096973</v>
      </c>
      <c r="F30" s="362">
        <v>21096973</v>
      </c>
      <c r="G30" s="362"/>
      <c r="H30" s="361">
        <f>'Sources and Uses Budget'!T30</f>
        <v>0</v>
      </c>
      <c r="I30" s="362"/>
      <c r="J30" s="362"/>
      <c r="K30" s="359"/>
    </row>
    <row r="31" spans="1:11" s="360" customFormat="1">
      <c r="A31" s="145" t="s">
        <v>600</v>
      </c>
      <c r="B31" s="361">
        <f>'Sources and Uses Budget'!C31</f>
        <v>1626982</v>
      </c>
      <c r="C31" s="362">
        <v>1626982</v>
      </c>
      <c r="D31" s="362"/>
      <c r="E31" s="361">
        <f>'Sources and Uses Budget'!S31</f>
        <v>1626982</v>
      </c>
      <c r="F31" s="362">
        <v>1626982</v>
      </c>
      <c r="G31" s="362"/>
      <c r="H31" s="361">
        <f>'Sources and Uses Budget'!T31</f>
        <v>0</v>
      </c>
      <c r="I31" s="362"/>
      <c r="J31" s="362"/>
      <c r="K31" s="359"/>
    </row>
    <row r="32" spans="1:11" s="360" customFormat="1">
      <c r="A32" s="145" t="s">
        <v>137</v>
      </c>
      <c r="B32" s="361">
        <f>'Sources and Uses Budget'!C32</f>
        <v>1084655</v>
      </c>
      <c r="C32" s="362">
        <v>1084655</v>
      </c>
      <c r="D32" s="362"/>
      <c r="E32" s="361">
        <f>'Sources and Uses Budget'!S32</f>
        <v>1084655</v>
      </c>
      <c r="F32" s="362">
        <v>1084655</v>
      </c>
      <c r="G32" s="362"/>
      <c r="H32" s="361">
        <f>'Sources and Uses Budget'!T32</f>
        <v>0</v>
      </c>
      <c r="I32" s="362"/>
      <c r="J32" s="362"/>
      <c r="K32" s="359"/>
    </row>
    <row r="33" spans="1:11" s="360" customFormat="1">
      <c r="A33" s="145" t="s">
        <v>138</v>
      </c>
      <c r="B33" s="361">
        <f>'Sources and Uses Budget'!C33</f>
        <v>1084655</v>
      </c>
      <c r="C33" s="362">
        <v>1084655</v>
      </c>
      <c r="D33" s="362"/>
      <c r="E33" s="361">
        <f>'Sources and Uses Budget'!S33</f>
        <v>1084655</v>
      </c>
      <c r="F33" s="362">
        <v>1084655</v>
      </c>
      <c r="G33" s="362"/>
      <c r="H33" s="361">
        <f>'Sources and Uses Budget'!T33</f>
        <v>0</v>
      </c>
      <c r="I33" s="362"/>
      <c r="J33" s="362"/>
      <c r="K33" s="359"/>
    </row>
    <row r="34" spans="1:11" s="360" customFormat="1">
      <c r="A34" s="145" t="s">
        <v>139</v>
      </c>
      <c r="B34" s="361">
        <f>'Sources and Uses Budget'!C34</f>
        <v>4519395</v>
      </c>
      <c r="C34" s="362">
        <v>4519395</v>
      </c>
      <c r="D34" s="362"/>
      <c r="E34" s="361">
        <f>'Sources and Uses Budget'!S34</f>
        <v>4519395</v>
      </c>
      <c r="F34" s="362">
        <v>4519395</v>
      </c>
      <c r="G34" s="362"/>
      <c r="H34" s="361">
        <f>'Sources and Uses Budget'!T34</f>
        <v>0</v>
      </c>
      <c r="I34" s="362"/>
      <c r="J34" s="362"/>
      <c r="K34" s="359"/>
    </row>
    <row r="35" spans="1:11" s="360" customFormat="1">
      <c r="A35" s="145" t="s">
        <v>140</v>
      </c>
      <c r="B35" s="361">
        <f>'Sources and Uses Budget'!C35</f>
        <v>309127</v>
      </c>
      <c r="C35" s="362">
        <v>309127</v>
      </c>
      <c r="D35" s="362"/>
      <c r="E35" s="361">
        <f>'Sources and Uses Budget'!S35</f>
        <v>309127</v>
      </c>
      <c r="F35" s="362">
        <v>309127</v>
      </c>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v>0</v>
      </c>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v>0</v>
      </c>
      <c r="G37" s="362"/>
      <c r="H37" s="361">
        <f>'Sources and Uses Budget'!T37</f>
        <v>0</v>
      </c>
      <c r="I37" s="362"/>
      <c r="J37" s="362"/>
      <c r="K37" s="359"/>
    </row>
    <row r="38" spans="1:11" s="360" customFormat="1">
      <c r="A38" s="365" t="s">
        <v>143</v>
      </c>
      <c r="B38" s="361">
        <f>'Sources and Uses Budget'!C38</f>
        <v>30721787</v>
      </c>
      <c r="C38" s="361">
        <f>SUM(C29:C37)</f>
        <v>30721787</v>
      </c>
      <c r="D38" s="361">
        <f>SUM(D29:D37)</f>
        <v>0</v>
      </c>
      <c r="E38" s="361">
        <f>'Sources and Uses Budget'!S38</f>
        <v>30721787</v>
      </c>
      <c r="F38" s="367">
        <f>SUM(F29:F37)</f>
        <v>30721787</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950000</v>
      </c>
      <c r="C40" s="362">
        <f>B40</f>
        <v>950000</v>
      </c>
      <c r="D40" s="362"/>
      <c r="E40" s="361">
        <f>'Sources and Uses Budget'!S40</f>
        <v>950000</v>
      </c>
      <c r="F40" s="362">
        <f>E40</f>
        <v>950000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950000</v>
      </c>
      <c r="C42" s="361">
        <f>SUM(C39:C41)</f>
        <v>950000</v>
      </c>
      <c r="D42" s="361">
        <f>SUM(D39:D41)</f>
        <v>0</v>
      </c>
      <c r="E42" s="361">
        <f>'Sources and Uses Budget'!S42</f>
        <v>950000</v>
      </c>
      <c r="F42" s="367">
        <f>SUM(F40:F41)</f>
        <v>950000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3757811</v>
      </c>
      <c r="C45" s="362" cm="1">
        <f t="array" ref="C45:C46">B45:B46</f>
        <v>3757811</v>
      </c>
      <c r="D45" s="362"/>
      <c r="E45" s="361">
        <f>'Sources and Uses Budget'!S45</f>
        <v>2494529</v>
      </c>
      <c r="F45" s="362" cm="1">
        <f t="array" ref="F45:F50">E45:E50</f>
        <v>2494529</v>
      </c>
      <c r="G45" s="362"/>
      <c r="H45" s="361">
        <f>'Sources and Uses Budget'!T45</f>
        <v>0</v>
      </c>
      <c r="I45" s="362"/>
      <c r="J45" s="362"/>
      <c r="K45" s="359"/>
    </row>
    <row r="46" spans="1:11" s="360" customFormat="1">
      <c r="A46" s="364" t="s">
        <v>151</v>
      </c>
      <c r="B46" s="361">
        <f>'Sources and Uses Budget'!C46</f>
        <v>310727</v>
      </c>
      <c r="C46" s="362">
        <v>310727</v>
      </c>
      <c r="D46" s="362"/>
      <c r="E46" s="361">
        <f>'Sources and Uses Budget'!S46</f>
        <v>233045</v>
      </c>
      <c r="F46" s="362">
        <v>233045</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v>0</v>
      </c>
      <c r="G47" s="362"/>
      <c r="H47" s="361">
        <f>'Sources and Uses Budget'!T47</f>
        <v>0</v>
      </c>
      <c r="I47" s="362"/>
      <c r="J47" s="362"/>
      <c r="K47" s="359"/>
    </row>
    <row r="48" spans="1:11" s="360" customFormat="1">
      <c r="A48" s="364" t="s">
        <v>153</v>
      </c>
      <c r="B48" s="361">
        <f>'Sources and Uses Budget'!C48</f>
        <v>278214</v>
      </c>
      <c r="C48" s="362" cm="1">
        <f t="array" ref="C48:C50">B48:B50</f>
        <v>278214</v>
      </c>
      <c r="D48" s="362"/>
      <c r="E48" s="361">
        <f>'Sources and Uses Budget'!S48</f>
        <v>278214</v>
      </c>
      <c r="F48" s="362">
        <v>278214</v>
      </c>
      <c r="G48" s="362"/>
      <c r="H48" s="361">
        <f>'Sources and Uses Budget'!T48</f>
        <v>0</v>
      </c>
      <c r="I48" s="362"/>
      <c r="J48" s="362"/>
      <c r="K48" s="359"/>
    </row>
    <row r="49" spans="1:11" s="360" customFormat="1">
      <c r="A49" s="283" t="s">
        <v>57</v>
      </c>
      <c r="B49" s="361">
        <f>'Sources and Uses Budget'!C49</f>
        <v>77680</v>
      </c>
      <c r="C49" s="362">
        <v>77680</v>
      </c>
      <c r="D49" s="362"/>
      <c r="E49" s="361">
        <f>'Sources and Uses Budget'!S49</f>
        <v>77680</v>
      </c>
      <c r="F49" s="362">
        <v>77680</v>
      </c>
      <c r="G49" s="362"/>
      <c r="H49" s="361">
        <f>'Sources and Uses Budget'!T49</f>
        <v>0</v>
      </c>
      <c r="I49" s="362"/>
      <c r="J49" s="362"/>
      <c r="K49" s="359"/>
    </row>
    <row r="50" spans="1:11" s="360" customFormat="1">
      <c r="A50" s="364" t="s">
        <v>156</v>
      </c>
      <c r="B50" s="361">
        <f>'Sources and Uses Budget'!C50</f>
        <v>120000</v>
      </c>
      <c r="C50" s="362">
        <v>120000</v>
      </c>
      <c r="D50" s="362"/>
      <c r="E50" s="361">
        <f>'Sources and Uses Budget'!S50</f>
        <v>75000</v>
      </c>
      <c r="F50" s="362">
        <v>75000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315000</v>
      </c>
      <c r="C52" s="362">
        <f>B52</f>
        <v>315000</v>
      </c>
      <c r="D52" s="362"/>
      <c r="E52" s="361">
        <f>'Sources and Uses Budget'!S52</f>
        <v>315000</v>
      </c>
      <c r="F52" s="362">
        <f>E52</f>
        <v>315000</v>
      </c>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4859432</v>
      </c>
      <c r="C54" s="367">
        <f>SUM(C45:C53)</f>
        <v>4859432</v>
      </c>
      <c r="D54" s="367">
        <f>SUM(D45:D53)</f>
        <v>0</v>
      </c>
      <c r="E54" s="361">
        <f>'Sources and Uses Budget'!S54</f>
        <v>3473468</v>
      </c>
      <c r="F54" s="367">
        <f>SUM(F45:F53)</f>
        <v>3473468</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for Perm loan</v>
      </c>
      <c r="B61" s="361">
        <f>'Sources and Uses Budget'!C61</f>
        <v>15000</v>
      </c>
      <c r="C61" s="362">
        <f>B61</f>
        <v>15000</v>
      </c>
      <c r="D61" s="362"/>
      <c r="E61" s="363"/>
      <c r="F61" s="363"/>
      <c r="G61" s="363"/>
      <c r="H61" s="363"/>
      <c r="I61" s="363"/>
      <c r="J61" s="363"/>
      <c r="K61" s="359"/>
    </row>
    <row r="62" spans="1:11" s="360" customFormat="1" ht="13.65"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42806219</v>
      </c>
      <c r="C63" s="361">
        <f>SUM(C8+C11+C13+C14+C15+C26+C27+C38+C42+C43+C54+C62)</f>
        <v>42806219</v>
      </c>
      <c r="D63" s="361">
        <f>SUM(D8+D11+D13+D14+D15+D26+D27+D38+D42+D43+D54+D62)</f>
        <v>0</v>
      </c>
      <c r="E63" s="361">
        <f>'Sources and Uses Budget'!S63</f>
        <v>36295255</v>
      </c>
      <c r="F63" s="361">
        <f>SUM(F10+F13+F14+F15+F26+F27+F38+F42+F43+F54)</f>
        <v>36295255</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3">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Legal: Lender+Bond Issuer + MGP</v>
      </c>
      <c r="B69" s="361">
        <f>'Sources and Uses Budget'!C69</f>
        <v>300000</v>
      </c>
      <c r="C69" s="362">
        <f>B69</f>
        <v>300000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400000</v>
      </c>
      <c r="C70" s="361">
        <f>SUM(C64:C69)</f>
        <v>400000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398971</v>
      </c>
      <c r="C75" s="362">
        <f>B75</f>
        <v>398971</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398971</v>
      </c>
      <c r="C77" s="361">
        <f>SUM(C72:C76)</f>
        <v>398971</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1580000</v>
      </c>
      <c r="C79" s="362" cm="1">
        <f t="array" ref="C79:C80">B79:B80</f>
        <v>1580000</v>
      </c>
      <c r="D79" s="362"/>
      <c r="E79" s="361">
        <f>'Sources and Uses Budget'!S79</f>
        <v>1580000</v>
      </c>
      <c r="F79" s="362" cm="1">
        <f t="array" ref="F79:F80">E79:E80</f>
        <v>1580000</v>
      </c>
      <c r="G79" s="362"/>
      <c r="H79" s="361">
        <f>'Sources and Uses Budget'!T79</f>
        <v>0</v>
      </c>
      <c r="I79" s="362"/>
      <c r="J79" s="362"/>
      <c r="K79" s="359"/>
    </row>
    <row r="80" spans="1:11" s="360" customFormat="1">
      <c r="A80" s="364" t="s">
        <v>58</v>
      </c>
      <c r="B80" s="361">
        <f>'Sources and Uses Budget'!C80</f>
        <v>426932</v>
      </c>
      <c r="C80" s="362">
        <v>426932</v>
      </c>
      <c r="D80" s="362"/>
      <c r="E80" s="361">
        <f>'Sources and Uses Budget'!S80</f>
        <v>426932</v>
      </c>
      <c r="F80" s="362">
        <v>426932</v>
      </c>
      <c r="G80" s="362"/>
      <c r="H80" s="361">
        <f>'Sources and Uses Budget'!T80</f>
        <v>0</v>
      </c>
      <c r="I80" s="362"/>
      <c r="J80" s="362"/>
      <c r="K80" s="359"/>
    </row>
    <row r="81" spans="1:11" s="360" customFormat="1">
      <c r="A81" s="365" t="s">
        <v>1209</v>
      </c>
      <c r="B81" s="361">
        <f>'Sources and Uses Budget'!C81</f>
        <v>2006932</v>
      </c>
      <c r="C81" s="361">
        <f>SUM(C79:C80)</f>
        <v>2006932</v>
      </c>
      <c r="D81" s="361">
        <f>SUM(D79:D80)</f>
        <v>0</v>
      </c>
      <c r="E81" s="361">
        <f>'Sources and Uses Budget'!S81</f>
        <v>2006932</v>
      </c>
      <c r="F81" s="361">
        <f>SUM(F79:F80)</f>
        <v>2006932</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65" customHeight="1">
      <c r="A83" s="145" t="s">
        <v>2051</v>
      </c>
      <c r="B83" s="361">
        <f>'Sources and Uses Budget'!C83</f>
        <v>70171</v>
      </c>
      <c r="C83" s="362" cm="1">
        <f t="array" ref="C83:C86">B83:B86</f>
        <v>70171</v>
      </c>
      <c r="D83" s="362"/>
      <c r="E83" s="363"/>
      <c r="F83" s="363"/>
      <c r="G83" s="363"/>
      <c r="H83" s="363"/>
      <c r="I83" s="363"/>
      <c r="J83" s="363"/>
      <c r="K83" s="359"/>
    </row>
    <row r="84" spans="1:11" s="360" customFormat="1">
      <c r="A84" s="145" t="s">
        <v>767</v>
      </c>
      <c r="B84" s="361">
        <f>'Sources and Uses Budget'!C84</f>
        <v>50000</v>
      </c>
      <c r="C84" s="362">
        <v>50000</v>
      </c>
      <c r="D84" s="362"/>
      <c r="E84" s="361">
        <f>'Sources and Uses Budget'!S84</f>
        <v>50000</v>
      </c>
      <c r="F84" s="362" cm="1">
        <f t="array" ref="F84:F86">E84:E86</f>
        <v>50000</v>
      </c>
      <c r="G84" s="362"/>
      <c r="H84" s="361">
        <f>'Sources and Uses Budget'!T84</f>
        <v>0</v>
      </c>
      <c r="I84" s="362"/>
      <c r="J84" s="362"/>
      <c r="K84" s="359"/>
    </row>
    <row r="85" spans="1:11" s="360" customFormat="1">
      <c r="A85" s="145" t="s">
        <v>768</v>
      </c>
      <c r="B85" s="361">
        <f>'Sources and Uses Budget'!C85</f>
        <v>1478594</v>
      </c>
      <c r="C85" s="362">
        <v>1478594</v>
      </c>
      <c r="D85" s="362"/>
      <c r="E85" s="361">
        <f>'Sources and Uses Budget'!S85</f>
        <v>1478594</v>
      </c>
      <c r="F85" s="362">
        <v>1478594</v>
      </c>
      <c r="G85" s="362"/>
      <c r="H85" s="361">
        <f>'Sources and Uses Budget'!T85</f>
        <v>0</v>
      </c>
      <c r="I85" s="362"/>
      <c r="J85" s="362"/>
      <c r="K85" s="359"/>
    </row>
    <row r="86" spans="1:11" s="360" customFormat="1">
      <c r="A86" s="145" t="s">
        <v>769</v>
      </c>
      <c r="B86" s="361">
        <f>'Sources and Uses Budget'!C86</f>
        <v>726406</v>
      </c>
      <c r="C86" s="362">
        <v>726406</v>
      </c>
      <c r="D86" s="362"/>
      <c r="E86" s="361">
        <f>'Sources and Uses Budget'!S86</f>
        <v>726406</v>
      </c>
      <c r="F86" s="362">
        <v>726406</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100000</v>
      </c>
      <c r="C88" s="362" cm="1">
        <f t="array" ref="C88:C95">B88:B95</f>
        <v>100000</v>
      </c>
      <c r="D88" s="362"/>
      <c r="E88" s="363"/>
      <c r="F88" s="363"/>
      <c r="G88" s="363"/>
      <c r="H88" s="363"/>
      <c r="I88" s="363"/>
      <c r="J88" s="363"/>
      <c r="K88" s="359"/>
    </row>
    <row r="89" spans="1:11" s="360" customFormat="1">
      <c r="A89" s="145" t="s">
        <v>772</v>
      </c>
      <c r="B89" s="361">
        <f>'Sources and Uses Budget'!C89</f>
        <v>100000</v>
      </c>
      <c r="C89" s="362">
        <v>100000</v>
      </c>
      <c r="D89" s="362"/>
      <c r="E89" s="361">
        <f>'Sources and Uses Budget'!S89</f>
        <v>100000</v>
      </c>
      <c r="F89" s="362" cm="1">
        <f t="array" ref="F89:F95">E89:E95</f>
        <v>100000</v>
      </c>
      <c r="G89" s="362"/>
      <c r="H89" s="361">
        <f>'Sources and Uses Budget'!T89</f>
        <v>0</v>
      </c>
      <c r="I89" s="362"/>
      <c r="J89" s="362"/>
      <c r="K89" s="359"/>
    </row>
    <row r="90" spans="1:11" s="360" customFormat="1">
      <c r="A90" s="145" t="s">
        <v>773</v>
      </c>
      <c r="B90" s="361">
        <f>'Sources and Uses Budget'!C90</f>
        <v>15000</v>
      </c>
      <c r="C90" s="362">
        <v>15000</v>
      </c>
      <c r="D90" s="362"/>
      <c r="E90" s="361">
        <f>'Sources and Uses Budget'!S90</f>
        <v>15000</v>
      </c>
      <c r="F90" s="362">
        <v>15000</v>
      </c>
      <c r="G90" s="362"/>
      <c r="H90" s="361">
        <f>'Sources and Uses Budget'!T90</f>
        <v>0</v>
      </c>
      <c r="I90" s="362"/>
      <c r="J90" s="362"/>
      <c r="K90" s="359"/>
    </row>
    <row r="91" spans="1:11" s="360" customFormat="1">
      <c r="A91" s="155" t="s">
        <v>372</v>
      </c>
      <c r="B91" s="361">
        <f>'Sources and Uses Budget'!C91</f>
        <v>50000</v>
      </c>
      <c r="C91" s="362">
        <v>50000</v>
      </c>
      <c r="D91" s="362"/>
      <c r="E91" s="361">
        <f>'Sources and Uses Budget'!S91</f>
        <v>50000</v>
      </c>
      <c r="F91" s="362">
        <v>50000</v>
      </c>
      <c r="G91" s="362"/>
      <c r="H91" s="361">
        <f>'Sources and Uses Budget'!T91</f>
        <v>0</v>
      </c>
      <c r="I91" s="362"/>
      <c r="J91" s="362"/>
      <c r="K91" s="359"/>
    </row>
    <row r="92" spans="1:11" s="360" customFormat="1">
      <c r="A92" s="508" t="s">
        <v>1211</v>
      </c>
      <c r="B92" s="361">
        <f>'Sources and Uses Budget'!C92</f>
        <v>20000</v>
      </c>
      <c r="C92" s="362">
        <v>20000</v>
      </c>
      <c r="D92" s="362"/>
      <c r="E92" s="361">
        <f>'Sources and Uses Budget'!S92</f>
        <v>20000</v>
      </c>
      <c r="F92" s="362">
        <v>20000</v>
      </c>
      <c r="G92" s="362"/>
      <c r="H92" s="361">
        <f>'Sources and Uses Budget'!T92</f>
        <v>0</v>
      </c>
      <c r="I92" s="362"/>
      <c r="J92" s="362"/>
      <c r="K92" s="359"/>
    </row>
    <row r="93" spans="1:11" s="360" customFormat="1">
      <c r="A93" s="364" t="str">
        <f>'Sources and Uses Budget'!$A93</f>
        <v xml:space="preserve">Relocation Cost </v>
      </c>
      <c r="B93" s="361">
        <f>'Sources and Uses Budget'!C93</f>
        <v>105000</v>
      </c>
      <c r="C93" s="362">
        <v>105000</v>
      </c>
      <c r="D93" s="362"/>
      <c r="E93" s="361">
        <f>'Sources and Uses Budget'!S93</f>
        <v>0</v>
      </c>
      <c r="F93" s="362">
        <v>0</v>
      </c>
      <c r="G93" s="362"/>
      <c r="H93" s="361">
        <f>'Sources and Uses Budget'!T93</f>
        <v>0</v>
      </c>
      <c r="I93" s="362"/>
      <c r="J93" s="362"/>
      <c r="K93" s="359"/>
    </row>
    <row r="94" spans="1:11" s="360" customFormat="1">
      <c r="A94" s="364" t="str">
        <f>'Sources and Uses Budget'!$A94</f>
        <v>CDLAC Fee</v>
      </c>
      <c r="B94" s="361">
        <f>'Sources and Uses Budget'!C94</f>
        <v>5530</v>
      </c>
      <c r="C94" s="362">
        <v>5530</v>
      </c>
      <c r="D94" s="362"/>
      <c r="E94" s="361">
        <f>'Sources and Uses Budget'!S94</f>
        <v>5530</v>
      </c>
      <c r="F94" s="362">
        <v>5530</v>
      </c>
      <c r="G94" s="362"/>
      <c r="H94" s="361">
        <f>'Sources and Uses Budget'!T94</f>
        <v>0</v>
      </c>
      <c r="I94" s="362"/>
      <c r="J94" s="362"/>
      <c r="K94" s="359"/>
    </row>
    <row r="95" spans="1:11" s="360" customFormat="1" ht="23">
      <c r="A95" s="364" t="str">
        <f>'Sources and Uses Budget'!$A95</f>
        <v>Miscellaneous Third-Party Costs + Predevelopment Interest</v>
      </c>
      <c r="B95" s="361">
        <f>'Sources and Uses Budget'!C95</f>
        <v>500000</v>
      </c>
      <c r="C95" s="362">
        <v>500000</v>
      </c>
      <c r="D95" s="362"/>
      <c r="E95" s="361">
        <f>'Sources and Uses Budget'!S95</f>
        <v>500000</v>
      </c>
      <c r="F95" s="362">
        <v>500000</v>
      </c>
      <c r="G95" s="362"/>
      <c r="H95" s="361">
        <f>'Sources and Uses Budget'!T95</f>
        <v>0</v>
      </c>
      <c r="I95" s="362"/>
      <c r="J95" s="362"/>
      <c r="K95" s="359"/>
    </row>
    <row r="96" spans="1:11" s="360" customFormat="1">
      <c r="A96" s="365" t="s">
        <v>774</v>
      </c>
      <c r="B96" s="361">
        <f>'Sources and Uses Budget'!C96</f>
        <v>3220701</v>
      </c>
      <c r="C96" s="361">
        <f>SUM(C83:C95)</f>
        <v>3220701</v>
      </c>
      <c r="D96" s="361">
        <f>SUM(D83:D95)</f>
        <v>0</v>
      </c>
      <c r="E96" s="361">
        <f>'Sources and Uses Budget'!S96</f>
        <v>2945530</v>
      </c>
      <c r="F96" s="367">
        <f>SUM(F84:F87,F89:F95)</f>
        <v>2945530</v>
      </c>
      <c r="G96" s="367">
        <f>SUM(G84:G87,G89:G95)</f>
        <v>0</v>
      </c>
      <c r="H96" s="361">
        <f>'Sources and Uses Budget'!T96</f>
        <v>0</v>
      </c>
      <c r="I96" s="361">
        <f>SUM(I84:I87,I89:I95)</f>
        <v>0</v>
      </c>
      <c r="J96" s="361">
        <f>SUM(J84:J87,J89:J95)</f>
        <v>0</v>
      </c>
      <c r="K96" s="359"/>
    </row>
    <row r="97" spans="1:11" s="360" customFormat="1">
      <c r="A97" s="365" t="s">
        <v>1029</v>
      </c>
      <c r="B97" s="361">
        <f>'Sources and Uses Budget'!C97</f>
        <v>48832823</v>
      </c>
      <c r="C97" s="361">
        <f>SUM(C63+C70+C77+C81+C96)</f>
        <v>48832823</v>
      </c>
      <c r="D97" s="361">
        <f>SUM(D63+D70+D77+D81+D96)</f>
        <v>0</v>
      </c>
      <c r="E97" s="361">
        <f>'Sources and Uses Budget'!S97</f>
        <v>41422717</v>
      </c>
      <c r="F97" s="367">
        <f>SUM(+F63+F70+F81+F96)</f>
        <v>41422717</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6213407</v>
      </c>
      <c r="C99" s="362">
        <f>B99</f>
        <v>6213407</v>
      </c>
      <c r="D99" s="362"/>
      <c r="E99" s="361">
        <f>'Sources and Uses Budget'!S99</f>
        <v>6213407</v>
      </c>
      <c r="F99" s="362" cm="1">
        <f t="array" ref="F99:F103">E99:E103</f>
        <v>6213407</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v>0</v>
      </c>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v>0</v>
      </c>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v>0</v>
      </c>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v>0</v>
      </c>
      <c r="G103" s="362"/>
      <c r="H103" s="361">
        <f>'Sources and Uses Budget'!T103</f>
        <v>0</v>
      </c>
      <c r="I103" s="362"/>
      <c r="J103" s="362"/>
      <c r="K103" s="359"/>
    </row>
    <row r="104" spans="1:11" s="360" customFormat="1">
      <c r="A104" s="365" t="s">
        <v>779</v>
      </c>
      <c r="B104" s="361">
        <f>'Sources and Uses Budget'!C104</f>
        <v>6213407</v>
      </c>
      <c r="C104" s="361">
        <f>SUM(C99:C103)</f>
        <v>6213407</v>
      </c>
      <c r="D104" s="361">
        <f>SUM(D99:D103)</f>
        <v>0</v>
      </c>
      <c r="E104" s="361">
        <f>'Sources and Uses Budget'!S104</f>
        <v>6213407</v>
      </c>
      <c r="F104" s="367">
        <f>SUM(F99:F103)</f>
        <v>6213407</v>
      </c>
      <c r="G104" s="367">
        <f>SUM(G99:G103)</f>
        <v>0</v>
      </c>
      <c r="H104" s="361">
        <f>'Sources and Uses Budget'!T104</f>
        <v>0</v>
      </c>
      <c r="I104" s="367">
        <f>SUM(I99:I103)</f>
        <v>0</v>
      </c>
      <c r="J104" s="367">
        <f>SUM(J99:J103)</f>
        <v>0</v>
      </c>
      <c r="K104" s="359"/>
    </row>
    <row r="105" spans="1:11" s="360" customFormat="1">
      <c r="A105" s="365" t="s">
        <v>1030</v>
      </c>
      <c r="B105" s="361">
        <f>'Sources and Uses Budget'!C105</f>
        <v>55046230</v>
      </c>
      <c r="C105" s="367">
        <f>SUM(C97+C104)</f>
        <v>55046230</v>
      </c>
      <c r="D105" s="367">
        <f>SUM(D97+D104)</f>
        <v>0</v>
      </c>
      <c r="E105" s="361">
        <f>'Sources and Uses Budget'!S105</f>
        <v>47636124</v>
      </c>
      <c r="F105" s="367">
        <f>F97+F104</f>
        <v>47636124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47636124</v>
      </c>
      <c r="F107" s="367">
        <f>F105+F106</f>
        <v>47636124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9"/>
      <c r="E124" s="1325"/>
      <c r="F124" s="1325"/>
      <c r="G124" s="1325"/>
      <c r="H124" s="1325"/>
      <c r="I124" s="1325"/>
      <c r="J124" s="376"/>
      <c r="K124" s="359"/>
    </row>
    <row r="125" spans="1:11" s="360" customFormat="1" ht="12.5">
      <c r="A125" s="385"/>
      <c r="B125" s="384"/>
      <c r="C125" s="385"/>
      <c r="D125" s="1325"/>
      <c r="E125" s="1325"/>
      <c r="F125" s="1325"/>
      <c r="G125" s="1325"/>
      <c r="H125" s="1325"/>
      <c r="I125" s="1325"/>
      <c r="J125" s="376"/>
      <c r="K125" s="359"/>
    </row>
    <row r="126" spans="1:11" s="360" customFormat="1" ht="12.5">
      <c r="A126" s="385"/>
      <c r="B126" s="384"/>
      <c r="C126" s="385"/>
      <c r="D126" s="1325"/>
      <c r="E126" s="1325"/>
      <c r="F126" s="1325"/>
      <c r="G126" s="1325"/>
      <c r="H126" s="1325"/>
      <c r="I126" s="1325"/>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85" zoomScaleNormal="85" workbookViewId="0">
      <selection activeCell="P20" sqref="P20:U20"/>
    </sheetView>
  </sheetViews>
  <sheetFormatPr defaultColWidth="2.6328125" defaultRowHeight="15.75" customHeight="1"/>
  <cols>
    <col min="1" max="8" width="2.6328125" style="1204"/>
    <col min="9" max="9" width="7.6328125" style="1204" customWidth="1"/>
    <col min="10" max="13" width="2.6328125" style="1204"/>
    <col min="14" max="14" width="4.6328125" style="1204" customWidth="1"/>
    <col min="15" max="19" width="2.6328125" style="1204"/>
    <col min="20" max="20" width="3.6328125" style="1204" customWidth="1"/>
    <col min="21" max="37" width="2.6328125" style="1204"/>
    <col min="38" max="38" width="3" style="1204" customWidth="1"/>
    <col min="39" max="45" width="2.6328125" style="1204"/>
    <col min="46" max="46" width="4.6328125" style="1204" customWidth="1"/>
    <col min="47" max="51" width="2.6328125" style="1204"/>
    <col min="52" max="52" width="3.54296875" style="1204" customWidth="1"/>
    <col min="53" max="53" width="2.6328125" style="1204"/>
    <col min="54" max="54" width="4.453125" style="1204" customWidth="1"/>
    <col min="55" max="64" width="2.63281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08984375" style="1205" customWidth="1"/>
    <col min="72" max="76" width="5.54296875" style="1205" customWidth="1"/>
    <col min="77" max="77" width="6.08984375" style="1205" bestFit="1" customWidth="1"/>
    <col min="78" max="78" width="5.54296875" style="1204" bestFit="1" customWidth="1"/>
    <col min="79" max="16384" width="2.6328125" style="1204"/>
  </cols>
  <sheetData>
    <row r="1" spans="1:65" ht="15.75" customHeight="1">
      <c r="A1" s="1892" t="s">
        <v>2391</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2390</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2595</v>
      </c>
      <c r="AY3" s="1899"/>
      <c r="AZ3" s="1899"/>
      <c r="BA3" s="1900"/>
      <c r="BB3" s="1898" t="s">
        <v>2596</v>
      </c>
      <c r="BC3" s="1899"/>
      <c r="BD3" s="1899"/>
      <c r="BE3" s="1900"/>
    </row>
    <row r="4" spans="1:65" ht="15.75" customHeight="1" thickBot="1">
      <c r="A4" s="1207"/>
      <c r="B4" s="1209" t="s">
        <v>656</v>
      </c>
      <c r="C4" s="1209"/>
      <c r="D4" s="1209"/>
      <c r="E4" s="1209"/>
      <c r="F4" s="1209"/>
      <c r="G4" s="1208"/>
      <c r="H4" s="1208"/>
      <c r="I4" s="1208"/>
      <c r="J4" s="1208"/>
      <c r="K4" s="1208"/>
      <c r="L4" s="1887" t="str">
        <f>IF(Application!H18="","",Application!H18)</f>
        <v xml:space="preserve">The Ridge on Masonic </v>
      </c>
      <c r="M4" s="1888"/>
      <c r="N4" s="1888"/>
      <c r="O4" s="1888"/>
      <c r="P4" s="1888"/>
      <c r="Q4" s="1888"/>
      <c r="R4" s="1888"/>
      <c r="S4" s="1888"/>
      <c r="T4" s="1888"/>
      <c r="U4" s="1888"/>
      <c r="V4" s="1888"/>
      <c r="W4" s="1888"/>
      <c r="X4" s="1888"/>
      <c r="Y4" s="1888"/>
      <c r="Z4" s="1888"/>
      <c r="AA4" s="1888"/>
      <c r="AB4" s="1888"/>
      <c r="AC4" s="1889"/>
      <c r="AD4" s="1208"/>
      <c r="AE4" s="1208"/>
      <c r="AF4" s="1901" t="s">
        <v>2389</v>
      </c>
      <c r="AG4" s="1901"/>
      <c r="AH4" s="1901"/>
      <c r="AI4" s="1901"/>
      <c r="AJ4" s="1901"/>
      <c r="AK4" s="1901"/>
      <c r="AL4" s="1901"/>
      <c r="AM4" s="1901"/>
      <c r="AN4" s="1901"/>
      <c r="AO4" s="1901"/>
      <c r="AP4" s="1902"/>
      <c r="AQ4" s="1903"/>
      <c r="AR4" s="1903"/>
      <c r="AS4" s="1903"/>
      <c r="AT4" s="1903"/>
      <c r="AU4" s="1903"/>
      <c r="AV4" s="1208"/>
      <c r="AW4" s="1208"/>
      <c r="AX4" s="1884" t="s">
        <v>2597</v>
      </c>
      <c r="AY4" s="1885"/>
      <c r="AZ4" s="1885"/>
      <c r="BA4" s="1886"/>
      <c r="BB4" s="1210">
        <f t="array" ref="BB4">ROUNDDOWN(SUM(IF((B19:I27&gt;0)*(B19:I27&lt;=30%),J19:O27,0))/J29,2)</f>
        <v>0.15</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2388</v>
      </c>
      <c r="AG5" s="1901"/>
      <c r="AH5" s="1901"/>
      <c r="AI5" s="1901"/>
      <c r="AJ5" s="1901"/>
      <c r="AK5" s="1901"/>
      <c r="AL5" s="1901"/>
      <c r="AM5" s="1901"/>
      <c r="AN5" s="1901"/>
      <c r="AO5" s="1901"/>
      <c r="AP5" s="1902"/>
      <c r="AQ5" s="1903"/>
      <c r="AR5" s="1903"/>
      <c r="AS5" s="1903"/>
      <c r="AT5" s="1903"/>
      <c r="AU5" s="1903"/>
      <c r="AV5" s="1208"/>
      <c r="AW5" s="1208"/>
      <c r="AX5" s="1884" t="s">
        <v>2598</v>
      </c>
      <c r="AY5" s="1885"/>
      <c r="AZ5" s="1885"/>
      <c r="BA5" s="1886"/>
      <c r="BB5" s="1210">
        <f t="array" ref="BB5">ROUNDDOWN(SUM(IF((B19:I27&gt;0%)*(B19:I27&lt;=50%),J19:O27,0))/J29,2)</f>
        <v>0.26</v>
      </c>
      <c r="BC5" s="1211"/>
      <c r="BD5" s="1211"/>
      <c r="BE5" s="1212"/>
    </row>
    <row r="6" spans="1:65" ht="15.75" customHeight="1" thickBot="1">
      <c r="A6" s="1207"/>
      <c r="B6" s="1209" t="s">
        <v>2387</v>
      </c>
      <c r="C6" s="1208"/>
      <c r="D6" s="1208"/>
      <c r="E6" s="1208"/>
      <c r="F6" s="1208"/>
      <c r="G6" s="1208"/>
      <c r="H6" s="1208"/>
      <c r="I6" s="1208"/>
      <c r="J6" s="1208"/>
      <c r="K6" s="1208"/>
      <c r="L6" s="1887" t="str">
        <f>IF(Application!H16="","",Application!H16)</f>
        <v>951 Old County LP</v>
      </c>
      <c r="M6" s="1888"/>
      <c r="N6" s="1888"/>
      <c r="O6" s="1888"/>
      <c r="P6" s="1888"/>
      <c r="Q6" s="1888"/>
      <c r="R6" s="1888"/>
      <c r="S6" s="1888"/>
      <c r="T6" s="1888"/>
      <c r="U6" s="1888"/>
      <c r="V6" s="1888"/>
      <c r="W6" s="1888"/>
      <c r="X6" s="1888"/>
      <c r="Y6" s="1888"/>
      <c r="Z6" s="1888"/>
      <c r="AA6" s="1888"/>
      <c r="AB6" s="1888"/>
      <c r="AC6" s="1889"/>
      <c r="AD6" s="1208"/>
      <c r="AE6" s="1208"/>
      <c r="AF6" s="1890" t="s">
        <v>2386</v>
      </c>
      <c r="AG6" s="1890"/>
      <c r="AH6" s="1890"/>
      <c r="AI6" s="1890"/>
      <c r="AJ6" s="1890"/>
      <c r="AK6" s="1890"/>
      <c r="AL6" s="1890"/>
      <c r="AM6" s="1890"/>
      <c r="AN6" s="1890"/>
      <c r="AO6" s="1890"/>
      <c r="AP6" s="1891"/>
      <c r="AQ6" s="1891"/>
      <c r="AR6" s="1891"/>
      <c r="AS6" s="1891"/>
      <c r="AT6" s="1891"/>
      <c r="AU6" s="1891"/>
      <c r="AV6" s="1208"/>
      <c r="AW6" s="1208"/>
      <c r="AX6" s="1884" t="s">
        <v>2599</v>
      </c>
      <c r="AY6" s="1885"/>
      <c r="AZ6" s="1885"/>
      <c r="BA6" s="1886"/>
      <c r="BB6" s="1210">
        <f t="array" ref="BB6">ROUNDDOWN(SUM(IF((B19:I27&gt;60%)*(B19:I27&lt;=80%),J19:O27,0))/J29,2)</f>
        <v>0.56999999999999995</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2385</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ht="1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2384</v>
      </c>
      <c r="AG8" s="1890"/>
      <c r="AH8" s="1890"/>
      <c r="AI8" s="1890"/>
      <c r="AJ8" s="1890"/>
      <c r="AK8" s="1890"/>
      <c r="AL8" s="1890"/>
      <c r="AM8" s="1890"/>
      <c r="AN8" s="1890"/>
      <c r="AO8" s="1890"/>
      <c r="AP8" s="1891" t="s">
        <v>2055</v>
      </c>
      <c r="AQ8" s="1891"/>
      <c r="AR8" s="1891"/>
      <c r="AS8" s="1891"/>
      <c r="AT8" s="1891"/>
      <c r="AU8" s="1891"/>
      <c r="AV8" s="1208"/>
      <c r="AW8" s="1208"/>
      <c r="AX8" s="1208"/>
      <c r="AY8" s="1208"/>
      <c r="AZ8" s="1208"/>
      <c r="BA8" s="1208"/>
      <c r="BB8" s="1208"/>
      <c r="BC8" s="1208"/>
      <c r="BD8" s="1208"/>
      <c r="BE8" s="1213"/>
      <c r="BM8" s="1204" t="s">
        <v>1957</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2383</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2382</v>
      </c>
    </row>
    <row r="10" spans="1:65" ht="14.5">
      <c r="A10" s="1207"/>
      <c r="B10" s="1209" t="s">
        <v>2381</v>
      </c>
      <c r="C10" s="1209"/>
      <c r="D10" s="1209"/>
      <c r="E10" s="1209"/>
      <c r="F10" s="1209"/>
      <c r="G10" s="1209"/>
      <c r="H10" s="1209"/>
      <c r="I10" s="1209"/>
      <c r="J10" s="1209"/>
      <c r="K10" s="1209"/>
      <c r="L10" s="1209"/>
      <c r="M10" s="1208"/>
      <c r="N10" s="1919">
        <f>Application!AO635</f>
        <v>15800000</v>
      </c>
      <c r="O10" s="1919"/>
      <c r="P10" s="1919"/>
      <c r="Q10" s="1919"/>
      <c r="R10" s="1919"/>
      <c r="S10" s="1919"/>
      <c r="T10" s="1919"/>
      <c r="U10" s="1208"/>
      <c r="V10" s="1208"/>
      <c r="W10" s="1208"/>
      <c r="X10" s="1214"/>
      <c r="Y10" s="1214"/>
      <c r="Z10" s="1214"/>
      <c r="AA10" s="1214"/>
      <c r="AB10" s="1214"/>
      <c r="AC10" s="1214"/>
      <c r="AD10" s="1214"/>
      <c r="AE10" s="1214"/>
      <c r="AF10" s="1901" t="s">
        <v>2380</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2379</v>
      </c>
    </row>
    <row r="11" spans="1:65" ht="14.5">
      <c r="A11" s="1207"/>
      <c r="B11" s="1209" t="s">
        <v>2378</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2377</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2055</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ht="15" thickBot="1">
      <c r="A13" s="1208"/>
      <c r="B13" s="1907" t="s">
        <v>2375</v>
      </c>
      <c r="C13" s="1908"/>
      <c r="D13" s="1908"/>
      <c r="E13" s="1908"/>
      <c r="F13" s="1908"/>
      <c r="G13" s="1908"/>
      <c r="H13" s="1908"/>
      <c r="I13" s="1908"/>
      <c r="J13" s="1908"/>
      <c r="K13" s="1908"/>
      <c r="L13" s="1908"/>
      <c r="M13" s="1908"/>
      <c r="N13" s="1908"/>
      <c r="O13" s="1908"/>
      <c r="P13" s="1909"/>
      <c r="Q13" s="1910" t="s">
        <v>669</v>
      </c>
      <c r="R13" s="1911"/>
      <c r="S13" s="1911"/>
      <c r="T13" s="1912"/>
      <c r="U13" s="1214"/>
      <c r="V13" s="1208"/>
      <c r="W13" s="1208"/>
      <c r="X13" s="1208"/>
      <c r="Y13" s="1208"/>
      <c r="Z13" s="1208"/>
      <c r="AA13" s="1913" t="s">
        <v>2374</v>
      </c>
      <c r="AB13" s="1913"/>
      <c r="AC13" s="1913"/>
      <c r="AD13" s="1913"/>
      <c r="AE13" s="1913"/>
      <c r="AF13" s="1913"/>
      <c r="AG13" s="1913"/>
      <c r="AH13" s="1913"/>
      <c r="AI13" s="1913"/>
      <c r="AJ13" s="1913"/>
      <c r="AK13" s="1913"/>
      <c r="AL13" s="1913"/>
      <c r="AM13" s="1913"/>
      <c r="AN13" s="1913"/>
      <c r="AO13" s="1914">
        <f>Application!W481</f>
        <v>10</v>
      </c>
      <c r="AP13" s="1915"/>
      <c r="AQ13" s="1915"/>
      <c r="AR13" s="1915"/>
      <c r="AS13" s="1915"/>
      <c r="AT13" s="1214"/>
      <c r="AU13" s="1214"/>
      <c r="AV13" s="1214"/>
      <c r="AW13" s="1214"/>
      <c r="AX13" s="1214"/>
      <c r="AY13" s="1214"/>
      <c r="AZ13" s="1214"/>
      <c r="BA13" s="1214"/>
      <c r="BB13" s="1214"/>
      <c r="BC13" s="1214"/>
      <c r="BD13" s="1214"/>
      <c r="BE13" s="1215"/>
      <c r="BM13" s="1204" t="s">
        <v>2373</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2372</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ht="15" thickBot="1">
      <c r="A15" s="1208"/>
      <c r="B15" s="1920" t="s">
        <v>2371</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2370</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5" t="s">
        <v>2369</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2368</v>
      </c>
      <c r="C18" s="1929"/>
      <c r="D18" s="1929"/>
      <c r="E18" s="1929"/>
      <c r="F18" s="1929"/>
      <c r="G18" s="1929"/>
      <c r="H18" s="1929"/>
      <c r="I18" s="1930"/>
      <c r="J18" s="1931" t="s">
        <v>1575</v>
      </c>
      <c r="K18" s="1932"/>
      <c r="L18" s="1932"/>
      <c r="M18" s="1932"/>
      <c r="N18" s="1932"/>
      <c r="O18" s="1933"/>
      <c r="P18" s="1931" t="s">
        <v>324</v>
      </c>
      <c r="Q18" s="1932"/>
      <c r="R18" s="1932"/>
      <c r="S18" s="1932"/>
      <c r="T18" s="1932"/>
      <c r="U18" s="1933"/>
      <c r="V18" s="1931" t="s">
        <v>325</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2367</v>
      </c>
      <c r="AU18" s="1932"/>
      <c r="AV18" s="1932"/>
      <c r="AW18" s="1932"/>
      <c r="AX18" s="1932"/>
      <c r="AY18" s="1934"/>
      <c r="AZ18" s="1208"/>
      <c r="BA18" s="1208"/>
      <c r="BB18" s="1208"/>
      <c r="BC18" s="1208"/>
      <c r="BD18" s="1208"/>
      <c r="BE18" s="1215"/>
    </row>
    <row r="19" spans="1:58" ht="14.5">
      <c r="A19" s="1208"/>
      <c r="B19" s="1935">
        <v>0.3</v>
      </c>
      <c r="C19" s="1936"/>
      <c r="D19" s="1936"/>
      <c r="E19" s="1936"/>
      <c r="F19" s="1936"/>
      <c r="G19" s="1936"/>
      <c r="H19" s="1936"/>
      <c r="I19" s="1937"/>
      <c r="J19" s="1938">
        <f t="shared" ref="J19:J24" si="0">SUM(P19:AS19)</f>
        <v>10</v>
      </c>
      <c r="K19" s="1939"/>
      <c r="L19" s="1939"/>
      <c r="M19" s="1939"/>
      <c r="N19" s="1939"/>
      <c r="O19" s="1940"/>
      <c r="P19" s="1938" cm="1">
        <f t="array" ref="P19">SUMPRODUCT((Application!$B$726:$B$760 = 'CalHFA Addendum'!P$18)*(Application!$AC$726:$AC$760 = 'CalHFA Addendum'!$B19),Application!$G$726:$G$760)</f>
        <v>0</v>
      </c>
      <c r="Q19" s="1939"/>
      <c r="R19" s="1939"/>
      <c r="S19" s="1939"/>
      <c r="T19" s="1939"/>
      <c r="U19" s="1940"/>
      <c r="V19" s="1938" cm="1">
        <f t="array" ref="V19">SUMPRODUCT((Application!$B$726:$B$760 = 'CalHFA Addendum'!V$18)*(Application!$AC$726:$AC$760 = 'CalHFA Addendum'!$B19),Application!$G$726:$G$760)</f>
        <v>4</v>
      </c>
      <c r="W19" s="1939"/>
      <c r="X19" s="1939"/>
      <c r="Y19" s="1939"/>
      <c r="Z19" s="1939"/>
      <c r="AA19" s="1940"/>
      <c r="AB19" s="1938" cm="1">
        <f t="array" ref="AB19">SUMPRODUCT((Application!$B$726:$B$760 = 'CalHFA Addendum'!AB$18)*(Application!$AC$726:$AC$760 = 'CalHFA Addendum'!$B19),Application!$G$726:$G$760)</f>
        <v>3</v>
      </c>
      <c r="AC19" s="1939"/>
      <c r="AD19" s="1939"/>
      <c r="AE19" s="1939"/>
      <c r="AF19" s="1939"/>
      <c r="AG19" s="1940"/>
      <c r="AH19" s="1938" cm="1">
        <f t="array" ref="AH19">SUMPRODUCT((Application!$B$726:$B$760 = 'CalHFA Addendum'!AH$18)*(Application!$AC$726:$AC$760 = 'CalHFA Addendum'!$B19),Application!$G$726:$G$760)</f>
        <v>3</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0.15873015873015872</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4.5">
      <c r="A21" s="1208"/>
      <c r="B21" s="1935">
        <v>0.5</v>
      </c>
      <c r="C21" s="1936"/>
      <c r="D21" s="1936"/>
      <c r="E21" s="1936"/>
      <c r="F21" s="1936"/>
      <c r="G21" s="1936"/>
      <c r="H21" s="1936"/>
      <c r="I21" s="1937"/>
      <c r="J21" s="1938">
        <f t="shared" si="0"/>
        <v>7</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3</v>
      </c>
      <c r="W21" s="1939"/>
      <c r="X21" s="1939"/>
      <c r="Y21" s="1939"/>
      <c r="Z21" s="1939"/>
      <c r="AA21" s="1940"/>
      <c r="AB21" s="1938" cm="1">
        <f t="array" ref="AB21">SUMPRODUCT((Application!$B$726:$B$760 = 'CalHFA Addendum'!AB$18)*(Application!$AC$726:$AC$760 = 'CalHFA Addendum'!$B21),Application!$G$726:$G$760)</f>
        <v>2</v>
      </c>
      <c r="AC21" s="1939"/>
      <c r="AD21" s="1939"/>
      <c r="AE21" s="1939"/>
      <c r="AF21" s="1939"/>
      <c r="AG21" s="1940"/>
      <c r="AH21" s="1938" cm="1">
        <f t="array" ref="AH21">SUMPRODUCT((Application!$B$726:$B$760 = 'CalHFA Addendum'!AH$18)*(Application!$AC$726:$AC$760 = 'CalHFA Addendum'!$B21),Application!$G$726:$G$760)</f>
        <v>2</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0.1111111111111111</v>
      </c>
      <c r="AU21" s="1942"/>
      <c r="AV21" s="1942"/>
      <c r="AW21" s="1942"/>
      <c r="AX21" s="1942"/>
      <c r="AY21" s="1943"/>
      <c r="AZ21" s="1208"/>
      <c r="BA21" s="1208"/>
      <c r="BB21" s="1208"/>
      <c r="BC21" s="1208"/>
      <c r="BD21" s="1208"/>
      <c r="BE21" s="1215"/>
    </row>
    <row r="22" spans="1:58" ht="14.5">
      <c r="A22" s="1208"/>
      <c r="B22" s="1935">
        <v>0.6</v>
      </c>
      <c r="C22" s="1936"/>
      <c r="D22" s="1936"/>
      <c r="E22" s="1936"/>
      <c r="F22" s="1936"/>
      <c r="G22" s="1936"/>
      <c r="H22" s="1936"/>
      <c r="I22" s="1937"/>
      <c r="J22" s="1938">
        <f t="shared" si="0"/>
        <v>9</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3</v>
      </c>
      <c r="W22" s="1939"/>
      <c r="X22" s="1939"/>
      <c r="Y22" s="1939"/>
      <c r="Z22" s="1939"/>
      <c r="AA22" s="1940"/>
      <c r="AB22" s="1938" cm="1">
        <f t="array" ref="AB22">SUMPRODUCT((Application!$B$726:$B$760 = 'CalHFA Addendum'!AB$18)*(Application!$AC$726:$AC$760 = 'CalHFA Addendum'!$B22),Application!$G$726:$G$760)</f>
        <v>3</v>
      </c>
      <c r="AC22" s="1939"/>
      <c r="AD22" s="1939"/>
      <c r="AE22" s="1939"/>
      <c r="AF22" s="1939"/>
      <c r="AG22" s="1940"/>
      <c r="AH22" s="1938" cm="1">
        <f t="array" ref="AH22">SUMPRODUCT((Application!$B$726:$B$760 = 'CalHFA Addendum'!AH$18)*(Application!$AC$726:$AC$760 = 'CalHFA Addendum'!$B22),Application!$G$726:$G$760)</f>
        <v>3</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0.14285714285714285</v>
      </c>
      <c r="AU22" s="1942"/>
      <c r="AV22" s="1942"/>
      <c r="AW22" s="1942"/>
      <c r="AX22" s="1942"/>
      <c r="AY22" s="1943"/>
      <c r="AZ22" s="1208"/>
      <c r="BA22" s="1208"/>
      <c r="BB22" s="1208"/>
      <c r="BC22" s="1208"/>
      <c r="BD22" s="1208"/>
      <c r="BE22" s="1215"/>
    </row>
    <row r="23" spans="1:58" ht="14.5">
      <c r="A23" s="1208"/>
      <c r="B23" s="1935">
        <v>0.7</v>
      </c>
      <c r="C23" s="1936"/>
      <c r="D23" s="1936"/>
      <c r="E23" s="1936"/>
      <c r="F23" s="1936"/>
      <c r="G23" s="1936"/>
      <c r="H23" s="1936"/>
      <c r="I23" s="1937"/>
      <c r="J23" s="1938">
        <f t="shared" si="0"/>
        <v>36</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11</v>
      </c>
      <c r="W23" s="1939"/>
      <c r="X23" s="1939"/>
      <c r="Y23" s="1939"/>
      <c r="Z23" s="1939"/>
      <c r="AA23" s="1940"/>
      <c r="AB23" s="1938" cm="1">
        <f t="array" ref="AB23">SUMPRODUCT((Application!$B$726:$B$760 = 'CalHFA Addendum'!AB$18)*(Application!$AC$726:$AC$760 = 'CalHFA Addendum'!$B23),Application!$G$726:$G$760)</f>
        <v>13</v>
      </c>
      <c r="AC23" s="1939"/>
      <c r="AD23" s="1939"/>
      <c r="AE23" s="1939"/>
      <c r="AF23" s="1939"/>
      <c r="AG23" s="1940"/>
      <c r="AH23" s="1938" cm="1">
        <f t="array" ref="AH23">SUMPRODUCT((Application!$B$726:$B$760 = 'CalHFA Addendum'!AH$18)*(Application!$AC$726:$AC$760 = 'CalHFA Addendum'!$B23),Application!$G$726:$G$760)</f>
        <v>12</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0.5714285714285714</v>
      </c>
      <c r="AU23" s="1942"/>
      <c r="AV23" s="1942"/>
      <c r="AW23" s="1942"/>
      <c r="AX23" s="1942"/>
      <c r="AY23" s="1943"/>
      <c r="AZ23" s="1208"/>
      <c r="BA23" s="1208"/>
      <c r="BB23" s="1208"/>
      <c r="BC23" s="1208"/>
      <c r="BD23" s="1208"/>
      <c r="BE23" s="1215"/>
    </row>
    <row r="24" spans="1:58" ht="14.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4.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4.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4.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ht="15" thickBot="1">
      <c r="A28" s="1208"/>
      <c r="B28" s="1947" t="s">
        <v>2366</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0</v>
      </c>
      <c r="AC28" s="1951"/>
      <c r="AD28" s="1951"/>
      <c r="AE28" s="1951"/>
      <c r="AF28" s="1951"/>
      <c r="AG28" s="1952"/>
      <c r="AH28" s="1950">
        <f>_xlfn.IFNA(VLOOKUP(AH$18,Application!$J$781:$S$784,6,FALSE), 0)</f>
        <v>1</v>
      </c>
      <c r="AI28" s="1951"/>
      <c r="AJ28" s="1951"/>
      <c r="AK28" s="1951"/>
      <c r="AL28" s="1951"/>
      <c r="AM28" s="1952"/>
      <c r="AN28" s="1950">
        <f>_xlfn.IFNA(VLOOKUP(AN$18,Application!$J$781:$S$784,6,FALSE), 0)</f>
        <v>0</v>
      </c>
      <c r="AO28" s="1951"/>
      <c r="AP28" s="1951"/>
      <c r="AQ28" s="1951"/>
      <c r="AR28" s="1951"/>
      <c r="AS28" s="1952"/>
      <c r="AT28" s="1953">
        <f t="shared" si="1"/>
        <v>1.5873015873015872E-2</v>
      </c>
      <c r="AU28" s="1954"/>
      <c r="AV28" s="1954"/>
      <c r="AW28" s="1954"/>
      <c r="AX28" s="1954"/>
      <c r="AY28" s="1955"/>
      <c r="AZ28" s="1208"/>
      <c r="BA28" s="1208"/>
      <c r="BB28" s="1208"/>
      <c r="BC28" s="1208"/>
      <c r="BD28" s="1208"/>
      <c r="BE28" s="1215"/>
    </row>
    <row r="29" spans="1:58" ht="15" thickBot="1">
      <c r="A29" s="1208"/>
      <c r="B29" s="1984" t="s">
        <v>1575</v>
      </c>
      <c r="C29" s="1957"/>
      <c r="D29" s="1957"/>
      <c r="E29" s="1957"/>
      <c r="F29" s="1957"/>
      <c r="G29" s="1957"/>
      <c r="H29" s="1957"/>
      <c r="I29" s="1958"/>
      <c r="J29" s="1956">
        <f>SUM(J19:O28)</f>
        <v>63</v>
      </c>
      <c r="K29" s="1957"/>
      <c r="L29" s="1957"/>
      <c r="M29" s="1957"/>
      <c r="N29" s="1957"/>
      <c r="O29" s="1958"/>
      <c r="P29" s="1956">
        <f>SUM(P19:U28)</f>
        <v>0</v>
      </c>
      <c r="Q29" s="1957"/>
      <c r="R29" s="1957"/>
      <c r="S29" s="1957"/>
      <c r="T29" s="1957"/>
      <c r="U29" s="1958"/>
      <c r="V29" s="1956">
        <f>SUM(V19:AA28)</f>
        <v>21</v>
      </c>
      <c r="W29" s="1957"/>
      <c r="X29" s="1957"/>
      <c r="Y29" s="1957"/>
      <c r="Z29" s="1957"/>
      <c r="AA29" s="1958"/>
      <c r="AB29" s="1956">
        <f>SUM(AB19:AG28)</f>
        <v>21</v>
      </c>
      <c r="AC29" s="1957"/>
      <c r="AD29" s="1957"/>
      <c r="AE29" s="1957"/>
      <c r="AF29" s="1957"/>
      <c r="AG29" s="1958"/>
      <c r="AH29" s="1956">
        <f>SUM(AH19:AM28)</f>
        <v>21</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62" t="s">
        <v>2365</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ht="15" thickBot="1">
      <c r="A32" s="1208"/>
      <c r="B32" s="1965" t="s">
        <v>2364</v>
      </c>
      <c r="C32" s="1966"/>
      <c r="D32" s="1966"/>
      <c r="E32" s="1966"/>
      <c r="F32" s="1966"/>
      <c r="G32" s="1966"/>
      <c r="H32" s="1966"/>
      <c r="I32" s="1966"/>
      <c r="J32" s="1969" t="s">
        <v>2363</v>
      </c>
      <c r="K32" s="1970"/>
      <c r="L32" s="1970"/>
      <c r="M32" s="1970"/>
      <c r="N32" s="1969" t="s">
        <v>2362</v>
      </c>
      <c r="O32" s="1970"/>
      <c r="P32" s="1970"/>
      <c r="Q32" s="1972"/>
      <c r="R32" s="1974" t="s">
        <v>2361</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2360</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2359</v>
      </c>
      <c r="AT35" s="1986"/>
      <c r="AU35" s="1986"/>
      <c r="AV35" s="1986"/>
      <c r="AW35" s="1986"/>
      <c r="AX35" s="1994"/>
      <c r="AY35" s="1985" t="s">
        <v>2358</v>
      </c>
      <c r="AZ35" s="1986"/>
      <c r="BA35" s="1986"/>
      <c r="BB35" s="1986"/>
      <c r="BC35" s="1986"/>
      <c r="BD35" s="1987"/>
      <c r="BE35" s="1215"/>
    </row>
    <row r="36" spans="1:58" ht="15.75" customHeight="1">
      <c r="A36" s="1208"/>
      <c r="B36" s="2004" t="s">
        <v>2357</v>
      </c>
      <c r="C36" s="2005"/>
      <c r="D36" s="2005"/>
      <c r="E36" s="2005"/>
      <c r="F36" s="2005"/>
      <c r="G36" s="2005"/>
      <c r="H36" s="2005"/>
      <c r="I36" s="2005"/>
      <c r="J36" s="2006" t="s">
        <v>2356</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2355</v>
      </c>
      <c r="C37" s="2005"/>
      <c r="D37" s="2005"/>
      <c r="E37" s="2005"/>
      <c r="F37" s="2005"/>
      <c r="G37" s="2005"/>
      <c r="H37" s="2005"/>
      <c r="I37" s="2005"/>
      <c r="J37" s="2006" t="s">
        <v>2354</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2353</v>
      </c>
      <c r="C38" s="2005"/>
      <c r="D38" s="2005"/>
      <c r="E38" s="2005"/>
      <c r="F38" s="2005"/>
      <c r="G38" s="2005"/>
      <c r="H38" s="2005"/>
      <c r="I38" s="2005"/>
      <c r="J38" s="2006" t="s">
        <v>2352</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2351</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2351</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2350</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2350</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2349</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2348</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2347</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2279</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300</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2344</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2337</v>
      </c>
      <c r="C51" s="2024"/>
      <c r="D51" s="2024"/>
      <c r="E51" s="2024"/>
      <c r="F51" s="2024"/>
      <c r="G51" s="2024"/>
      <c r="H51" s="2024"/>
      <c r="I51" s="2024"/>
      <c r="J51" s="2024" t="s">
        <v>2343</v>
      </c>
      <c r="K51" s="2024"/>
      <c r="L51" s="2024"/>
      <c r="M51" s="2024"/>
      <c r="N51" s="2024"/>
      <c r="O51" s="2024"/>
      <c r="P51" s="2024"/>
      <c r="Q51" s="2024"/>
      <c r="R51" s="2025" t="s">
        <v>2342</v>
      </c>
      <c r="S51" s="2025"/>
      <c r="T51" s="2025"/>
      <c r="U51" s="2025"/>
      <c r="V51" s="2025"/>
      <c r="W51" s="2025"/>
      <c r="X51" s="2025"/>
      <c r="Y51" s="2025"/>
      <c r="Z51" s="2025" t="s">
        <v>2341</v>
      </c>
      <c r="AA51" s="2025"/>
      <c r="AB51" s="2025"/>
      <c r="AC51" s="2025"/>
      <c r="AD51" s="2025"/>
      <c r="AE51" s="2025"/>
      <c r="AF51" s="2025"/>
      <c r="AG51" s="2025"/>
      <c r="AH51" s="2025" t="s">
        <v>2340</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2339</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2338</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1575</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2337</v>
      </c>
      <c r="C59" s="2033"/>
      <c r="D59" s="2033"/>
      <c r="E59" s="2033"/>
      <c r="F59" s="2033"/>
      <c r="G59" s="2033"/>
      <c r="H59" s="2033"/>
      <c r="I59" s="2034"/>
      <c r="J59" s="1926" t="s">
        <v>2336</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2334</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2333</v>
      </c>
      <c r="AD68" s="2068"/>
      <c r="AE68" s="2068"/>
      <c r="AF68" s="2068"/>
      <c r="AG68" s="2068"/>
      <c r="AH68" s="2068"/>
      <c r="AI68" s="2068"/>
      <c r="AJ68" s="2068"/>
      <c r="AK68" s="2068"/>
      <c r="AL68" s="2068"/>
      <c r="AM68" s="2068"/>
      <c r="AN68" s="2068"/>
      <c r="AO68" s="2068"/>
      <c r="AP68" s="2068"/>
      <c r="AQ68" s="2068"/>
      <c r="AR68" s="2068"/>
      <c r="AS68" s="2068"/>
      <c r="AT68" s="2068"/>
      <c r="AU68" s="2068"/>
      <c r="AV68" s="2047" t="s">
        <v>669</v>
      </c>
      <c r="AW68" s="2048"/>
      <c r="AX68" s="2048"/>
      <c r="AY68" s="2048"/>
      <c r="AZ68" s="2048"/>
      <c r="BA68" s="2048"/>
      <c r="BB68" s="2048"/>
      <c r="BC68" s="2049"/>
      <c r="BD68" s="1208"/>
      <c r="BE68" s="1215"/>
      <c r="BM68" s="1221" t="s">
        <v>2332</v>
      </c>
    </row>
    <row r="69" spans="1:94" ht="15.75" customHeight="1" thickTop="1" thickBot="1">
      <c r="A69" s="1208"/>
      <c r="B69" s="2050" t="s">
        <v>2331</v>
      </c>
      <c r="C69" s="2051"/>
      <c r="D69" s="2051"/>
      <c r="E69" s="2051"/>
      <c r="F69" s="2051"/>
      <c r="G69" s="2051"/>
      <c r="H69" s="2051"/>
      <c r="I69" s="2051"/>
      <c r="J69" s="2051"/>
      <c r="K69" s="2051"/>
      <c r="L69" s="2051"/>
      <c r="M69" s="2051"/>
      <c r="N69" s="2051"/>
      <c r="O69" s="1898" t="s">
        <v>2330</v>
      </c>
      <c r="P69" s="1899"/>
      <c r="Q69" s="1899"/>
      <c r="R69" s="1899"/>
      <c r="S69" s="1899"/>
      <c r="T69" s="1899"/>
      <c r="U69" s="1899"/>
      <c r="V69" s="1899"/>
      <c r="W69" s="1899"/>
      <c r="X69" s="1899"/>
      <c r="Y69" s="1899"/>
      <c r="Z69" s="1899"/>
      <c r="AA69" s="2052"/>
      <c r="AB69" s="1208"/>
      <c r="AC69" s="2053" t="s">
        <v>2329</v>
      </c>
      <c r="AD69" s="2054"/>
      <c r="AE69" s="2054"/>
      <c r="AF69" s="2054"/>
      <c r="AG69" s="2054"/>
      <c r="AH69" s="2054"/>
      <c r="AI69" s="2054"/>
      <c r="AJ69" s="2054"/>
      <c r="AK69" s="2054"/>
      <c r="AL69" s="2054"/>
      <c r="AM69" s="2054"/>
      <c r="AN69" s="2054"/>
      <c r="AO69" s="2054"/>
      <c r="AP69" s="2054"/>
      <c r="AQ69" s="2054"/>
      <c r="AR69" s="2054"/>
      <c r="AS69" s="2054"/>
      <c r="AT69" s="2054"/>
      <c r="AU69" s="2054"/>
      <c r="AV69" s="2047" t="s">
        <v>669</v>
      </c>
      <c r="AW69" s="2048"/>
      <c r="AX69" s="2048"/>
      <c r="AY69" s="2048"/>
      <c r="AZ69" s="2048"/>
      <c r="BA69" s="2048"/>
      <c r="BB69" s="2048"/>
      <c r="BC69" s="2049"/>
      <c r="BD69" s="1208"/>
      <c r="BE69" s="1215"/>
      <c r="BM69" s="1222" t="s">
        <v>545</v>
      </c>
    </row>
    <row r="70" spans="1:94" ht="15.75" customHeight="1">
      <c r="A70" s="1208"/>
      <c r="B70" s="2004" t="s">
        <v>2328</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2327</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669</v>
      </c>
    </row>
    <row r="71" spans="1:94" ht="15.75" customHeight="1" thickBot="1">
      <c r="A71" s="1208"/>
      <c r="B71" s="2004" t="s">
        <v>2326</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2325</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2324</v>
      </c>
    </row>
    <row r="72" spans="1:94" ht="15.75" customHeight="1">
      <c r="A72" s="1208"/>
      <c r="B72" s="2004" t="s">
        <v>2323</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2322</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2321</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2274</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2319</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2625</v>
      </c>
      <c r="AK81" s="2089"/>
      <c r="AL81" s="2089"/>
      <c r="AM81" s="2089"/>
      <c r="AN81" s="2089"/>
      <c r="AO81" s="2089"/>
      <c r="AP81" s="2089"/>
      <c r="AQ81" s="2089"/>
      <c r="AR81" s="2089"/>
      <c r="AS81" s="2089"/>
      <c r="AT81" s="2089"/>
      <c r="AU81" s="2089"/>
      <c r="AV81" s="2089"/>
      <c r="AW81" s="2089"/>
      <c r="AX81" s="2089"/>
      <c r="AY81" s="2092" t="s">
        <v>545</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2313</v>
      </c>
      <c r="J82" s="2024"/>
      <c r="K82" s="2024"/>
      <c r="L82" s="2024"/>
      <c r="M82" s="2024"/>
      <c r="N82" s="2024"/>
      <c r="O82" s="2024" t="s">
        <v>2290</v>
      </c>
      <c r="P82" s="2024"/>
      <c r="Q82" s="2024"/>
      <c r="R82" s="2024"/>
      <c r="S82" s="2024"/>
      <c r="T82" s="2024"/>
      <c r="U82" s="2024"/>
      <c r="V82" s="2096" t="s">
        <v>2289</v>
      </c>
      <c r="W82" s="2096"/>
      <c r="X82" s="2096"/>
      <c r="Y82" s="2096"/>
      <c r="Z82" s="2096"/>
      <c r="AA82" s="2096"/>
      <c r="AB82" s="2097" t="s">
        <v>2312</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2311</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2310</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2316</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2309</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2317</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2626</v>
      </c>
      <c r="AK92" s="2089"/>
      <c r="AL92" s="2089"/>
      <c r="AM92" s="2089"/>
      <c r="AN92" s="2089"/>
      <c r="AO92" s="2089"/>
      <c r="AP92" s="2089"/>
      <c r="AQ92" s="2089"/>
      <c r="AR92" s="2089"/>
      <c r="AS92" s="2089"/>
      <c r="AT92" s="2089"/>
      <c r="AU92" s="2089"/>
      <c r="AV92" s="2089"/>
      <c r="AW92" s="2089"/>
      <c r="AX92" s="2089"/>
      <c r="AY92" s="2092" t="s">
        <v>545</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2313</v>
      </c>
      <c r="J93" s="2024"/>
      <c r="K93" s="2024"/>
      <c r="L93" s="2024"/>
      <c r="M93" s="2024"/>
      <c r="N93" s="2024"/>
      <c r="O93" s="2024" t="s">
        <v>2290</v>
      </c>
      <c r="P93" s="2024"/>
      <c r="Q93" s="2024"/>
      <c r="R93" s="2024"/>
      <c r="S93" s="2024"/>
      <c r="T93" s="2024"/>
      <c r="U93" s="2024"/>
      <c r="V93" s="2096" t="s">
        <v>2289</v>
      </c>
      <c r="W93" s="2096"/>
      <c r="X93" s="2096"/>
      <c r="Y93" s="2096"/>
      <c r="Z93" s="2096"/>
      <c r="AA93" s="2096"/>
      <c r="AB93" s="2097" t="s">
        <v>2312</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2311</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2310</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2316</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2309</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2314</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2313</v>
      </c>
      <c r="J103" s="2024"/>
      <c r="K103" s="2024"/>
      <c r="L103" s="2024"/>
      <c r="M103" s="2024"/>
      <c r="N103" s="2024"/>
      <c r="O103" s="2024" t="s">
        <v>2290</v>
      </c>
      <c r="P103" s="2024"/>
      <c r="Q103" s="2024"/>
      <c r="R103" s="2024"/>
      <c r="S103" s="2024"/>
      <c r="T103" s="2024"/>
      <c r="U103" s="2024"/>
      <c r="V103" s="2096" t="s">
        <v>2289</v>
      </c>
      <c r="W103" s="2096"/>
      <c r="X103" s="2096"/>
      <c r="Y103" s="2096"/>
      <c r="Z103" s="2096"/>
      <c r="AA103" s="2096"/>
      <c r="AB103" s="2097" t="s">
        <v>2312</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2311</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2310</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2309</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2627</v>
      </c>
      <c r="C112" s="2108"/>
      <c r="D112" s="2108"/>
      <c r="E112" s="2108"/>
      <c r="F112" s="2108"/>
      <c r="G112" s="2108"/>
      <c r="H112" s="2108"/>
      <c r="I112" s="2108"/>
      <c r="J112" s="2108"/>
      <c r="K112" s="2108"/>
      <c r="L112" s="2108"/>
      <c r="M112" s="2108"/>
      <c r="N112" s="2108"/>
      <c r="O112" s="2108"/>
      <c r="P112" s="2108"/>
      <c r="Q112" s="2108"/>
      <c r="R112" s="2108"/>
      <c r="S112" s="2108"/>
      <c r="T112" s="2108"/>
      <c r="U112" s="2111" t="s">
        <v>545</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2627</v>
      </c>
      <c r="C116" s="2116"/>
      <c r="D116" s="2116"/>
      <c r="E116" s="2116"/>
      <c r="F116" s="2116"/>
      <c r="G116" s="2116"/>
      <c r="H116" s="2116"/>
      <c r="I116" s="2116"/>
      <c r="J116" s="2116"/>
      <c r="K116" s="2116"/>
      <c r="L116" s="2116"/>
      <c r="M116" s="2116"/>
      <c r="N116" s="2116"/>
      <c r="O116" s="2116"/>
      <c r="P116" s="2116"/>
      <c r="Q116" s="2116"/>
      <c r="R116" s="2116"/>
      <c r="S116" s="2116"/>
      <c r="T116" s="2116"/>
      <c r="U116" s="2119" t="s">
        <v>545</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2306</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1566</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2305</v>
      </c>
      <c r="J122" s="2024"/>
      <c r="K122" s="2024"/>
      <c r="L122" s="2024"/>
      <c r="M122" s="2024"/>
      <c r="N122" s="2024"/>
      <c r="O122" s="2153" t="s">
        <v>2304</v>
      </c>
      <c r="P122" s="2153"/>
      <c r="Q122" s="2153"/>
      <c r="R122" s="2153"/>
      <c r="S122" s="2153"/>
      <c r="T122" s="2153"/>
      <c r="U122" s="2154"/>
      <c r="V122" s="1208"/>
      <c r="W122" s="1208"/>
      <c r="X122" s="2071" t="s">
        <v>2274</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2288</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2287</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2302</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2290</v>
      </c>
      <c r="J129" s="2151"/>
      <c r="K129" s="2151"/>
      <c r="L129" s="2151"/>
      <c r="M129" s="2151"/>
      <c r="N129" s="2151"/>
      <c r="O129" s="2151"/>
      <c r="P129" s="2151" t="s">
        <v>2289</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2288</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2287</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2301</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545</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2300</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2299</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545</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2298</v>
      </c>
      <c r="C137" s="2138"/>
      <c r="D137" s="2138"/>
      <c r="E137" s="2138"/>
      <c r="F137" s="2138"/>
      <c r="G137" s="2138"/>
      <c r="H137" s="2138"/>
      <c r="I137" s="2138"/>
      <c r="J137" s="2138"/>
      <c r="K137" s="2138"/>
      <c r="L137" s="2138"/>
      <c r="M137" s="2138"/>
      <c r="N137" s="2138"/>
      <c r="O137" s="2138"/>
      <c r="P137" s="2138"/>
      <c r="Q137" s="2138"/>
      <c r="R137" s="2139" t="s">
        <v>2297</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250</v>
      </c>
      <c r="BD137" s="1208"/>
      <c r="BE137" s="1215"/>
    </row>
    <row r="138" spans="1:57" ht="15.75" customHeight="1">
      <c r="A138" s="1208"/>
      <c r="B138" s="2141" t="s">
        <v>2296</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2293</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2292</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2290</v>
      </c>
      <c r="J152" s="2151"/>
      <c r="K152" s="2151"/>
      <c r="L152" s="2151"/>
      <c r="M152" s="2151"/>
      <c r="N152" s="2151"/>
      <c r="O152" s="2151"/>
      <c r="P152" s="2151" t="s">
        <v>2291</v>
      </c>
      <c r="Q152" s="2151"/>
      <c r="R152" s="2151"/>
      <c r="S152" s="2151"/>
      <c r="T152" s="2151"/>
      <c r="U152" s="2152"/>
      <c r="V152" s="1208"/>
      <c r="W152" s="1208"/>
      <c r="X152" s="2149"/>
      <c r="Y152" s="2150"/>
      <c r="Z152" s="2150"/>
      <c r="AA152" s="2150"/>
      <c r="AB152" s="2150"/>
      <c r="AC152" s="2150"/>
      <c r="AD152" s="2150"/>
      <c r="AE152" s="2151" t="s">
        <v>2290</v>
      </c>
      <c r="AF152" s="2151"/>
      <c r="AG152" s="2151"/>
      <c r="AH152" s="2151"/>
      <c r="AI152" s="2151"/>
      <c r="AJ152" s="2151"/>
      <c r="AK152" s="2151"/>
      <c r="AL152" s="2151" t="s">
        <v>2289</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2288</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2288</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2287</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2286</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2271</v>
      </c>
      <c r="D158" s="2150"/>
      <c r="E158" s="2150"/>
      <c r="F158" s="2150"/>
      <c r="G158" s="2150"/>
      <c r="H158" s="2150"/>
      <c r="I158" s="2150"/>
      <c r="J158" s="2150"/>
      <c r="K158" s="2150"/>
      <c r="L158" s="2150"/>
      <c r="M158" s="2150"/>
      <c r="N158" s="2150"/>
      <c r="O158" s="2150"/>
      <c r="P158" s="2150"/>
      <c r="Q158" s="2150" t="s">
        <v>2285</v>
      </c>
      <c r="R158" s="2150"/>
      <c r="S158" s="2150"/>
      <c r="T158" s="2097" t="s">
        <v>2284</v>
      </c>
      <c r="U158" s="2097"/>
      <c r="V158" s="2097"/>
      <c r="W158" s="2097"/>
      <c r="X158" s="2097"/>
      <c r="Y158" s="2097"/>
      <c r="Z158" s="2097"/>
      <c r="AA158" s="2097"/>
      <c r="AB158" s="2150" t="s">
        <v>2283</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2282</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2281</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2280</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2279</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170</v>
      </c>
      <c r="D163" s="2156"/>
      <c r="E163" s="2156"/>
      <c r="F163" s="2163" t="s">
        <v>2260</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170</v>
      </c>
      <c r="D164" s="2156"/>
      <c r="E164" s="2156"/>
      <c r="F164" s="2163" t="s">
        <v>2260</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170</v>
      </c>
      <c r="D165" s="2165"/>
      <c r="E165" s="2165"/>
      <c r="F165" s="2166" t="s">
        <v>2260</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2278</v>
      </c>
      <c r="D167" s="2068"/>
      <c r="E167" s="2068"/>
      <c r="F167" s="2068"/>
      <c r="G167" s="2068"/>
      <c r="H167" s="2068"/>
      <c r="I167" s="2068"/>
      <c r="J167" s="2068"/>
      <c r="K167" s="2068"/>
      <c r="L167" s="2068"/>
      <c r="M167" s="2068"/>
      <c r="N167" s="2106"/>
      <c r="O167" s="1208"/>
      <c r="P167" s="2171" t="s">
        <v>2277</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2276</v>
      </c>
      <c r="D168" s="2150"/>
      <c r="E168" s="2150"/>
      <c r="F168" s="2150"/>
      <c r="G168" s="2150"/>
      <c r="H168" s="2150"/>
      <c r="I168" s="2150" t="s">
        <v>2275</v>
      </c>
      <c r="J168" s="2150"/>
      <c r="K168" s="2150"/>
      <c r="L168" s="2150"/>
      <c r="M168" s="2150"/>
      <c r="N168" s="2160"/>
      <c r="O168" s="1208"/>
      <c r="P168" s="2071" t="s">
        <v>2274</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2273</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2271</v>
      </c>
      <c r="D179" s="2068"/>
      <c r="E179" s="2068"/>
      <c r="F179" s="2068"/>
      <c r="G179" s="2068"/>
      <c r="H179" s="2068"/>
      <c r="I179" s="2068"/>
      <c r="J179" s="2068"/>
      <c r="K179" s="2068"/>
      <c r="L179" s="2068"/>
      <c r="M179" s="2068"/>
      <c r="N179" s="2068" t="s">
        <v>2272</v>
      </c>
      <c r="O179" s="2068"/>
      <c r="P179" s="2068"/>
      <c r="Q179" s="2068"/>
      <c r="R179" s="2068"/>
      <c r="S179" s="2068"/>
      <c r="T179" s="2068"/>
      <c r="U179" s="2021" t="s">
        <v>2271</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2270</v>
      </c>
      <c r="D180" s="2180"/>
      <c r="E180" s="2180"/>
      <c r="F180" s="2180"/>
      <c r="G180" s="2180"/>
      <c r="H180" s="2180"/>
      <c r="I180" s="2180"/>
      <c r="J180" s="2180"/>
      <c r="K180" s="2180"/>
      <c r="L180" s="2180"/>
      <c r="M180" s="2180"/>
      <c r="N180" s="2181">
        <f>'Sources and Uses Budget'!B105</f>
        <v>55046230</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2269</v>
      </c>
      <c r="D181" s="2180"/>
      <c r="E181" s="2180"/>
      <c r="F181" s="2180"/>
      <c r="G181" s="2180"/>
      <c r="H181" s="2180"/>
      <c r="I181" s="2180"/>
      <c r="J181" s="2180"/>
      <c r="K181" s="2180"/>
      <c r="L181" s="2180"/>
      <c r="M181" s="2180"/>
      <c r="N181" s="2181">
        <f>N180/J29</f>
        <v>873749.68253968249</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2268</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2267</v>
      </c>
      <c r="D183" s="2180"/>
      <c r="E183" s="2180"/>
      <c r="F183" s="2180"/>
      <c r="G183" s="2180"/>
      <c r="H183" s="2180"/>
      <c r="I183" s="2180"/>
      <c r="J183" s="2180"/>
      <c r="K183" s="2180"/>
      <c r="L183" s="2180"/>
      <c r="M183" s="2180"/>
      <c r="N183" s="2197">
        <f>SUM('Sources and Uses Budget'!B85:B86)</f>
        <v>2205000</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2266</v>
      </c>
      <c r="D184" s="2180"/>
      <c r="E184" s="2180"/>
      <c r="F184" s="2180"/>
      <c r="G184" s="2180"/>
      <c r="H184" s="2180"/>
      <c r="I184" s="2180"/>
      <c r="J184" s="2180"/>
      <c r="K184" s="2180"/>
      <c r="L184" s="2180"/>
      <c r="M184" s="2180"/>
      <c r="N184" s="2197">
        <f>'Sources and Uses Budget'!B8</f>
        <v>5100000</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2264</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2265</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2264</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2263</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2262</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300</v>
      </c>
      <c r="D187" s="2157"/>
      <c r="E187" s="2210" t="s">
        <v>2260</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2261</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300</v>
      </c>
      <c r="D188" s="2027"/>
      <c r="E188" s="2210" t="s">
        <v>2260</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300</v>
      </c>
      <c r="D189" s="2236"/>
      <c r="E189" s="2237" t="s">
        <v>2260</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2259</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2258</v>
      </c>
      <c r="D190" s="2219"/>
      <c r="E190" s="2219"/>
      <c r="F190" s="2219"/>
      <c r="G190" s="2219"/>
      <c r="H190" s="2219"/>
      <c r="I190" s="2219"/>
      <c r="J190" s="2219"/>
      <c r="K190" s="2219"/>
      <c r="L190" s="2219"/>
      <c r="M190" s="2219"/>
      <c r="N190" s="2220">
        <f>SUM(N182:T189)</f>
        <v>7305000</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2257</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2256</v>
      </c>
      <c r="D191" s="2229"/>
      <c r="E191" s="2229"/>
      <c r="F191" s="2229"/>
      <c r="G191" s="2229"/>
      <c r="H191" s="2229"/>
      <c r="I191" s="2229"/>
      <c r="J191" s="2229"/>
      <c r="K191" s="2229"/>
      <c r="L191" s="2229"/>
      <c r="M191" s="2229"/>
      <c r="N191" s="2230">
        <f>(N180-N190)/J29</f>
        <v>757797.30158730154</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2255</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2254</v>
      </c>
      <c r="D195" s="2255"/>
      <c r="E195" s="2255"/>
      <c r="F195" s="2255"/>
      <c r="G195" s="2255"/>
      <c r="H195" s="2255"/>
      <c r="I195" s="2255"/>
      <c r="J195" s="2255"/>
      <c r="K195" s="2255"/>
      <c r="L195" s="2255"/>
      <c r="M195" s="2255"/>
      <c r="N195" s="2255"/>
      <c r="O195" s="2256" t="s">
        <v>2253</v>
      </c>
      <c r="P195" s="2256"/>
      <c r="Q195" s="2256"/>
      <c r="R195" s="2256"/>
      <c r="S195" s="2256"/>
      <c r="T195" s="2256"/>
      <c r="U195" s="2256"/>
      <c r="V195" s="2256"/>
      <c r="W195" s="2256"/>
      <c r="X195" s="2256" t="s">
        <v>2252</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2251</v>
      </c>
      <c r="D196" s="2247"/>
      <c r="E196" s="2247"/>
      <c r="F196" s="2247"/>
      <c r="G196" s="2247"/>
      <c r="H196" s="2247"/>
      <c r="I196" s="2247"/>
      <c r="J196" s="2247"/>
      <c r="K196" s="2247"/>
      <c r="L196" s="2247"/>
      <c r="M196" s="2247"/>
      <c r="N196" s="2247"/>
      <c r="O196" s="2248" t="s">
        <v>2250</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854</v>
      </c>
      <c r="D197" s="2247"/>
      <c r="E197" s="2247"/>
      <c r="F197" s="2247"/>
      <c r="G197" s="2247"/>
      <c r="H197" s="2247"/>
      <c r="I197" s="2247"/>
      <c r="J197" s="2247"/>
      <c r="K197" s="2247"/>
      <c r="L197" s="2247"/>
      <c r="M197" s="2247"/>
      <c r="N197" s="2247"/>
      <c r="O197" s="2248" t="s">
        <v>2250</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2249</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2248</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2247</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2246</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2245</v>
      </c>
      <c r="D202" s="2262"/>
      <c r="E202" s="2262"/>
      <c r="F202" s="2263"/>
      <c r="G202" s="2267" t="s">
        <v>2244</v>
      </c>
      <c r="H202" s="2262"/>
      <c r="I202" s="2262"/>
      <c r="J202" s="2262"/>
      <c r="K202" s="2262"/>
      <c r="L202" s="2262"/>
      <c r="M202" s="2262"/>
      <c r="N202" s="2262"/>
      <c r="O202" s="2263"/>
      <c r="P202" s="2269" t="s">
        <v>2243</v>
      </c>
      <c r="Q202" s="2270"/>
      <c r="R202" s="2270"/>
      <c r="S202" s="2270"/>
      <c r="T202" s="2271"/>
      <c r="U202" s="2275" t="s">
        <v>2242</v>
      </c>
      <c r="V202" s="2276"/>
      <c r="W202" s="2276"/>
      <c r="X202" s="2277"/>
      <c r="Y202" s="2275" t="s">
        <v>2241</v>
      </c>
      <c r="Z202" s="2276"/>
      <c r="AA202" s="2276"/>
      <c r="AB202" s="2277"/>
      <c r="AC202" s="2275" t="s">
        <v>2240</v>
      </c>
      <c r="AD202" s="2276"/>
      <c r="AE202" s="2276"/>
      <c r="AF202" s="2277"/>
      <c r="AG202" s="2267" t="s">
        <v>2239</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1859</v>
      </c>
      <c r="H204" s="2288"/>
      <c r="I204" s="2288"/>
      <c r="J204" s="2288"/>
      <c r="K204" s="2288"/>
      <c r="L204" s="2288"/>
      <c r="M204" s="2288"/>
      <c r="N204" s="2288"/>
      <c r="O204" s="2288"/>
      <c r="P204" s="2289"/>
      <c r="Q204" s="2292"/>
      <c r="R204" s="2292"/>
      <c r="S204" s="2292"/>
      <c r="T204" s="2292"/>
      <c r="U204" s="2290" t="s">
        <v>1859</v>
      </c>
      <c r="V204" s="2290"/>
      <c r="W204" s="2290"/>
      <c r="X204" s="2290"/>
      <c r="Y204" s="2290" t="s">
        <v>1859</v>
      </c>
      <c r="Z204" s="2290"/>
      <c r="AA204" s="2290"/>
      <c r="AB204" s="2290"/>
      <c r="AC204" s="2291" t="s">
        <v>1859</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1859</v>
      </c>
      <c r="H205" s="2288"/>
      <c r="I205" s="2288"/>
      <c r="J205" s="2288"/>
      <c r="K205" s="2288"/>
      <c r="L205" s="2288"/>
      <c r="M205" s="2288"/>
      <c r="N205" s="2288"/>
      <c r="O205" s="2288"/>
      <c r="P205" s="2289"/>
      <c r="Q205" s="2289"/>
      <c r="R205" s="2289"/>
      <c r="S205" s="2289"/>
      <c r="T205" s="2289"/>
      <c r="U205" s="2290" t="s">
        <v>1859</v>
      </c>
      <c r="V205" s="2290"/>
      <c r="W205" s="2290"/>
      <c r="X205" s="2290"/>
      <c r="Y205" s="2290" t="s">
        <v>1859</v>
      </c>
      <c r="Z205" s="2290"/>
      <c r="AA205" s="2290"/>
      <c r="AB205" s="2290"/>
      <c r="AC205" s="2291" t="s">
        <v>1859</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1859</v>
      </c>
      <c r="H206" s="2288"/>
      <c r="I206" s="2288"/>
      <c r="J206" s="2288"/>
      <c r="K206" s="2288"/>
      <c r="L206" s="2288"/>
      <c r="M206" s="2288"/>
      <c r="N206" s="2288"/>
      <c r="O206" s="2288"/>
      <c r="P206" s="2289"/>
      <c r="Q206" s="2289"/>
      <c r="R206" s="2289"/>
      <c r="S206" s="2289"/>
      <c r="T206" s="2289"/>
      <c r="U206" s="2290" t="s">
        <v>1859</v>
      </c>
      <c r="V206" s="2290"/>
      <c r="W206" s="2290"/>
      <c r="X206" s="2290"/>
      <c r="Y206" s="2290" t="s">
        <v>1859</v>
      </c>
      <c r="Z206" s="2290"/>
      <c r="AA206" s="2290"/>
      <c r="AB206" s="2290"/>
      <c r="AC206" s="2291" t="s">
        <v>1859</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1859</v>
      </c>
      <c r="H207" s="2288"/>
      <c r="I207" s="2288"/>
      <c r="J207" s="2288"/>
      <c r="K207" s="2288"/>
      <c r="L207" s="2288"/>
      <c r="M207" s="2288"/>
      <c r="N207" s="2288"/>
      <c r="O207" s="2288"/>
      <c r="P207" s="2289"/>
      <c r="Q207" s="2289"/>
      <c r="R207" s="2289"/>
      <c r="S207" s="2289"/>
      <c r="T207" s="2289"/>
      <c r="U207" s="2290" t="s">
        <v>1859</v>
      </c>
      <c r="V207" s="2290"/>
      <c r="W207" s="2290"/>
      <c r="X207" s="2290"/>
      <c r="Y207" s="2290" t="s">
        <v>1859</v>
      </c>
      <c r="Z207" s="2290"/>
      <c r="AA207" s="2290"/>
      <c r="AB207" s="2290"/>
      <c r="AC207" s="2291" t="s">
        <v>1859</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1859</v>
      </c>
      <c r="H208" s="2288"/>
      <c r="I208" s="2288"/>
      <c r="J208" s="2288"/>
      <c r="K208" s="2288"/>
      <c r="L208" s="2288"/>
      <c r="M208" s="2288"/>
      <c r="N208" s="2288"/>
      <c r="O208" s="2288"/>
      <c r="P208" s="2289"/>
      <c r="Q208" s="2289"/>
      <c r="R208" s="2289"/>
      <c r="S208" s="2289"/>
      <c r="T208" s="2289"/>
      <c r="U208" s="2290" t="s">
        <v>1859</v>
      </c>
      <c r="V208" s="2290"/>
      <c r="W208" s="2290"/>
      <c r="X208" s="2290"/>
      <c r="Y208" s="2290" t="s">
        <v>1859</v>
      </c>
      <c r="Z208" s="2290"/>
      <c r="AA208" s="2290"/>
      <c r="AB208" s="2290"/>
      <c r="AC208" s="2291" t="s">
        <v>1859</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1859</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1859</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1859</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2238</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2236</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2235</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2234</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2233</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2231</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2230</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2229</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2228</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2227</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441</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2226</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2225</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A55" sqref="AA55"/>
    </sheetView>
  </sheetViews>
  <sheetFormatPr defaultColWidth="0" defaultRowHeight="12.9" customHeight="1" zeroHeight="1"/>
  <cols>
    <col min="1" max="1" width="1.54296875" style="402" customWidth="1"/>
    <col min="2" max="2" width="0.90625" style="402" customWidth="1"/>
    <col min="3" max="18" width="2.54296875" style="402" customWidth="1"/>
    <col min="19" max="19" width="6.36328125" style="402" customWidth="1"/>
    <col min="20" max="39" width="2.6328125" style="402" customWidth="1"/>
    <col min="40" max="40" width="1.54296875" style="402" customWidth="1"/>
    <col min="41" max="256" width="2.54296875" style="402" hidden="1"/>
    <col min="257" max="257" width="1.54296875" style="402" hidden="1" customWidth="1"/>
    <col min="258" max="258" width="0.9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9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9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9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9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9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9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9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9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9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9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9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9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9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9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9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9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9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9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9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9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9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9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9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9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9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9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9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9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9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9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9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9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9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9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9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9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9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9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9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9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9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9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9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9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9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9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9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9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9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9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9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9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9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9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9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9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9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9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9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9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9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9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74" t="s">
        <v>1280</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47636124</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 customHeight="1">
      <c r="B12" s="2378" t="s">
        <v>497</v>
      </c>
      <c r="C12" s="1309"/>
      <c r="D12" s="1309"/>
      <c r="E12" s="1309"/>
      <c r="F12" s="1309"/>
      <c r="G12" s="1309"/>
      <c r="H12" s="1309"/>
      <c r="I12" s="1309"/>
      <c r="J12" s="1309"/>
      <c r="K12" s="1309"/>
      <c r="L12" s="1309"/>
      <c r="M12" s="1309"/>
      <c r="N12" s="1309"/>
      <c r="O12" s="1309"/>
      <c r="P12" s="1309"/>
      <c r="Q12" s="1309"/>
      <c r="R12" s="1309"/>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 customHeight="1">
      <c r="B13" s="435"/>
      <c r="C13" s="2380" t="s">
        <v>498</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 customHeight="1">
      <c r="B14" s="435"/>
      <c r="C14" s="2380" t="s">
        <v>499</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 customHeight="1">
      <c r="B15" s="435"/>
      <c r="C15" s="2380" t="s">
        <v>500</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 customHeight="1">
      <c r="B16" s="435"/>
      <c r="C16" s="2380" t="s">
        <v>805</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 customHeight="1">
      <c r="B17" s="435"/>
      <c r="C17" s="2380" t="s">
        <v>501</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 customHeight="1">
      <c r="A18"/>
      <c r="B18" s="1144"/>
      <c r="C18" s="1588" t="s">
        <v>960</v>
      </c>
      <c r="D18" s="1588"/>
      <c r="E18" s="1588"/>
      <c r="F18" s="1588"/>
      <c r="G18" s="1588"/>
      <c r="H18" s="1588"/>
      <c r="I18" s="1588"/>
      <c r="J18" s="1588"/>
      <c r="K18" s="1588"/>
      <c r="L18" s="1588"/>
      <c r="M18" s="1588"/>
      <c r="N18" s="1588"/>
      <c r="O18" s="1588"/>
      <c r="P18" s="1588"/>
      <c r="Q18" s="1588"/>
      <c r="R18" s="1588"/>
      <c r="S18" s="1589"/>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 customHeight="1">
      <c r="B19" s="1144"/>
      <c r="C19" s="1588" t="s">
        <v>960</v>
      </c>
      <c r="D19" s="1588"/>
      <c r="E19" s="1588"/>
      <c r="F19" s="1588"/>
      <c r="G19" s="1588"/>
      <c r="H19" s="1588"/>
      <c r="I19" s="1588"/>
      <c r="J19" s="1588"/>
      <c r="K19" s="1588"/>
      <c r="L19" s="1588"/>
      <c r="M19" s="1588"/>
      <c r="N19" s="1588"/>
      <c r="O19" s="1588"/>
      <c r="P19" s="1588"/>
      <c r="Q19" s="1588"/>
      <c r="R19" s="1588"/>
      <c r="S19" s="1589"/>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 customHeight="1">
      <c r="B20" s="2340" t="s">
        <v>502</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 customHeight="1">
      <c r="B21" s="2340" t="s">
        <v>1263</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 customHeight="1">
      <c r="B22" s="2340" t="s">
        <v>503</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 customHeight="1">
      <c r="B23" s="2340" t="s">
        <v>504</v>
      </c>
      <c r="C23" s="2341"/>
      <c r="D23" s="2341"/>
      <c r="E23" s="2341"/>
      <c r="F23" s="2341"/>
      <c r="G23" s="2341"/>
      <c r="H23" s="2341"/>
      <c r="I23" s="2341"/>
      <c r="J23" s="2341"/>
      <c r="K23" s="2341"/>
      <c r="L23" s="2341"/>
      <c r="M23" s="2341"/>
      <c r="N23" s="2341"/>
      <c r="O23" s="2341"/>
      <c r="P23" s="2341"/>
      <c r="Q23" s="2341"/>
      <c r="R23" s="2341"/>
      <c r="S23" s="2342"/>
      <c r="T23" s="2353">
        <f>T11+T22</f>
        <v>47636124</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 customHeight="1">
      <c r="B24" s="2340" t="s">
        <v>961</v>
      </c>
      <c r="C24" s="2341"/>
      <c r="D24" s="2341"/>
      <c r="E24" s="2341"/>
      <c r="F24" s="2341"/>
      <c r="G24" s="2341"/>
      <c r="H24" s="2341"/>
      <c r="I24" s="2341"/>
      <c r="J24" s="2341"/>
      <c r="K24" s="2341"/>
      <c r="L24" s="2341"/>
      <c r="M24" s="2341"/>
      <c r="N24" s="2341"/>
      <c r="O24" s="2341"/>
      <c r="P24" s="2341"/>
      <c r="Q24" s="2341"/>
      <c r="R24" s="2341"/>
      <c r="S24" s="2342"/>
      <c r="T24" s="2344">
        <f>Application!AJ1062</f>
        <v>99555729.799999997</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 customHeight="1">
      <c r="B25" s="2384" t="s">
        <v>1264</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 customHeight="1">
      <c r="B26" s="2340" t="s">
        <v>505</v>
      </c>
      <c r="C26" s="2341"/>
      <c r="D26" s="2341"/>
      <c r="E26" s="2341"/>
      <c r="F26" s="2341"/>
      <c r="G26" s="2341"/>
      <c r="H26" s="2341"/>
      <c r="I26" s="2341"/>
      <c r="J26" s="2341"/>
      <c r="K26" s="2341"/>
      <c r="L26" s="2341"/>
      <c r="M26" s="2341"/>
      <c r="N26" s="2341"/>
      <c r="O26" s="2341"/>
      <c r="P26" s="2341"/>
      <c r="Q26" s="2341"/>
      <c r="R26" s="2341"/>
      <c r="S26" s="2342"/>
      <c r="T26" s="2353">
        <f>T23*T25</f>
        <v>61926961.200000003</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53">
        <f>IF(ISERROR((T26*T27)),0,(T26*T27))</f>
        <v>61926961.200000003</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 customHeight="1">
      <c r="B29" s="2340" t="s">
        <v>523</v>
      </c>
      <c r="C29" s="2341"/>
      <c r="D29" s="2341"/>
      <c r="E29" s="2341"/>
      <c r="F29" s="2341"/>
      <c r="G29" s="2341"/>
      <c r="H29" s="2341"/>
      <c r="I29" s="2341"/>
      <c r="J29" s="2341"/>
      <c r="K29" s="2341"/>
      <c r="L29" s="2341"/>
      <c r="M29" s="2341"/>
      <c r="N29" s="2341"/>
      <c r="O29" s="2341"/>
      <c r="P29" s="2341"/>
      <c r="Q29" s="2341"/>
      <c r="R29" s="2341"/>
      <c r="S29" s="2342"/>
      <c r="T29" s="2344">
        <f>T28+Y28+AD28+AI28</f>
        <v>61926961.200000003</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 customHeight="1">
      <c r="B30" s="2357" t="s">
        <v>1266</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 customHeight="1">
      <c r="B31" s="2357" t="s">
        <v>1265</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1154</v>
      </c>
      <c r="Z35" s="2354"/>
      <c r="AA35" s="2354"/>
      <c r="AB35" s="2354"/>
      <c r="AC35" s="2354"/>
      <c r="AD35" s="2355" t="s">
        <v>369</v>
      </c>
      <c r="AE35" s="2355"/>
      <c r="AF35" s="2355"/>
      <c r="AG35" s="2355"/>
      <c r="AH35" s="2355"/>
    </row>
    <row r="36" spans="1:76" ht="12.9" customHeight="1">
      <c r="B36" s="407"/>
      <c r="X36" s="412"/>
      <c r="Y36" s="2354"/>
      <c r="Z36" s="2354"/>
      <c r="AA36" s="2354"/>
      <c r="AB36" s="2354"/>
      <c r="AC36" s="2354"/>
      <c r="AD36" s="2355"/>
      <c r="AE36" s="2355"/>
      <c r="AF36" s="2355"/>
      <c r="AG36" s="2355"/>
      <c r="AH36" s="2355"/>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61926961.200000003</v>
      </c>
      <c r="Z38" s="2334"/>
      <c r="AA38" s="2334"/>
      <c r="AB38" s="2334"/>
      <c r="AC38" s="2334"/>
      <c r="AD38" s="2334">
        <f>IF(T24&gt;=(T23+Y23+AD23+AI23),AD28+AI28,0)</f>
        <v>0</v>
      </c>
      <c r="AE38" s="2334"/>
      <c r="AF38" s="2334"/>
      <c r="AG38" s="2334"/>
      <c r="AH38" s="2334"/>
    </row>
    <row r="39" spans="1:76" ht="12.9" customHeight="1">
      <c r="B39" s="2340" t="s">
        <v>1680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2477078</v>
      </c>
      <c r="Z40" s="2334"/>
      <c r="AA40" s="2334"/>
      <c r="AB40" s="2334"/>
      <c r="AC40" s="2334"/>
      <c r="AD40" s="2353">
        <f>ROUND(AD38*AD39,0)</f>
        <v>0</v>
      </c>
      <c r="AE40" s="2334"/>
      <c r="AF40" s="2334"/>
      <c r="AG40" s="2334"/>
      <c r="AH40" s="2334"/>
    </row>
    <row r="41" spans="1:76" ht="12.9"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2477078</v>
      </c>
      <c r="Z41" s="2352"/>
      <c r="AA41" s="2352"/>
      <c r="AB41" s="2352"/>
      <c r="AC41" s="2352"/>
      <c r="AD41" s="2352"/>
      <c r="AE41" s="2352"/>
      <c r="AF41" s="2352"/>
      <c r="AG41" s="2352"/>
      <c r="AH41" s="2353"/>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1" t="s">
        <v>1276</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 customHeight="1" thickTop="1"/>
    <row r="46" spans="1:76" ht="12.9" customHeight="1">
      <c r="A46" s="404" t="s">
        <v>586</v>
      </c>
      <c r="C46" s="404" t="s">
        <v>282</v>
      </c>
    </row>
    <row r="47" spans="1:76" ht="12.9" customHeight="1">
      <c r="D47" s="404" t="s">
        <v>283</v>
      </c>
      <c r="AB47" s="2348">
        <f>'Sources and Uses Budget'!B105-MAX(IF('Sources and Uses Budget'!B15="",0,'Sources and Uses Budget'!B15),IF(Application!AG403="",0,Application!AG403))</f>
        <v>55046230</v>
      </c>
      <c r="AC47" s="2349"/>
      <c r="AD47" s="2349"/>
      <c r="AE47" s="2349"/>
      <c r="AF47" s="2350"/>
    </row>
    <row r="48" spans="1:76" ht="12.9" customHeight="1">
      <c r="D48" s="404" t="s">
        <v>21</v>
      </c>
      <c r="AB48" s="2348">
        <f>Application!AO647-MAX(IF('Sources and Uses Budget'!B15="",0,'Sources and Uses Budget'!B15),IF(Application!AG403="",0,Application!AG403))</f>
        <v>22653169</v>
      </c>
      <c r="AC48" s="2349"/>
      <c r="AD48" s="2349"/>
      <c r="AE48" s="2349"/>
      <c r="AF48" s="2350"/>
    </row>
    <row r="49" spans="1:76" ht="12.9" customHeight="1">
      <c r="D49" s="404" t="s">
        <v>91</v>
      </c>
      <c r="AB49" s="2348">
        <f>AB47-AB48</f>
        <v>32393061</v>
      </c>
      <c r="AC49" s="2349"/>
      <c r="AD49" s="2349"/>
      <c r="AE49" s="2349"/>
      <c r="AF49" s="2350"/>
    </row>
    <row r="50" spans="1:76" ht="12.9" customHeight="1">
      <c r="D50" s="404" t="s">
        <v>681</v>
      </c>
      <c r="AA50" s="415"/>
      <c r="AB50" s="2336">
        <f>(21053061/21055163)*0.85</f>
        <v>0.84991514195354356</v>
      </c>
      <c r="AC50" s="2337"/>
      <c r="AD50" s="2337"/>
      <c r="AE50" s="2337"/>
      <c r="AF50" s="2338"/>
    </row>
    <row r="51" spans="1:76" s="417" customFormat="1" ht="12.9" customHeight="1">
      <c r="A51" s="402"/>
      <c r="B51" s="402"/>
      <c r="C51" s="402"/>
      <c r="D51" s="402"/>
      <c r="E51" s="2347" t="s">
        <v>2538</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8">
        <f>ROUND(IF(ISERROR((AB49/AB50)),0,(AB49/AB50)),0)</f>
        <v>38113288</v>
      </c>
      <c r="AC54" s="2349"/>
      <c r="AD54" s="2349"/>
      <c r="AE54" s="2349"/>
      <c r="AF54" s="2350"/>
    </row>
    <row r="55" spans="1:76" ht="12.9" customHeight="1">
      <c r="D55" s="404" t="s">
        <v>333</v>
      </c>
      <c r="AB55" s="2348">
        <f>(AB54/10)</f>
        <v>3811328.8</v>
      </c>
      <c r="AC55" s="2349"/>
      <c r="AD55" s="2349"/>
      <c r="AE55" s="2349"/>
      <c r="AF55" s="2350"/>
    </row>
    <row r="56" spans="1:76" ht="12.9" customHeight="1">
      <c r="D56" s="404" t="s">
        <v>756</v>
      </c>
      <c r="AB56" s="2348">
        <f>ROUND((IF((Y41&lt;AB55),Y41,AB55)),0)</f>
        <v>2477078</v>
      </c>
      <c r="AC56" s="2349"/>
      <c r="AD56" s="2349"/>
      <c r="AE56" s="2349"/>
      <c r="AF56" s="2350"/>
    </row>
    <row r="57" spans="1:76" ht="12.9" customHeight="1">
      <c r="D57" s="404" t="s">
        <v>755</v>
      </c>
      <c r="AB57" s="2348">
        <f>ROUND((10*AB56*AB50),0)</f>
        <v>21053061</v>
      </c>
      <c r="AC57" s="2349"/>
      <c r="AD57" s="2349"/>
      <c r="AE57" s="2349"/>
      <c r="AF57" s="2350"/>
    </row>
    <row r="58" spans="1:76" ht="12.9" customHeight="1">
      <c r="D58" s="404"/>
      <c r="AB58" s="423"/>
      <c r="AC58" s="423"/>
      <c r="AD58" s="423"/>
      <c r="AE58" s="423"/>
      <c r="AF58" s="423"/>
    </row>
    <row r="59" spans="1:76" ht="12.9" customHeight="1">
      <c r="D59" s="404" t="s">
        <v>754</v>
      </c>
      <c r="AB59" s="2332">
        <f>AB49-AB57</f>
        <v>11340000</v>
      </c>
      <c r="AC59" s="2332"/>
      <c r="AD59" s="2332"/>
      <c r="AE59" s="2332"/>
      <c r="AF59" s="2332"/>
    </row>
    <row r="60" spans="1:76" ht="12.9" customHeight="1">
      <c r="D60" s="404"/>
      <c r="AB60" s="423"/>
      <c r="AC60" s="423"/>
      <c r="AD60" s="423"/>
      <c r="AE60" s="423"/>
      <c r="AF60" s="423"/>
    </row>
    <row r="61" spans="1:76" s="204" customFormat="1" ht="12.9"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 customHeight="1" thickTop="1"/>
    <row r="63" spans="1:76" ht="12.9" customHeight="1">
      <c r="A63" s="404" t="s">
        <v>589</v>
      </c>
      <c r="C63" s="205" t="s">
        <v>1248</v>
      </c>
      <c r="Y63" s="2343" t="s">
        <v>984</v>
      </c>
      <c r="Z63" s="2343"/>
      <c r="AA63" s="2343"/>
      <c r="AB63" s="2343"/>
      <c r="AC63" s="2343"/>
      <c r="AD63" s="2343" t="s">
        <v>369</v>
      </c>
      <c r="AE63" s="2343"/>
      <c r="AF63" s="2343"/>
      <c r="AG63" s="2343"/>
      <c r="AH63" s="2343"/>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47636124</v>
      </c>
      <c r="Z64" s="2345"/>
      <c r="AA64" s="2345"/>
      <c r="AB64" s="2345"/>
      <c r="AC64" s="2346"/>
      <c r="AD64" s="2344">
        <f>IF(AND(OR(Application!D211="At-Risk",Application!D211="At-Risk and Special Needs"),Application!M367="yes"),AD28+AI28,0)</f>
        <v>0</v>
      </c>
      <c r="AE64" s="2345"/>
      <c r="AF64" s="2345"/>
      <c r="AG64" s="2345"/>
      <c r="AH64" s="2346"/>
    </row>
    <row r="65" spans="1:37" ht="12.9"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0.3</v>
      </c>
      <c r="Z67" s="2333"/>
      <c r="AA67" s="2333"/>
      <c r="AB67" s="2333"/>
      <c r="AC67" s="2333"/>
      <c r="AD67" s="2333">
        <f>IF(Application!Z205="15% set-aside with qualifying low value rehab", 0.95,IF(OR(Application!D211="At-Risk",'Points System'!B26="Yes"),0.13,0))</f>
        <v>0</v>
      </c>
      <c r="AE67" s="2333"/>
      <c r="AF67" s="2333"/>
      <c r="AG67" s="2333"/>
      <c r="AH67" s="2333"/>
    </row>
    <row r="68" spans="1:37" ht="12.9" customHeight="1">
      <c r="C68" s="404"/>
      <c r="D68" s="205" t="s">
        <v>2180</v>
      </c>
      <c r="Y68" s="2334">
        <f>IF(AND(T25=1.3,OR(Y67=0.13,Y67=0.95),NOT(Application!T212&gt;=50%)),0,ROUND(Y64*Y67,0))</f>
        <v>14290837</v>
      </c>
      <c r="Z68" s="2335"/>
      <c r="AA68" s="2335"/>
      <c r="AB68" s="2335"/>
      <c r="AC68" s="2335"/>
      <c r="AD68" s="2334">
        <f>IF(AND(T25=1.3,AD67&gt;0,NOT(Application!T212&gt;=50%)),0,ROUND(AD64*AD67,0))</f>
        <v>0</v>
      </c>
      <c r="AE68" s="2335"/>
      <c r="AF68" s="2335"/>
      <c r="AG68" s="2335"/>
      <c r="AH68" s="2335"/>
      <c r="AK68" s="1192"/>
    </row>
    <row r="69" spans="1:37" ht="12.9" customHeight="1">
      <c r="C69" s="404"/>
      <c r="D69" s="205" t="s">
        <v>2181</v>
      </c>
      <c r="Y69" s="2334">
        <f>IF(OR(Application!Z205="State Farmworker Credit",Application!Z205="$500M (Farmworker Housing)"),Y68+AD68,MIN(Y68+AD68,200000*(Application!G761+Application!O785)))</f>
        <v>12600000</v>
      </c>
      <c r="Z69" s="2334"/>
      <c r="AA69" s="2334"/>
      <c r="AB69" s="2334"/>
      <c r="AC69" s="2334"/>
      <c r="AD69" s="2334"/>
      <c r="AE69" s="2334"/>
      <c r="AF69" s="2334"/>
      <c r="AG69" s="2334"/>
      <c r="AH69" s="2334"/>
    </row>
    <row r="70" spans="1:37" ht="12.9" customHeight="1">
      <c r="C70" s="404"/>
      <c r="E70" s="404"/>
      <c r="AB70" s="422"/>
      <c r="AC70" s="422"/>
      <c r="AD70" s="422"/>
      <c r="AE70" s="422"/>
      <c r="AF70" s="422"/>
    </row>
    <row r="71" spans="1:37" ht="12.9" customHeight="1">
      <c r="A71" s="404" t="s">
        <v>590</v>
      </c>
      <c r="C71" s="205" t="s">
        <v>284</v>
      </c>
    </row>
    <row r="72" spans="1:37" ht="12.9" customHeight="1">
      <c r="A72" s="404"/>
      <c r="C72" s="404"/>
      <c r="D72" s="205" t="s">
        <v>1250</v>
      </c>
      <c r="AB72" s="2336">
        <v>0.9</v>
      </c>
      <c r="AC72" s="2337"/>
      <c r="AD72" s="2337"/>
      <c r="AE72" s="2337"/>
      <c r="AF72" s="2338"/>
    </row>
    <row r="73" spans="1:37" ht="12.9" customHeight="1">
      <c r="A73" s="404"/>
      <c r="C73" s="404"/>
      <c r="D73" s="404"/>
      <c r="E73" s="2339" t="s">
        <v>1251</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1252</v>
      </c>
      <c r="AB77" s="2327">
        <f>ROUND(IF(ISERROR((AB59/AB72)),0,(AB59/AB72)),0)</f>
        <v>12600000</v>
      </c>
      <c r="AC77" s="2327"/>
      <c r="AD77" s="2327"/>
      <c r="AE77" s="2327"/>
      <c r="AF77" s="2327"/>
    </row>
    <row r="78" spans="1:37" ht="12.9" customHeight="1">
      <c r="C78" s="404"/>
      <c r="D78" s="205" t="s">
        <v>1253</v>
      </c>
      <c r="AB78" s="2328">
        <f>ROUNDUP(MIN(Y69,AB77),0)</f>
        <v>12600000</v>
      </c>
      <c r="AC78" s="2329"/>
      <c r="AD78" s="2329"/>
      <c r="AE78" s="2329"/>
      <c r="AF78" s="2330"/>
    </row>
    <row r="79" spans="1:37" ht="12.9" customHeight="1">
      <c r="C79" s="404"/>
      <c r="D79" s="205" t="s">
        <v>1254</v>
      </c>
      <c r="AB79" s="2331">
        <f>AB78*AB72</f>
        <v>11340000</v>
      </c>
      <c r="AC79" s="2331"/>
      <c r="AD79" s="2331"/>
      <c r="AE79" s="2331"/>
      <c r="AF79" s="2331"/>
    </row>
    <row r="80" spans="1:37" ht="12.9" customHeight="1">
      <c r="C80" s="404"/>
      <c r="D80" s="404"/>
      <c r="AB80" s="425"/>
      <c r="AC80" s="425"/>
      <c r="AD80" s="425"/>
      <c r="AE80" s="425"/>
      <c r="AF80" s="425"/>
    </row>
    <row r="81" spans="1:78" ht="12.9" customHeight="1">
      <c r="D81" s="404" t="s">
        <v>754</v>
      </c>
      <c r="AB81" s="2332">
        <f>AB49-(AB57+AB79)</f>
        <v>0</v>
      </c>
      <c r="AC81" s="2332"/>
      <c r="AD81" s="2332"/>
      <c r="AE81" s="2332"/>
      <c r="AF81" s="2332"/>
    </row>
    <row r="82" spans="1:78" ht="12.9" customHeight="1">
      <c r="F82" s="522"/>
      <c r="J82" s="522" t="str">
        <f>IF(AB81&gt;0,"FUNDING GAP MUST NOT EXCEED ZERO","")</f>
        <v/>
      </c>
    </row>
    <row r="83" spans="1:78" ht="12.9" customHeight="1">
      <c r="D83" s="523"/>
    </row>
    <row r="84" spans="1:78" ht="12.9"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 customHeight="1" thickTop="1"/>
    <row r="86" spans="1:78" ht="12.9" hidden="1" customHeight="1">
      <c r="A86" s="404"/>
      <c r="C86" s="205"/>
    </row>
    <row r="87" spans="1:78" ht="12.9" hidden="1" customHeight="1">
      <c r="D87" s="205"/>
      <c r="AB87" s="2383"/>
      <c r="AC87" s="2383"/>
      <c r="AD87" s="2383"/>
      <c r="AE87" s="2383"/>
      <c r="AF87" s="2383"/>
    </row>
    <row r="88" spans="1:78" ht="12.9"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4" zoomScale="85" zoomScaleNormal="85" workbookViewId="0">
      <selection activeCell="Y127" sqref="Y127"/>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90625" style="14" hidden="1" customWidth="1"/>
    <col min="47" max="48" width="5.54296875" style="14" hidden="1" customWidth="1"/>
    <col min="49" max="49" width="8.63281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1" ht="15.75" customHeight="1">
      <c r="A1" s="2426" t="s">
        <v>1299</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1303</v>
      </c>
      <c r="AF7" s="2419"/>
      <c r="AG7" s="2419"/>
      <c r="AH7" s="2419"/>
      <c r="AI7" s="2419"/>
      <c r="AJ7" s="2419"/>
      <c r="AK7" s="2419"/>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591</v>
      </c>
      <c r="C12" s="2391"/>
      <c r="D12" s="540"/>
      <c r="E12" s="2407" t="s">
        <v>2552</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591</v>
      </c>
      <c r="C16" s="2391"/>
      <c r="D16" s="540"/>
      <c r="E16" s="2407" t="s">
        <v>2553</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591</v>
      </c>
      <c r="C20" s="2391"/>
      <c r="D20" s="540"/>
      <c r="E20" s="2407" t="s">
        <v>1980</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591</v>
      </c>
      <c r="C26" s="2391"/>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591</v>
      </c>
      <c r="C30" s="2391"/>
      <c r="D30" s="546"/>
      <c r="E30" s="2392" t="s">
        <v>2560</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591</v>
      </c>
      <c r="C33" s="2391"/>
      <c r="D33" s="546"/>
      <c r="E33" s="2392" t="s">
        <v>2561</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1305</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591</v>
      </c>
      <c r="C37" s="2391"/>
      <c r="D37" s="1136"/>
      <c r="E37" s="2398" t="s">
        <v>2565</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591</v>
      </c>
      <c r="C39" s="2391"/>
      <c r="D39" s="1136"/>
      <c r="E39" s="2398" t="s">
        <v>2562</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591</v>
      </c>
      <c r="C43" s="2391"/>
      <c r="D43" s="546"/>
      <c r="E43" s="2401" t="s">
        <v>2564</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591</v>
      </c>
      <c r="C46" s="2391"/>
      <c r="D46" s="546"/>
      <c r="E46" s="2392" t="s">
        <v>2563</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591</v>
      </c>
      <c r="C49" s="2391"/>
      <c r="D49" s="546"/>
      <c r="E49" s="2407" t="s">
        <v>1994</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591</v>
      </c>
      <c r="C52" s="2391"/>
      <c r="D52" s="546"/>
      <c r="E52" s="2398" t="s">
        <v>2203</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591</v>
      </c>
      <c r="C56" s="2391"/>
      <c r="D56" s="546"/>
      <c r="E56" s="2407" t="s">
        <v>2566</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591</v>
      </c>
      <c r="C59" s="2391"/>
      <c r="D59" s="546"/>
      <c r="E59" s="2398" t="s">
        <v>2567</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30">
        <f>AO60</f>
        <v>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1308</v>
      </c>
      <c r="AF64" s="2419"/>
      <c r="AG64" s="2419"/>
      <c r="AH64" s="2419"/>
      <c r="AI64" s="2419"/>
      <c r="AJ64" s="2419"/>
      <c r="AK64" s="2419"/>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545</v>
      </c>
      <c r="C67" s="2391"/>
      <c r="D67" s="546" t="s">
        <v>1309</v>
      </c>
      <c r="E67" s="2401" t="s">
        <v>1981</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10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591</v>
      </c>
      <c r="C73" s="2391"/>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591</v>
      </c>
      <c r="F74" s="2391"/>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591</v>
      </c>
      <c r="F75" s="2418"/>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591</v>
      </c>
      <c r="F76" s="2418"/>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591</v>
      </c>
      <c r="C78" s="2391"/>
      <c r="D78" s="546" t="s">
        <v>1314</v>
      </c>
      <c r="E78" s="2407" t="s">
        <v>1729</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591</v>
      </c>
      <c r="C81" s="2391"/>
      <c r="D81" s="546" t="s">
        <v>1461</v>
      </c>
      <c r="E81" s="2398" t="s">
        <v>1727</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0">
        <f>IF(AK61&gt;0,0,AO71)</f>
        <v>10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1303</v>
      </c>
      <c r="AF86" s="2419"/>
      <c r="AG86" s="2419"/>
      <c r="AH86" s="2419"/>
      <c r="AI86" s="2419"/>
      <c r="AJ86" s="2419"/>
      <c r="AK86" s="2419"/>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591</v>
      </c>
      <c r="C89" s="2391"/>
      <c r="D89" s="546" t="s">
        <v>1309</v>
      </c>
      <c r="E89" s="2401" t="s">
        <v>1319</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0.59838709677419355</v>
      </c>
      <c r="F92" s="2414"/>
      <c r="G92" s="2414"/>
      <c r="H92" s="241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0</v>
      </c>
      <c r="F93" s="2416"/>
      <c r="G93" s="2416"/>
      <c r="H93" s="2416"/>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0</v>
      </c>
      <c r="F94" s="2443"/>
      <c r="G94" s="2443"/>
      <c r="H94" s="2443"/>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545</v>
      </c>
      <c r="C97" s="2391"/>
      <c r="D97" s="546" t="s">
        <v>1311</v>
      </c>
      <c r="E97" s="2401" t="s">
        <v>1714</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0.59838709677419355</v>
      </c>
      <c r="F102" s="2414"/>
      <c r="G102" s="2414"/>
      <c r="H102" s="241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0.16129032258064516</v>
      </c>
      <c r="F103" s="2414"/>
      <c r="G103" s="2414"/>
      <c r="H103" s="241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0.11290322580645161</v>
      </c>
      <c r="F104" s="2414"/>
      <c r="G104" s="2414"/>
      <c r="H104" s="241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0">
        <f ca="1">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1308</v>
      </c>
      <c r="AF111" s="2419"/>
      <c r="AG111" s="2419"/>
      <c r="AH111" s="2419"/>
      <c r="AI111" s="2419"/>
      <c r="AJ111" s="2419"/>
      <c r="AK111" s="2419"/>
      <c r="AL111" s="540"/>
      <c r="AM111" s="540"/>
      <c r="AN111" s="535"/>
      <c r="AO111" s="536" t="str">
        <f>Application!B726</f>
        <v>1 Bedroom</v>
      </c>
      <c r="AQ111" s="536">
        <f>Application!O726</f>
        <v>2453</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2090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1727</v>
      </c>
    </row>
    <row r="114" spans="1:52" s="536" customFormat="1" ht="12.75" customHeight="1">
      <c r="A114" s="540"/>
      <c r="B114" s="2391" t="s">
        <v>545</v>
      </c>
      <c r="C114" s="2391"/>
      <c r="D114" s="546" t="s">
        <v>1309</v>
      </c>
      <c r="E114" s="2401" t="s">
        <v>2569</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1 Bedroom</v>
      </c>
      <c r="AQ114" s="536">
        <f>Application!O729</f>
        <v>1002</v>
      </c>
      <c r="AU114" s="536" t="s">
        <v>1817</v>
      </c>
      <c r="AV114" s="593" t="s">
        <v>1818</v>
      </c>
      <c r="AW114" s="536" t="s">
        <v>1819</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2 Bedrooms</v>
      </c>
      <c r="AQ115" s="536">
        <f>Application!O730</f>
        <v>2927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2 Bedrooms</v>
      </c>
      <c r="AQ116" s="536">
        <f>Application!O731</f>
        <v>2492</v>
      </c>
      <c r="AU116" s="852" t="str">
        <f>J123</f>
        <v>1-bedroom</v>
      </c>
      <c r="AV116" s="536">
        <f t="array" ref="AV116">SUM(IF(Application!B726:F760="1 Bedroom",Application!G726:J760))</f>
        <v>21</v>
      </c>
      <c r="AW116" s="1006">
        <f>AV116/AV121</f>
        <v>0.33870967741935482</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Application!B732</f>
        <v>2 Bedrooms</v>
      </c>
      <c r="AQ117" s="536">
        <f>Application!O732</f>
        <v>2057</v>
      </c>
      <c r="AU117" s="852" t="str">
        <f>O123</f>
        <v>2-bedroom</v>
      </c>
      <c r="AV117" s="536">
        <f t="array" ref="AV117">SUM(IF(Application!B726:F760="2 Bedrooms",Application!G726:J760))</f>
        <v>21</v>
      </c>
      <c r="AW117" s="1006">
        <f>AV117/AV121</f>
        <v>0.33870967741935482</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Application!B733</f>
        <v>2 Bedrooms</v>
      </c>
      <c r="AQ118" s="536">
        <f>Application!O733</f>
        <v>1186</v>
      </c>
      <c r="AU118" s="852" t="str">
        <f>T123</f>
        <v>3-bedroom</v>
      </c>
      <c r="AV118" s="536">
        <f t="array" ref="AV118">SUM(IF(Application!B726:F760="3 Bedrooms",Application!G726:J760))</f>
        <v>20</v>
      </c>
      <c r="AW118" s="1006">
        <f>AV118/AV121</f>
        <v>0.32258064516129031</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Application!B734</f>
        <v>3 Bedrooms</v>
      </c>
      <c r="AQ119" s="536">
        <f>Application!O734</f>
        <v>3363</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t="str">
        <f>Application!B735</f>
        <v>3 Bedrooms</v>
      </c>
      <c r="AQ120" s="536">
        <f>Application!O735</f>
        <v>2860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t="str">
        <f>Application!B736</f>
        <v>3 Bedrooms</v>
      </c>
      <c r="AQ121" s="536">
        <f>Application!O736</f>
        <v>2357</v>
      </c>
      <c r="AV121" s="536">
        <f>SUM(AV115:AV120)</f>
        <v>62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1351</v>
      </c>
    </row>
    <row r="123" spans="1:52" s="536" customFormat="1" ht="12.75" customHeight="1">
      <c r="A123" s="540"/>
      <c r="B123" s="539"/>
      <c r="C123" s="540"/>
      <c r="D123" s="540"/>
      <c r="E123" s="2413" t="s">
        <v>1577</v>
      </c>
      <c r="F123" s="2414"/>
      <c r="G123" s="2414"/>
      <c r="H123" s="2414"/>
      <c r="I123" s="575"/>
      <c r="J123" s="2414" t="s">
        <v>1620</v>
      </c>
      <c r="K123" s="2414"/>
      <c r="L123" s="2414"/>
      <c r="M123" s="2414"/>
      <c r="N123" s="575"/>
      <c r="O123" s="2414" t="s">
        <v>1621</v>
      </c>
      <c r="P123" s="2414"/>
      <c r="Q123" s="2414"/>
      <c r="R123" s="2414"/>
      <c r="S123" s="575"/>
      <c r="T123" s="2414" t="s">
        <v>1328</v>
      </c>
      <c r="U123" s="2414"/>
      <c r="V123" s="2414"/>
      <c r="W123" s="2414"/>
      <c r="X123" s="575"/>
      <c r="Y123" s="2414" t="s">
        <v>1622</v>
      </c>
      <c r="Z123" s="2414"/>
      <c r="AA123" s="2414"/>
      <c r="AB123" s="2414"/>
      <c r="AC123" s="575"/>
      <c r="AD123" s="2414" t="s">
        <v>1623</v>
      </c>
      <c r="AE123" s="2414"/>
      <c r="AF123" s="2414"/>
      <c r="AG123" s="241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c r="F126" s="2451"/>
      <c r="G126" s="2451"/>
      <c r="H126" s="2451"/>
      <c r="I126" s="860"/>
      <c r="J126" s="2451">
        <v>3376</v>
      </c>
      <c r="K126" s="2451"/>
      <c r="L126" s="2451"/>
      <c r="M126" s="2451"/>
      <c r="N126" s="860"/>
      <c r="O126" s="2451">
        <v>4044</v>
      </c>
      <c r="P126" s="2451"/>
      <c r="Q126" s="2451"/>
      <c r="R126" s="2451"/>
      <c r="S126" s="860"/>
      <c r="T126" s="2451">
        <v>4982</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0</v>
      </c>
      <c r="F129" s="2425"/>
      <c r="G129" s="2425"/>
      <c r="H129" s="2425"/>
      <c r="I129" s="860"/>
      <c r="J129" s="2425">
        <f>Application!EC678</f>
        <v>2021.047619047619</v>
      </c>
      <c r="K129" s="2425"/>
      <c r="L129" s="2425"/>
      <c r="M129" s="2425"/>
      <c r="N129" s="860"/>
      <c r="O129" s="2425">
        <f>Application!EH678</f>
        <v>2533.2857142857142</v>
      </c>
      <c r="P129" s="2425"/>
      <c r="Q129" s="2425"/>
      <c r="R129" s="2425"/>
      <c r="S129" s="864"/>
      <c r="T129" s="2425">
        <f>Application!EM678</f>
        <v>2885.15</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t="e">
        <f>(E126-E129)/E126</f>
        <v>#DIV/0!</v>
      </c>
      <c r="F132" s="2416"/>
      <c r="G132" s="2416"/>
      <c r="H132" s="2624"/>
      <c r="I132" s="575"/>
      <c r="J132" s="2623">
        <f>(J126-J129)/J126</f>
        <v>0.40134845407357256</v>
      </c>
      <c r="K132" s="2416"/>
      <c r="L132" s="2416"/>
      <c r="M132" s="2624"/>
      <c r="N132" s="575"/>
      <c r="O132" s="2623">
        <f>(O126-O129)/O126</f>
        <v>0.37356930902924967</v>
      </c>
      <c r="P132" s="2416"/>
      <c r="Q132" s="2416"/>
      <c r="R132" s="2624"/>
      <c r="S132" s="575"/>
      <c r="T132" s="2623">
        <f>(T126-T129)/T126</f>
        <v>0.42088518667201924</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t="e">
        <f>IF(((E132-0.1)*AW115)&gt;0,((E132-0.1)*AW115),0)</f>
        <v>#DIV/0!</v>
      </c>
      <c r="F135" s="2440"/>
      <c r="G135" s="2440"/>
      <c r="H135" s="2441"/>
      <c r="I135" s="575"/>
      <c r="J135" s="2439">
        <f>IF(((J132-0.1)*AW116)&gt;0,((J132-0.1)*AW116),0)</f>
        <v>0.10206963767008102</v>
      </c>
      <c r="K135" s="2440"/>
      <c r="L135" s="2440"/>
      <c r="M135" s="2441"/>
      <c r="N135" s="575"/>
      <c r="O135" s="2439">
        <f>IF(((O132-0.1)*AW117)&gt;0,((O132-0.1)*AW117),0)</f>
        <v>9.2660572413132955E-2</v>
      </c>
      <c r="P135" s="2440"/>
      <c r="Q135" s="2440"/>
      <c r="R135" s="2441"/>
      <c r="S135" s="575"/>
      <c r="T135" s="2439">
        <f>IF(((T132-0.1)*AW118)&gt;0,((T132-0.1)*AW118),0)</f>
        <v>0.10351135053936104</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0.28999999999999998</v>
      </c>
      <c r="F137" s="2416"/>
      <c r="G137" s="2416"/>
      <c r="H137" s="2624"/>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9" t="s">
        <v>1308</v>
      </c>
      <c r="AF145" s="2419"/>
      <c r="AG145" s="2419"/>
      <c r="AH145" s="2419"/>
      <c r="AI145" s="2419"/>
      <c r="AJ145" s="2419"/>
      <c r="AK145" s="2419"/>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1332</v>
      </c>
      <c r="AG147" s="2452"/>
      <c r="AH147" s="2452"/>
      <c r="AI147" s="2452"/>
      <c r="AJ147" s="2452"/>
      <c r="AK147" s="2452"/>
      <c r="AL147" s="245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
        <v>2751</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3" t="s">
        <v>1335</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1335</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64" t="s">
        <v>591</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3" t="s">
        <v>1337</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2408</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2409</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2407</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591</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1346</v>
      </c>
      <c r="AG167" s="2452"/>
      <c r="AH167" s="2452"/>
      <c r="AI167" s="2452"/>
      <c r="AJ167" s="2452"/>
      <c r="AK167" s="2452"/>
      <c r="AL167" s="2452"/>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1344</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307</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591</v>
      </c>
      <c r="AG171" s="2464"/>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63" t="s">
        <v>1337</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5" t="str">
        <f>Application!AA344</f>
        <v>FPI Management Corporation</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1308</v>
      </c>
      <c r="AF185" s="2419"/>
      <c r="AG185" s="2419"/>
      <c r="AH185" s="2419"/>
      <c r="AI185" s="2419"/>
      <c r="AJ185" s="2419"/>
      <c r="AK185" s="2419"/>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0" t="s">
        <v>1041</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1357</v>
      </c>
      <c r="AG187" s="2452"/>
      <c r="AH187" s="2452"/>
      <c r="AI187" s="2452"/>
      <c r="AJ187" s="2452"/>
      <c r="AK187" s="2452"/>
      <c r="AL187" s="2452"/>
      <c r="AN187" s="595"/>
      <c r="AP187" s="549" t="s">
        <v>1043</v>
      </c>
      <c r="AQ187" s="549">
        <v>10</v>
      </c>
    </row>
    <row r="188" spans="1:73" s="549" customFormat="1" ht="12.75" customHeight="1">
      <c r="A188" s="536"/>
      <c r="B188" s="2461" t="s">
        <v>1715</v>
      </c>
      <c r="C188" s="2461"/>
      <c r="D188" s="2461"/>
      <c r="E188" s="2461"/>
      <c r="F188" s="2461"/>
      <c r="G188" s="2461"/>
      <c r="H188" s="2461"/>
      <c r="I188" s="2461"/>
      <c r="J188" s="2461"/>
      <c r="K188" s="2461"/>
      <c r="L188" s="2461"/>
      <c r="M188" s="2461"/>
      <c r="N188" s="2461"/>
      <c r="O188" s="2461"/>
      <c r="P188" s="2461"/>
      <c r="Q188" s="2461"/>
      <c r="R188" s="2461"/>
      <c r="S188" s="2461"/>
      <c r="T188" s="2462" t="s">
        <v>591</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7">
        <f>IF(AK83&gt;0,VLOOKUP($B$187,AP184:AQ190,2,FALSE),0)</f>
        <v>10</v>
      </c>
      <c r="AL190" s="2478"/>
      <c r="AM190" s="2479"/>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1365</v>
      </c>
      <c r="AF193" s="2419"/>
      <c r="AG193" s="2419"/>
      <c r="AH193" s="2419"/>
      <c r="AI193" s="2419"/>
      <c r="AJ193" s="2419"/>
      <c r="AK193" s="2419"/>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1616</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1579</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1596</v>
      </c>
      <c r="J221" s="2458"/>
      <c r="K221" s="2458"/>
      <c r="L221" s="536"/>
      <c r="M221" s="536"/>
      <c r="N221" s="536"/>
      <c r="O221" s="536"/>
      <c r="P221" s="536"/>
      <c r="Q221" s="536"/>
      <c r="R221" s="536"/>
      <c r="S221" s="536"/>
      <c r="T221" s="2626" t="s">
        <v>1590</v>
      </c>
      <c r="U221" s="2626"/>
      <c r="V221" s="2626"/>
      <c r="W221" s="2626"/>
      <c r="X221" s="2626"/>
      <c r="Y221" s="2626"/>
      <c r="Z221" s="845"/>
      <c r="AA221" s="489"/>
      <c r="AB221" s="2453" t="s">
        <v>1591</v>
      </c>
      <c r="AC221" s="2453"/>
      <c r="AD221" s="2453"/>
      <c r="AE221" s="2453"/>
      <c r="AF221" s="2453"/>
      <c r="AG221" s="2453"/>
      <c r="AH221" s="823"/>
      <c r="AI221" s="823"/>
      <c r="AJ221" s="823"/>
      <c r="AK221" s="608"/>
    </row>
    <row r="222" spans="1:37" hidden="1">
      <c r="A222" s="603"/>
      <c r="B222" s="2456" t="s">
        <v>1576</v>
      </c>
      <c r="C222" s="2456"/>
      <c r="D222" s="2456"/>
      <c r="E222" s="2456"/>
      <c r="F222" s="2456"/>
      <c r="G222" s="2456"/>
      <c r="I222" s="2457" t="s">
        <v>1597</v>
      </c>
      <c r="J222" s="2457"/>
      <c r="K222" s="2457"/>
      <c r="L222" s="1003"/>
      <c r="N222" s="2447" t="s">
        <v>1592</v>
      </c>
      <c r="O222" s="2447"/>
      <c r="P222" s="2447"/>
      <c r="Q222" s="2447"/>
      <c r="R222" s="2447"/>
      <c r="T222" s="2447" t="s">
        <v>1593</v>
      </c>
      <c r="U222" s="2447"/>
      <c r="V222" s="2447"/>
      <c r="W222" s="2447"/>
      <c r="X222" s="2447"/>
      <c r="Y222" s="2447"/>
      <c r="Z222" s="846"/>
      <c r="AA222" s="489"/>
      <c r="AB222" s="2605" t="s">
        <v>1594</v>
      </c>
      <c r="AC222" s="2605"/>
      <c r="AD222" s="2605"/>
      <c r="AE222" s="2605"/>
      <c r="AF222" s="2605"/>
      <c r="AG222" s="2605"/>
      <c r="AH222" s="823"/>
      <c r="AI222" s="823"/>
      <c r="AJ222" s="823"/>
      <c r="AK222" s="608"/>
    </row>
    <row r="223" spans="1:37" hidden="1">
      <c r="A223" s="603"/>
      <c r="B223" s="2459" t="s">
        <v>1184</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1184</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1184</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1184</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1184</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1184</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1184</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1184</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1184</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1184</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55046230</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t="13"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2">
        <f>IFERROR(IF(AG269=0,0,IF((AG269*100)&gt;8,8,(AG269*100))),0)</f>
        <v>0</v>
      </c>
      <c r="AL272" s="2482"/>
      <c r="AM272" s="2483"/>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74" t="s">
        <v>545</v>
      </c>
      <c r="D279" s="2474"/>
      <c r="E279" s="546"/>
      <c r="F279" s="2629" t="s">
        <v>2570</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1357</v>
      </c>
      <c r="AH279" s="2475"/>
      <c r="AI279" s="2475"/>
      <c r="AJ279" s="2475"/>
      <c r="AK279" s="549"/>
      <c r="AL279" s="549"/>
      <c r="AM279" s="549"/>
      <c r="AO279" s="549"/>
    </row>
    <row r="280" spans="1:52" ht="13.65"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65"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65"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65"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65"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2577</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2">
        <f>IF($C$279="yes",10,0)</f>
        <v>10</v>
      </c>
      <c r="AL298" s="2482"/>
      <c r="AM298" s="2483"/>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2571</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5" t="s">
        <v>1374</v>
      </c>
      <c r="B305" s="1675"/>
      <c r="C305" s="2464" t="s">
        <v>545</v>
      </c>
      <c r="D305" s="2474"/>
      <c r="E305" s="546"/>
      <c r="F305" s="2496" t="s">
        <v>1375</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1982</v>
      </c>
      <c r="AH305" s="2499"/>
      <c r="AI305" s="2499"/>
      <c r="AJ305" s="2499"/>
      <c r="AK305" s="2499"/>
      <c r="AL305" s="549"/>
      <c r="AM305" s="549"/>
      <c r="AN305" s="73"/>
      <c r="AO305" s="14"/>
      <c r="AP305" s="30"/>
      <c r="AS305" s="568"/>
      <c r="AT305" s="568"/>
      <c r="AU305" s="568"/>
      <c r="AV305" s="32"/>
      <c r="AW305" s="32"/>
    </row>
    <row r="306" spans="1:49" ht="13">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8" t="s">
        <v>1987</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ht="13">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1376</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1377</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5" t="s">
        <v>1378</v>
      </c>
      <c r="B315" s="1675"/>
      <c r="C315" s="2474" t="s">
        <v>591</v>
      </c>
      <c r="D315" s="2474"/>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8" t="s">
        <v>1983</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75" t="s">
        <v>1381</v>
      </c>
      <c r="B323" s="1675"/>
      <c r="C323" s="2474" t="s">
        <v>591</v>
      </c>
      <c r="D323" s="2474"/>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68" t="s">
        <v>1988</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1184</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1719</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1184</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t="13"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t="13"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t="13"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t="13"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9" t="s">
        <v>1184</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1722</v>
      </c>
    </row>
    <row r="339" spans="1:42" ht="13"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1724</v>
      </c>
    </row>
    <row r="340" spans="1:42" ht="13"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1723</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09" t="s">
        <v>1184</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5" t="s">
        <v>1384</v>
      </c>
      <c r="B346" s="1675"/>
      <c r="C346" s="2474" t="s">
        <v>591</v>
      </c>
      <c r="D346" s="2474"/>
      <c r="E346" s="546"/>
      <c r="F346" s="2407" t="s">
        <v>1989</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7">
        <f>IF(NOT(OR(Application!M364="Yes",Application!M365="Yes")),0,AP308)</f>
        <v>10</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9" t="s">
        <v>1308</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1445</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5"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2049</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2163</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1446</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2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9"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0</v>
      </c>
      <c r="AS370" s="539" t="s">
        <v>1447</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7</v>
      </c>
      <c r="AS372" s="539" t="s">
        <v>1448</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0</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581</v>
      </c>
      <c r="AP374" s="692">
        <f>IF(C420="Yes",5,0)</f>
        <v>0</v>
      </c>
      <c r="AS374" s="539" t="s">
        <v>1853</v>
      </c>
    </row>
    <row r="375" spans="1:46" s="549" customFormat="1" ht="12.75" customHeight="1">
      <c r="A375" s="601"/>
      <c r="B375" s="609"/>
      <c r="C375" s="2544" t="s">
        <v>2187</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3</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763</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584</v>
      </c>
      <c r="AP377" s="692">
        <f>IF(C434="Yes",5,0)</f>
        <v>0</v>
      </c>
    </row>
    <row r="378" spans="1:46" s="549" customFormat="1" ht="11.9"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5"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227</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3" t="s">
        <v>1449</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456</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461</v>
      </c>
      <c r="AP383" s="692">
        <f>IF(C462="Yes",5,0)</f>
        <v>0</v>
      </c>
    </row>
    <row r="384" spans="1:46" s="549" customFormat="1" ht="68.150000000000006"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09">
        <f>Application!DU810-U387</f>
        <v>119</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4</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5">
        <f>IF(AP388&gt;0,AP388,0)</f>
        <v>0</v>
      </c>
      <c r="AR388" s="2545"/>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7" t="s">
        <v>1451</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591</v>
      </c>
      <c r="D394" s="2474"/>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1453</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7" t="s">
        <v>1454</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591</v>
      </c>
      <c r="D402" s="2474"/>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1453</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7" t="s">
        <v>1456</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545</v>
      </c>
      <c r="D410" s="2474"/>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1458</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591</v>
      </c>
      <c r="D412" s="2474"/>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1453</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7" t="s">
        <v>1462</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591</v>
      </c>
      <c r="D420" s="2474"/>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1453</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545</v>
      </c>
      <c r="D422" s="2474"/>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1465</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591</v>
      </c>
      <c r="D425" s="2474"/>
      <c r="E425" s="711" t="s">
        <v>1466</v>
      </c>
      <c r="F425" s="2517" t="s">
        <v>1467</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1453</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7" t="s">
        <v>1469</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ht="13">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591</v>
      </c>
      <c r="D434" s="2474"/>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1453</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591</v>
      </c>
      <c r="D436" s="2474"/>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1465</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7" t="s">
        <v>1473</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5"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591</v>
      </c>
      <c r="D443" s="2474"/>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1453</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517" t="s">
        <v>1476</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591</v>
      </c>
      <c r="D455" s="2474"/>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1453</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7" t="s">
        <v>1479</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591</v>
      </c>
      <c r="D462" s="2474"/>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1453</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591</v>
      </c>
      <c r="D466" s="2520"/>
      <c r="E466" s="711" t="s">
        <v>1488</v>
      </c>
      <c r="F466" s="2517" t="s">
        <v>1489</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1453</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75"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591</v>
      </c>
      <c r="D470" s="2474"/>
      <c r="E470" s="711" t="s">
        <v>1494</v>
      </c>
      <c r="F470" s="2517" t="s">
        <v>1495</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1453</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7" t="s">
        <v>1498</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591</v>
      </c>
      <c r="D479" s="2474"/>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1453</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5" t="s">
        <v>1502</v>
      </c>
      <c r="AF485" s="2515"/>
      <c r="AG485" s="2515"/>
      <c r="AH485" s="2515"/>
      <c r="AI485" s="2515"/>
      <c r="AJ485" s="2515"/>
      <c r="AK485" s="2515"/>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1" t="s">
        <v>591</v>
      </c>
      <c r="D491" s="2522"/>
      <c r="E491" s="757" t="s">
        <v>507</v>
      </c>
      <c r="F491" s="2523" t="s">
        <v>1508</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9" t="s">
        <v>591</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0" t="s">
        <v>545</v>
      </c>
      <c r="D495" s="2641"/>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8" t="s">
        <v>591</v>
      </c>
      <c r="W498" s="2608"/>
      <c r="X498" s="2608"/>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8" t="s">
        <v>591</v>
      </c>
      <c r="W500" s="2608"/>
      <c r="X500" s="2608"/>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8" t="s">
        <v>591</v>
      </c>
      <c r="W505" s="2608"/>
      <c r="X505" s="2608"/>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4"/>
      <c r="E508" s="2594"/>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8" t="s">
        <v>591</v>
      </c>
      <c r="W509" s="2608"/>
      <c r="X509" s="2608"/>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8" t="s">
        <v>591</v>
      </c>
      <c r="W511" s="2608"/>
      <c r="X511" s="2608"/>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591</v>
      </c>
      <c r="D514" s="2522"/>
      <c r="E514" s="757" t="s">
        <v>507</v>
      </c>
      <c r="F514" s="2523" t="s">
        <v>1508</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591</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591</v>
      </c>
      <c r="D518" s="2522"/>
      <c r="E518" s="757" t="s">
        <v>757</v>
      </c>
      <c r="F518" s="2616" t="s">
        <v>1530</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8" t="s">
        <v>591</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21" t="s">
        <v>591</v>
      </c>
      <c r="D523" s="2522"/>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3"/>
      <c r="D525" s="2594"/>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591</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591</v>
      </c>
      <c r="D528" s="2597"/>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591</v>
      </c>
      <c r="D532" s="2597"/>
      <c r="F532" s="791" t="s">
        <v>1538</v>
      </c>
      <c r="G532" s="2390" t="s">
        <v>1539</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591</v>
      </c>
      <c r="D536" s="2599"/>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591</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1551</v>
      </c>
      <c r="AF551" s="2419"/>
      <c r="AG551" s="2419"/>
      <c r="AH551" s="2419"/>
      <c r="AI551" s="2419"/>
      <c r="AJ551" s="2419"/>
      <c r="AK551" s="2419"/>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591</v>
      </c>
      <c r="D554" s="2474"/>
      <c r="E554" s="550"/>
      <c r="F554" s="2525" t="s">
        <v>1552</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545</v>
      </c>
      <c r="D557" s="2474"/>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2630</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1554</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48313860</v>
      </c>
      <c r="AQ563" s="2607"/>
      <c r="AR563" s="2607"/>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47636124</v>
      </c>
      <c r="AG564" s="2480"/>
      <c r="AH564" s="2480"/>
      <c r="AI564" s="2480"/>
      <c r="AJ564" s="2480"/>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99555729.799999997</v>
      </c>
      <c r="AG565" s="2611"/>
      <c r="AH565" s="2611"/>
      <c r="AI565" s="2611"/>
      <c r="AJ565" s="2611"/>
      <c r="AK565" s="593"/>
      <c r="AL565" s="593"/>
      <c r="AM565" s="593"/>
      <c r="AN565" s="595"/>
      <c r="AP565" s="2607">
        <f>Application!AJ1054</f>
        <v>5314524.5999999996</v>
      </c>
      <c r="AQ565" s="2607"/>
      <c r="AR565" s="2607"/>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1.04</v>
      </c>
      <c r="AG566" s="2612"/>
      <c r="AH566" s="2612"/>
      <c r="AI566" s="2612"/>
      <c r="AJ566" s="2612"/>
      <c r="AK566" s="593"/>
      <c r="AL566" s="593"/>
      <c r="AM566" s="593"/>
      <c r="AN566" s="595"/>
      <c r="AP566" s="2627">
        <f>Application!AJ1058</f>
        <v>15460435.200000001</v>
      </c>
      <c r="AQ566" s="2627"/>
      <c r="AR566" s="2627"/>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0.43</v>
      </c>
      <c r="AQ567" s="2606"/>
      <c r="AR567" s="2606"/>
      <c r="AS567" s="549" t="s">
        <v>2127</v>
      </c>
    </row>
    <row r="568" spans="1:45" s="549" customFormat="1" ht="12.75" customHeight="1">
      <c r="A568" s="622"/>
      <c r="B568" s="2553" t="s">
        <v>1993</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78780770</v>
      </c>
      <c r="AQ569" s="2538"/>
      <c r="AR569" s="2538"/>
      <c r="AS569" s="549" t="s">
        <v>2129</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99555729.799999997</v>
      </c>
      <c r="AQ570" s="2607"/>
      <c r="AR570" s="2607"/>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2">
        <f>IFERROR(IF(AND(C554="N/A",C557="N/A"),0,IF(AF566=0,0,IF((AF566*100)&gt;12,12,(AF566*100)))),0)</f>
        <v>12</v>
      </c>
      <c r="AL572" s="2562"/>
      <c r="AM572" s="2563"/>
      <c r="AN572" s="595"/>
      <c r="AP572" s="2620">
        <f>AP569+(AP563*AP567)</f>
        <v>99555729.799999997</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1308</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1985</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1332</v>
      </c>
      <c r="AG591" s="2452"/>
      <c r="AH591" s="2452"/>
      <c r="AI591" s="2452"/>
      <c r="AJ591" s="2452"/>
      <c r="AK591" s="2452"/>
      <c r="AL591" s="2452"/>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1388</v>
      </c>
      <c r="AG598" s="2452"/>
      <c r="AH598" s="2452"/>
      <c r="AI598" s="2452"/>
      <c r="AJ598" s="2452"/>
      <c r="AK598" s="2452"/>
      <c r="AL598" s="2452"/>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1371</v>
      </c>
      <c r="AG604" s="2452"/>
      <c r="AH604" s="2452"/>
      <c r="AI604" s="2452"/>
      <c r="AJ604" s="2452"/>
      <c r="AK604" s="2452"/>
      <c r="AL604" s="2452"/>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1391</v>
      </c>
      <c r="AG610" s="2452"/>
      <c r="AH610" s="2452"/>
      <c r="AI610" s="2452"/>
      <c r="AJ610" s="2452"/>
      <c r="AK610" s="2452"/>
      <c r="AL610" s="2452"/>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1346</v>
      </c>
      <c r="AG616" s="2452"/>
      <c r="AH616" s="2452"/>
      <c r="AI616" s="2452"/>
      <c r="AJ616" s="2452"/>
      <c r="AK616" s="2452"/>
      <c r="AL616" s="2452"/>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2" t="s">
        <v>687</v>
      </c>
      <c r="I619" s="2532"/>
      <c r="J619" s="932"/>
      <c r="K619" s="932"/>
      <c r="L619" s="932"/>
      <c r="N619" s="22"/>
      <c r="O619" s="22"/>
      <c r="P619" s="22"/>
      <c r="Q619" s="1145" t="s">
        <v>2132</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4" t="s">
        <v>591</v>
      </c>
      <c r="C629" s="2464"/>
      <c r="D629" s="640"/>
      <c r="E629" s="2469" t="s">
        <v>1395</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7">
        <f>VLOOKUP($H$619,$AO$599:$AP$604,2,FALSE)+IF(R619=AO607,0,VLOOKUP($I$627,$AO$626:$AP$628,2,FALSE))</f>
        <v>7</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1" t="s">
        <v>1683</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1346</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4" t="s">
        <v>591</v>
      </c>
      <c r="Y647" s="246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1400</v>
      </c>
      <c r="AG649" s="2452"/>
      <c r="AH649" s="2452"/>
      <c r="AI649" s="2452"/>
      <c r="AJ649" s="2452"/>
      <c r="AK649" s="2452"/>
      <c r="AL649" s="245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2" t="s">
        <v>687</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7">
        <f>VLOOKUP($H$651,$AO$618:$AP$620,2,FALSE)</f>
        <v>3</v>
      </c>
      <c r="AK653" s="2479"/>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9" t="s">
        <v>2054</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1346</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1400</v>
      </c>
      <c r="AG660" s="2452"/>
      <c r="AH660" s="2452"/>
      <c r="AI660" s="2452"/>
      <c r="AJ660" s="2452"/>
      <c r="AK660" s="2452"/>
      <c r="AL660" s="2452"/>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2" t="s">
        <v>591</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7">
        <f>VLOOKUP(H663,AT618:AU620,2,FALSE)</f>
        <v>0</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9" t="s">
        <v>1410</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1371</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9" t="s">
        <v>1411</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1391</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9" t="s">
        <v>1412</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1346</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591</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9" t="s">
        <v>1413</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1391</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9" t="s">
        <v>1414</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1346</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9" t="s">
        <v>1415</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1400</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9" t="s">
        <v>1416</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1417</v>
      </c>
      <c r="AG694" s="2452"/>
      <c r="AH694" s="2452"/>
      <c r="AI694" s="2452"/>
      <c r="AJ694" s="2452"/>
      <c r="AK694" s="2452"/>
      <c r="AL694" s="2452"/>
      <c r="AM694" s="594"/>
      <c r="AN694" s="595"/>
      <c r="AO694" s="609" t="s">
        <v>687</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2" t="s">
        <v>687</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7">
        <f>VLOOKUP($H$698,$AO$646:$AP$653,2,FALSE)</f>
        <v>5</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4</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62</v>
      </c>
    </row>
    <row r="704" spans="1:50" s="549" customFormat="1" ht="12.75" customHeight="1">
      <c r="A704" s="675"/>
      <c r="B704" s="536"/>
      <c r="C704" s="944"/>
      <c r="D704" s="659" t="s">
        <v>687</v>
      </c>
      <c r="E704" s="2539" t="s">
        <v>2145</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1346</v>
      </c>
      <c r="AG704" s="2452"/>
      <c r="AH704" s="2452"/>
      <c r="AI704" s="2452"/>
      <c r="AJ704" s="2452"/>
      <c r="AK704" s="2452"/>
      <c r="AL704" s="2452"/>
      <c r="AN704" s="595"/>
      <c r="AW704" s="22" t="s">
        <v>2140</v>
      </c>
      <c r="AX704" s="549">
        <f>Application!DE761</f>
        <v>20</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69" t="s">
        <v>2090</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1346</v>
      </c>
      <c r="AG707" s="2452"/>
      <c r="AH707" s="2452"/>
      <c r="AI707" s="2452"/>
      <c r="AJ707" s="2452"/>
      <c r="AK707" s="2452"/>
      <c r="AL707" s="2452"/>
      <c r="AN707" s="595"/>
      <c r="AW707" s="22" t="s">
        <v>2143</v>
      </c>
      <c r="AX707" s="549">
        <f>AX704+AX705+AX706</f>
        <v>20</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1</v>
      </c>
      <c r="AP708" s="2538"/>
      <c r="AW708" s="22" t="s">
        <v>2144</v>
      </c>
      <c r="AX708" s="549">
        <f>IFERROR(AX707/AX703,0)</f>
        <v>0.32258064516129031</v>
      </c>
      <c r="AY708" s="549">
        <f>IFERROR(AX707/(AX703-AX702),0)</f>
        <v>0.34482758620689657</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9" t="s">
        <v>2091</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1400</v>
      </c>
      <c r="AG712" s="2452"/>
      <c r="AH712" s="2452"/>
      <c r="AI712" s="2452"/>
      <c r="AJ712" s="2452"/>
      <c r="AK712" s="2452"/>
      <c r="AL712" s="2452"/>
      <c r="AN712" s="595"/>
      <c r="AO712" s="609" t="s">
        <v>509</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9" t="s">
        <v>1682</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2" t="s">
        <v>509</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7">
        <f>VLOOKUP($H$722,$AO$716:$AP$719,2,FALSE)</f>
        <v>3</v>
      </c>
      <c r="AK724" s="2479"/>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0" t="s">
        <v>1684</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1346</v>
      </c>
      <c r="AG728" s="2452"/>
      <c r="AH728" s="2452"/>
      <c r="AI728" s="2452"/>
      <c r="AJ728" s="2452"/>
      <c r="AK728" s="2452"/>
      <c r="AL728" s="2452"/>
      <c r="AM728" s="549"/>
      <c r="AN728" s="680"/>
      <c r="AP728" s="568" t="s">
        <v>1424</v>
      </c>
    </row>
    <row r="729" spans="1:43" s="568" customFormat="1" ht="11.9"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41" t="s">
        <v>1427</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1400</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532" t="s">
        <v>591</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469" t="s">
        <v>1685</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1346</v>
      </c>
      <c r="AG742" s="2452"/>
      <c r="AH742" s="2452"/>
      <c r="AI742" s="2452"/>
      <c r="AJ742" s="2452"/>
      <c r="AK742" s="2452"/>
      <c r="AL742" s="2452"/>
      <c r="AM742" s="549"/>
      <c r="AN742" s="680"/>
      <c r="AT742" s="14"/>
      <c r="AU742" s="14"/>
      <c r="AV742" s="14"/>
      <c r="AW742" s="14"/>
      <c r="AX742" s="14"/>
      <c r="AY742" s="14"/>
      <c r="AZ742" s="14"/>
    </row>
    <row r="743" spans="1:81" s="568" customFormat="1" ht="13">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9" t="s">
        <v>1431</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1400</v>
      </c>
      <c r="AG745" s="2452"/>
      <c r="AH745" s="2452"/>
      <c r="AI745" s="2452"/>
      <c r="AJ745" s="2452"/>
      <c r="AK745" s="2452"/>
      <c r="AL745" s="2452"/>
      <c r="AM745" s="549"/>
      <c r="AN745" s="680"/>
      <c r="AT745" s="14"/>
      <c r="AU745" s="14"/>
      <c r="AV745" s="14"/>
      <c r="AW745" s="14"/>
      <c r="AX745" s="14"/>
      <c r="AY745" s="14"/>
      <c r="AZ745" s="14"/>
    </row>
    <row r="746" spans="1:81" s="568" customFormat="1" ht="13">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2" t="s">
        <v>591</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469" t="s">
        <v>1434</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1346</v>
      </c>
      <c r="AG754" s="2452"/>
      <c r="AH754" s="2452"/>
      <c r="AI754" s="2452"/>
      <c r="AJ754" s="2452"/>
      <c r="AK754" s="2452"/>
      <c r="AL754" s="2452"/>
      <c r="AM754" s="549"/>
      <c r="AN754" s="680"/>
      <c r="AT754" s="14"/>
      <c r="AU754" s="14"/>
      <c r="AV754" s="14"/>
      <c r="AW754" s="14"/>
      <c r="AX754" s="14"/>
      <c r="AY754" s="14"/>
      <c r="AZ754" s="14"/>
    </row>
    <row r="755" spans="1:81" s="568" customFormat="1" ht="13">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469" t="s">
        <v>1435</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1400</v>
      </c>
      <c r="AG759" s="2452"/>
      <c r="AH759" s="2452"/>
      <c r="AI759" s="2452"/>
      <c r="AJ759" s="2452"/>
      <c r="AK759" s="2452"/>
      <c r="AL759" s="2452"/>
      <c r="AM759" s="549"/>
      <c r="AN759" s="680"/>
      <c r="AO759" s="30"/>
      <c r="AP759" s="14"/>
    </row>
    <row r="760" spans="1:81" s="568" customFormat="1" ht="13">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2" t="s">
        <v>591</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7">
        <f>VLOOKUP($H$764,$AO$693:$AP$695,2,FALSE)</f>
        <v>0</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469" t="s">
        <v>1437</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1400</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469" t="s">
        <v>1438</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1417</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2" t="s">
        <v>687</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7">
        <f>VLOOKUP($H$776,$AO$710:$AP$712,2,FALSE)</f>
        <v>2</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687</v>
      </c>
      <c r="E782" s="2469" t="s">
        <v>1681</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1400</v>
      </c>
      <c r="AG782" s="2452"/>
      <c r="AH782" s="2452"/>
      <c r="AI782" s="2452"/>
      <c r="AJ782" s="2452"/>
      <c r="AK782" s="2452"/>
      <c r="AL782" s="2452"/>
      <c r="AM782" s="611"/>
      <c r="AN782" s="680"/>
      <c r="AO782" s="549" t="s">
        <v>591</v>
      </c>
      <c r="AP782" s="669">
        <v>0</v>
      </c>
    </row>
    <row r="783" spans="1:74" s="568" customFormat="1" ht="13.65"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2" t="s">
        <v>1686</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1346</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2" t="s">
        <v>591</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7">
        <f>VLOOKUP($H$792,$AO$782:$AP$784,2,FALSE)</f>
        <v>0</v>
      </c>
      <c r="AK794" s="2479"/>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687</v>
      </c>
      <c r="E798" s="2469" t="s">
        <v>2640</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1346</v>
      </c>
      <c r="AG798" s="2452"/>
      <c r="AH798" s="2452"/>
      <c r="AI798" s="2452"/>
      <c r="AJ798" s="2452"/>
      <c r="AK798" s="2452"/>
      <c r="AL798" s="2452"/>
      <c r="AM798" s="611"/>
      <c r="AN798" s="680"/>
      <c r="AO798" s="609" t="s">
        <v>545</v>
      </c>
      <c r="AP798" s="549">
        <v>3</v>
      </c>
      <c r="AT798" s="670"/>
      <c r="AU798" s="670"/>
      <c r="AV798" s="670"/>
      <c r="AW798" s="670"/>
      <c r="AX798" s="670"/>
      <c r="AY798" s="670"/>
      <c r="AZ798" s="670"/>
    </row>
    <row r="799" spans="1:81" s="568" customFormat="1" ht="13.65"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532" t="s">
        <v>545</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7">
        <f>VLOOKUP($H$803,$AO$797:$AP$798,2,FALSE)</f>
        <v>3</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9" t="s">
        <v>2602</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1371</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532" t="s">
        <v>591</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1558</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ht="1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7" t="s">
        <v>1559</v>
      </c>
      <c r="U824" s="2568"/>
      <c r="V824" s="2568"/>
      <c r="W824" s="2568"/>
      <c r="X824" s="2568"/>
      <c r="Y824" s="2569"/>
      <c r="Z824" s="2567" t="s">
        <v>1560</v>
      </c>
      <c r="AA824" s="2568"/>
      <c r="AB824" s="2568"/>
      <c r="AC824" s="2568"/>
      <c r="AD824" s="2568"/>
      <c r="AE824" s="2569"/>
      <c r="AF824" s="2567" t="s">
        <v>1561</v>
      </c>
      <c r="AG824" s="2568"/>
      <c r="AH824" s="2568"/>
      <c r="AI824" s="2568"/>
      <c r="AJ824" s="2568"/>
      <c r="AK824" s="2569"/>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ht="13">
      <c r="A826" s="815" t="s">
        <v>757</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0</v>
      </c>
      <c r="U826" s="2550"/>
      <c r="V826" s="2550"/>
      <c r="W826" s="2550"/>
      <c r="X826" s="2550"/>
      <c r="Y826" s="2551"/>
      <c r="Z826" s="2552">
        <v>20</v>
      </c>
      <c r="AA826" s="2550"/>
      <c r="AB826" s="2550"/>
      <c r="AC826" s="2550"/>
      <c r="AD826" s="2550"/>
      <c r="AE826" s="2551"/>
      <c r="AF826" s="2545">
        <f>IF(T826&gt;Z826,Z826,T826)</f>
        <v>0</v>
      </c>
      <c r="AG826" s="2545"/>
      <c r="AH826" s="2545"/>
      <c r="AI826" s="2545"/>
      <c r="AJ826" s="2545"/>
      <c r="AK826" s="2545"/>
      <c r="AL826" s="814"/>
      <c r="AM826" s="594"/>
      <c r="AO826" s="812"/>
      <c r="AP826" s="812"/>
      <c r="AQ826" s="812"/>
    </row>
    <row r="827" spans="1:43" ht="13">
      <c r="A827" s="815" t="s">
        <v>1532</v>
      </c>
      <c r="B827" s="2547" t="s">
        <v>1307</v>
      </c>
      <c r="C827" s="2547"/>
      <c r="D827" s="2547"/>
      <c r="E827" s="2547"/>
      <c r="F827" s="2547"/>
      <c r="G827" s="2547"/>
      <c r="H827" s="2547"/>
      <c r="I827" s="2547"/>
      <c r="J827" s="2547"/>
      <c r="K827" s="2547"/>
      <c r="L827" s="2547"/>
      <c r="M827" s="2547"/>
      <c r="N827" s="2547"/>
      <c r="O827" s="2547"/>
      <c r="P827" s="2547"/>
      <c r="Q827" s="2547"/>
      <c r="R827" s="2547"/>
      <c r="S827" s="2548"/>
      <c r="T827" s="2549">
        <f>AK83</f>
        <v>10</v>
      </c>
      <c r="U827" s="2550"/>
      <c r="V827" s="2550"/>
      <c r="W827" s="2550"/>
      <c r="X827" s="2550"/>
      <c r="Y827" s="2551"/>
      <c r="Z827" s="2552">
        <v>10</v>
      </c>
      <c r="AA827" s="2550"/>
      <c r="AB827" s="2550"/>
      <c r="AC827" s="2550"/>
      <c r="AD827" s="2550"/>
      <c r="AE827" s="2551"/>
      <c r="AF827" s="2545">
        <f>IF(T827&gt;Z827,Z827,T827)</f>
        <v>10</v>
      </c>
      <c r="AG827" s="2545"/>
      <c r="AH827" s="2545"/>
      <c r="AI827" s="2545"/>
      <c r="AJ827" s="2545"/>
      <c r="AK827" s="2545"/>
      <c r="AL827" s="814"/>
      <c r="AM827" s="594"/>
      <c r="AO827" s="812"/>
      <c r="AP827" s="812"/>
      <c r="AQ827" s="812"/>
    </row>
    <row r="828" spans="1:43" ht="13">
      <c r="A828" s="815" t="s">
        <v>1541</v>
      </c>
      <c r="B828" s="2547" t="s">
        <v>1317</v>
      </c>
      <c r="C828" s="2547"/>
      <c r="D828" s="2547"/>
      <c r="E828" s="2547"/>
      <c r="F828" s="2547"/>
      <c r="G828" s="2547"/>
      <c r="H828" s="2547"/>
      <c r="I828" s="2547"/>
      <c r="J828" s="2547"/>
      <c r="K828" s="2547"/>
      <c r="L828" s="2547"/>
      <c r="M828" s="2547"/>
      <c r="N828" s="2547"/>
      <c r="O828" s="2547"/>
      <c r="P828" s="2547"/>
      <c r="Q828" s="2547"/>
      <c r="R828" s="2547"/>
      <c r="S828" s="2548"/>
      <c r="T828" s="2549">
        <f ca="1">AK108</f>
        <v>20</v>
      </c>
      <c r="U828" s="2550"/>
      <c r="V828" s="2550"/>
      <c r="W828" s="2550"/>
      <c r="X828" s="2550"/>
      <c r="Y828" s="2551"/>
      <c r="Z828" s="2552">
        <v>20</v>
      </c>
      <c r="AA828" s="2550"/>
      <c r="AB828" s="2550"/>
      <c r="AC828" s="2550"/>
      <c r="AD828" s="2550"/>
      <c r="AE828" s="2551"/>
      <c r="AF828" s="2545">
        <f ca="1">IF(T828&gt;Z828,Z828,T828)</f>
        <v>20</v>
      </c>
      <c r="AG828" s="2545"/>
      <c r="AH828" s="2545"/>
      <c r="AI828" s="2545"/>
      <c r="AJ828" s="2545"/>
      <c r="AK828" s="2545"/>
      <c r="AL828" s="814"/>
      <c r="AM828" s="594"/>
      <c r="AO828" s="812"/>
      <c r="AP828" s="812"/>
      <c r="AQ828" s="812"/>
    </row>
    <row r="829" spans="1:43" ht="13">
      <c r="A829" s="815" t="s">
        <v>1562</v>
      </c>
      <c r="B829" s="2547" t="s">
        <v>1327</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ht="13">
      <c r="A830" s="816" t="s">
        <v>1563</v>
      </c>
      <c r="B830" s="2547" t="s">
        <v>1564</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ht="13">
      <c r="A831" s="535"/>
      <c r="B831" s="599"/>
      <c r="C831" s="2574" t="s">
        <v>1565</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ht="13">
      <c r="A832" s="598"/>
      <c r="B832" s="599"/>
      <c r="C832" s="2574" t="s">
        <v>1566</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ht="13">
      <c r="A833" s="816" t="s">
        <v>1355</v>
      </c>
      <c r="B833" s="2547" t="s">
        <v>1567</v>
      </c>
      <c r="C833" s="2547"/>
      <c r="D833" s="2547"/>
      <c r="E833" s="2547"/>
      <c r="F833" s="2547"/>
      <c r="G833" s="2547"/>
      <c r="H833" s="2547"/>
      <c r="I833" s="2547"/>
      <c r="J833" s="2547"/>
      <c r="K833" s="2547"/>
      <c r="L833" s="2547"/>
      <c r="M833" s="2547"/>
      <c r="N833" s="2547"/>
      <c r="O833" s="2547"/>
      <c r="P833" s="2547"/>
      <c r="Q833" s="2547"/>
      <c r="R833" s="2547"/>
      <c r="S833" s="2548"/>
      <c r="T833" s="2573">
        <f>AK190</f>
        <v>10</v>
      </c>
      <c r="U833" s="2573"/>
      <c r="V833" s="2573"/>
      <c r="W833" s="2573"/>
      <c r="X833" s="2573"/>
      <c r="Y833" s="2573"/>
      <c r="Z833" s="2545">
        <v>10</v>
      </c>
      <c r="AA833" s="2545"/>
      <c r="AB833" s="2545"/>
      <c r="AC833" s="2545"/>
      <c r="AD833" s="2545"/>
      <c r="AE833" s="2545"/>
      <c r="AF833" s="2545">
        <f>IF(T833&gt;Z833,Z833,T833)</f>
        <v>10</v>
      </c>
      <c r="AG833" s="2545"/>
      <c r="AH833" s="2545"/>
      <c r="AI833" s="2545"/>
      <c r="AJ833" s="2545"/>
      <c r="AK833" s="2545"/>
      <c r="AL833" s="814"/>
      <c r="AM833" s="594"/>
    </row>
    <row r="834" spans="1:81" ht="13" hidden="1">
      <c r="A834" s="815" t="s">
        <v>1363</v>
      </c>
      <c r="B834" s="2547" t="s">
        <v>1364</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t="13" hidden="1">
      <c r="A835" s="816" t="s">
        <v>589</v>
      </c>
      <c r="B835" s="2547" t="s">
        <v>1568</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10</v>
      </c>
      <c r="U837" s="2573"/>
      <c r="V837" s="2573"/>
      <c r="W837" s="2573"/>
      <c r="X837" s="2573"/>
      <c r="Y837" s="2573"/>
      <c r="Z837" s="2578">
        <v>10</v>
      </c>
      <c r="AA837" s="2579"/>
      <c r="AB837" s="2579"/>
      <c r="AC837" s="2579"/>
      <c r="AD837" s="2579"/>
      <c r="AE837" s="2580"/>
      <c r="AF837" s="2578">
        <f>IF(T837&gt;Z837,Z837,T837)</f>
        <v>10</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6">
        <f>AK351</f>
        <v>10</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7" t="s">
        <v>845</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7" t="s">
        <v>1550</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7" t="s">
        <v>1570</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1572</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81" t="s">
        <v>1573</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 ca="1">SUM(AF826:AK841)-AF842</f>
        <v>112</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Andrusz</cp:lastModifiedBy>
  <cp:lastPrinted>2024-12-09T20:28:29Z</cp:lastPrinted>
  <dcterms:created xsi:type="dcterms:W3CDTF">2007-12-27T18:26:28Z</dcterms:created>
  <dcterms:modified xsi:type="dcterms:W3CDTF">2026-02-02T14:07:47Z</dcterms:modified>
</cp:coreProperties>
</file>