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Rolling Hills III\6. Finance\Funding sources\5. TCAC-CDLAC\2026 Round 1\As Submitted\"/>
    </mc:Choice>
  </mc:AlternateContent>
  <xr:revisionPtr revIDLastSave="0" documentId="13_ncr:1_{90B3B00C-61A5-437B-955B-32D5393C993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84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7" l="1"/>
  <c r="S45" i="4"/>
  <c r="C80" i="4"/>
  <c r="C45" i="4"/>
  <c r="AM570" i="3"/>
  <c r="AO639" i="3"/>
  <c r="S49" i="4"/>
  <c r="E91" i="4"/>
  <c r="C13" i="4"/>
  <c r="C49" i="4"/>
  <c r="C93" i="4"/>
  <c r="E69" i="4"/>
  <c r="S69" i="4"/>
  <c r="E30" i="4"/>
  <c r="G613" i="3"/>
  <c r="C43" i="4" l="1"/>
  <c r="E43" i="4"/>
  <c r="E10" i="4"/>
  <c r="E99" i="4"/>
  <c r="E84" i="4"/>
  <c r="E85" i="4"/>
  <c r="E86" i="4"/>
  <c r="E89" i="4"/>
  <c r="E90" i="4"/>
  <c r="E92" i="4"/>
  <c r="E83" i="4"/>
  <c r="E80" i="4"/>
  <c r="E79" i="4"/>
  <c r="E75" i="4"/>
  <c r="E65" i="4"/>
  <c r="E61" i="4"/>
  <c r="E58" i="4"/>
  <c r="E46" i="4"/>
  <c r="E47" i="4"/>
  <c r="E48" i="4"/>
  <c r="E50" i="4"/>
  <c r="E51" i="4"/>
  <c r="E52" i="4"/>
  <c r="E40" i="4"/>
  <c r="E5" i="4"/>
  <c r="E6" i="4"/>
  <c r="E4" i="4"/>
  <c r="E31" i="4"/>
  <c r="E32" i="4"/>
  <c r="E36" i="4"/>
  <c r="E37" i="4"/>
  <c r="E93" i="4"/>
  <c r="E13" i="4"/>
  <c r="E45" i="4"/>
  <c r="E88" i="4"/>
  <c r="C94" i="4"/>
  <c r="E94" i="4" s="1"/>
  <c r="E49" i="4"/>
  <c r="C67" i="4"/>
  <c r="E67" i="4" s="1"/>
  <c r="E53" i="4"/>
  <c r="C9" i="7" l="1"/>
  <c r="AF842" i="20"/>
  <c r="AJ814" i="20" l="1"/>
  <c r="AY1022" i="3"/>
  <c r="BE18" i="3"/>
  <c r="AN28" i="24"/>
  <c r="AH28" i="24"/>
  <c r="AB28" i="24"/>
  <c r="V28" i="24"/>
  <c r="P28" i="24"/>
  <c r="J28" i="24" s="1"/>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AN29" i="24" l="1"/>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s="1"/>
  <c r="BN150" i="3" l="1"/>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B36" i="4"/>
  <c r="B66" i="4"/>
  <c r="B67" i="4"/>
  <c r="B68" i="4"/>
  <c r="B69" i="4"/>
  <c r="R66" i="4"/>
  <c r="R67" i="4"/>
  <c r="S67" i="4"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B67" i="13"/>
  <c r="C67" i="13" s="1"/>
  <c r="B68" i="13"/>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S84" i="4" s="1"/>
  <c r="B59" i="4"/>
  <c r="C80" i="11"/>
  <c r="C81" i="11"/>
  <c r="B80" i="11"/>
  <c r="B81" i="11"/>
  <c r="I96" i="13"/>
  <c r="J96" i="13"/>
  <c r="J81" i="13"/>
  <c r="I81" i="13"/>
  <c r="G81" i="13"/>
  <c r="H80" i="13"/>
  <c r="B80" i="13"/>
  <c r="C80" i="13" s="1"/>
  <c r="R80" i="4"/>
  <c r="S80" i="4" s="1"/>
  <c r="E80" i="13" s="1"/>
  <c r="F80" i="13" s="1"/>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2" i="13"/>
  <c r="F92" i="13" s="1"/>
  <c r="E91" i="13"/>
  <c r="F91" i="13" s="1"/>
  <c r="E90" i="13"/>
  <c r="F90" i="13" s="1"/>
  <c r="E89" i="13"/>
  <c r="F89" i="13" s="1"/>
  <c r="E87" i="13"/>
  <c r="F87" i="13" s="1"/>
  <c r="E86" i="13"/>
  <c r="F86" i="13" s="1"/>
  <c r="E85" i="13"/>
  <c r="F85" i="13" s="1"/>
  <c r="E84" i="13"/>
  <c r="F84" i="13" s="1"/>
  <c r="E79" i="13"/>
  <c r="F79" i="13" s="1"/>
  <c r="F81" i="13" s="1"/>
  <c r="E65" i="13"/>
  <c r="F65" i="13" s="1"/>
  <c r="E53" i="13"/>
  <c r="F53" i="13" s="1"/>
  <c r="E49" i="13"/>
  <c r="F49" i="13" s="1"/>
  <c r="E48" i="13"/>
  <c r="F48" i="13" s="1"/>
  <c r="E47" i="13"/>
  <c r="F47" i="13" s="1"/>
  <c r="E46" i="13"/>
  <c r="F46" i="13" s="1"/>
  <c r="E45" i="13"/>
  <c r="F45" i="13" s="1"/>
  <c r="E41" i="13"/>
  <c r="E40" i="13"/>
  <c r="F40" i="13" s="1"/>
  <c r="E35" i="13"/>
  <c r="F35" i="13" s="1"/>
  <c r="E34" i="13"/>
  <c r="F34" i="13" s="1"/>
  <c r="E33" i="13"/>
  <c r="F33" i="13" s="1"/>
  <c r="E29" i="13"/>
  <c r="E27" i="13"/>
  <c r="E25" i="13"/>
  <c r="E23" i="13"/>
  <c r="E22" i="13"/>
  <c r="E21" i="13"/>
  <c r="E20" i="13"/>
  <c r="E19" i="13"/>
  <c r="E18" i="13"/>
  <c r="E17" i="13"/>
  <c r="E15" i="13"/>
  <c r="E14" i="13"/>
  <c r="E13" i="13"/>
  <c r="F13" i="13" s="1"/>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B76" i="13"/>
  <c r="B75" i="13"/>
  <c r="C75"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B37" i="13"/>
  <c r="C37" i="13" s="1"/>
  <c r="B35" i="13"/>
  <c r="C35" i="13" s="1"/>
  <c r="B34" i="13"/>
  <c r="C34" i="13" s="1"/>
  <c r="B33" i="13"/>
  <c r="C33" i="13" s="1"/>
  <c r="B32" i="13"/>
  <c r="C32" i="13" s="1"/>
  <c r="B31" i="13"/>
  <c r="C31" i="13" s="1"/>
  <c r="B30" i="13"/>
  <c r="C30" i="13" s="1"/>
  <c r="B29" i="13"/>
  <c r="B27" i="13"/>
  <c r="B25" i="13"/>
  <c r="B23" i="13"/>
  <c r="B22" i="13"/>
  <c r="B21" i="13"/>
  <c r="B20" i="13"/>
  <c r="B19" i="13"/>
  <c r="B18" i="13"/>
  <c r="B17" i="13"/>
  <c r="B5" i="13"/>
  <c r="C5" i="13" s="1"/>
  <c r="B6" i="13"/>
  <c r="C6" i="13" s="1"/>
  <c r="B7" i="13"/>
  <c r="C7" i="13" s="1"/>
  <c r="C8" i="4"/>
  <c r="B9" i="13"/>
  <c r="B10" i="13"/>
  <c r="C10" i="13" s="1"/>
  <c r="B13" i="13"/>
  <c r="C13" i="13" s="1"/>
  <c r="B14" i="13"/>
  <c r="B15" i="13"/>
  <c r="B4" i="13"/>
  <c r="C4" i="13" s="1"/>
  <c r="J104" i="13"/>
  <c r="I104" i="13"/>
  <c r="G104" i="13"/>
  <c r="D104" i="13"/>
  <c r="C104" i="13"/>
  <c r="G96" i="13"/>
  <c r="D96" i="13"/>
  <c r="C96" i="13"/>
  <c r="D77" i="13"/>
  <c r="C77" i="13"/>
  <c r="J70" i="13"/>
  <c r="I70" i="13"/>
  <c r="G70" i="13"/>
  <c r="F70" i="13"/>
  <c r="D70" i="13"/>
  <c r="C70" i="13"/>
  <c r="D62" i="13"/>
  <c r="C62" i="13"/>
  <c r="J54" i="13"/>
  <c r="I54" i="13"/>
  <c r="G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S93" i="4" s="1"/>
  <c r="E93" i="13" s="1"/>
  <c r="F93" i="13" s="1"/>
  <c r="F96" i="13" s="1"/>
  <c r="R92" i="4"/>
  <c r="R90" i="4"/>
  <c r="R89" i="4"/>
  <c r="R88" i="4"/>
  <c r="R87" i="4"/>
  <c r="R86" i="4"/>
  <c r="R85" i="4"/>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F54" i="13" s="1"/>
  <c r="R49" i="4"/>
  <c r="R48" i="4"/>
  <c r="R47" i="4"/>
  <c r="R46" i="4"/>
  <c r="R45" i="4"/>
  <c r="R43" i="4"/>
  <c r="S43" i="4" s="1"/>
  <c r="E43" i="13" s="1"/>
  <c r="F43" i="13" s="1"/>
  <c r="R41" i="4"/>
  <c r="R40" i="4"/>
  <c r="R37" i="4"/>
  <c r="S37" i="4" s="1"/>
  <c r="E37" i="13" s="1"/>
  <c r="F37" i="13" s="1"/>
  <c r="R35" i="4"/>
  <c r="R34" i="4"/>
  <c r="R33" i="4"/>
  <c r="R32" i="4"/>
  <c r="S32" i="4" s="1"/>
  <c r="E32" i="13" s="1"/>
  <c r="F32" i="13" s="1"/>
  <c r="R31" i="4"/>
  <c r="S31" i="4" s="1"/>
  <c r="E31" i="13" s="1"/>
  <c r="F31" i="13" s="1"/>
  <c r="R30" i="4"/>
  <c r="S30" i="4" s="1"/>
  <c r="E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F30" i="13" l="1"/>
  <c r="F38" i="13" s="1"/>
  <c r="D81" i="13"/>
  <c r="C79" i="13"/>
  <c r="C81" i="13" s="1"/>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N190" i="24" l="1"/>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O25" i="21"/>
  <c r="O26" i="21"/>
  <c r="O20" i="21"/>
  <c r="O24" i="21"/>
  <c r="O23" i="21"/>
  <c r="O22" i="21"/>
  <c r="O21" i="21"/>
  <c r="T839" i="20"/>
  <c r="AF839" i="20" s="1"/>
  <c r="BE80" i="3" s="1"/>
  <c r="G155" i="21"/>
  <c r="I16" i="21" s="1"/>
  <c r="D64" i="11"/>
  <c r="B105" i="4"/>
  <c r="BE101" i="3"/>
  <c r="AK83" i="20"/>
  <c r="D13" i="11"/>
  <c r="B97" i="13"/>
  <c r="B97" i="4"/>
  <c r="AZ1055" i="3"/>
  <c r="S105" i="4"/>
  <c r="E97" i="13"/>
  <c r="B105" i="13"/>
  <c r="AG268" i="20"/>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N180" i="24"/>
  <c r="S107" i="4"/>
  <c r="I9" i="21"/>
  <c r="AK190" i="20"/>
  <c r="T827" i="20"/>
  <c r="AF827" i="20" s="1"/>
  <c r="AB47" i="15"/>
  <c r="AB49" i="15" s="1"/>
  <c r="AB54" i="15" s="1"/>
  <c r="AB55" i="15" s="1"/>
  <c r="BE22" i="3"/>
  <c r="E105" i="13"/>
  <c r="BA1065" i="3"/>
  <c r="AZ1060" i="3"/>
  <c r="H105" i="13"/>
  <c r="T107" i="4"/>
  <c r="H107" i="13" s="1"/>
  <c r="AG269" i="20"/>
  <c r="AK272" i="20" s="1"/>
  <c r="T834" i="20" s="1"/>
  <c r="BE77" i="3" s="1"/>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BA1064" i="3"/>
  <c r="BA1068" i="3" s="1"/>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T26" i="15"/>
  <c r="T28" i="15" s="1"/>
  <c r="T29" i="15" s="1"/>
  <c r="Y64" i="15"/>
  <c r="Y68" i="15" s="1"/>
  <c r="BE74" i="3"/>
  <c r="AP566" i="20"/>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U4" i="7"/>
  <c r="S5" i="7"/>
  <c r="M48" i="7"/>
  <c r="M47" i="7"/>
  <c r="M60" i="7"/>
  <c r="O45" i="7"/>
  <c r="O58" i="7" s="1"/>
  <c r="O49" i="7"/>
  <c r="K66" i="7"/>
  <c r="K67" i="7"/>
  <c r="K62" i="7"/>
  <c r="Q7" i="7"/>
  <c r="Q11" i="7" s="1"/>
  <c r="Q37" i="7" s="1"/>
  <c r="S6" i="7"/>
  <c r="I70" i="7"/>
  <c r="I72" i="7" s="1"/>
  <c r="W22" i="7"/>
  <c r="W35" i="7" s="1"/>
  <c r="Y15" i="7"/>
  <c r="W9" i="7"/>
  <c r="Y8" i="7"/>
  <c r="BE19" i="3" l="1"/>
  <c r="AB57" i="15"/>
  <c r="P204" i="3"/>
  <c r="U5" i="7"/>
  <c r="W4" i="7"/>
  <c r="Q49" i="7"/>
  <c r="Q45" i="7"/>
  <c r="Q58" i="7" s="1"/>
  <c r="M62" i="7"/>
  <c r="M67" i="7"/>
  <c r="M66" i="7"/>
  <c r="O47" i="7"/>
  <c r="O48" i="7"/>
  <c r="O60" i="7"/>
  <c r="K70" i="7"/>
  <c r="K72" i="7" s="1"/>
  <c r="S7" i="7"/>
  <c r="S11" i="7" s="1"/>
  <c r="S37" i="7" s="1"/>
  <c r="U6" i="7"/>
  <c r="Y22" i="7"/>
  <c r="Y35" i="7" s="1"/>
  <c r="AA15" i="7"/>
  <c r="Y9" i="7"/>
  <c r="AA8" i="7"/>
  <c r="AB59" i="15" l="1"/>
  <c r="AB77" i="15" s="1"/>
  <c r="AB78" i="15" s="1"/>
  <c r="I10" i="21" s="1"/>
  <c r="M70" i="7"/>
  <c r="M72" i="7" s="1"/>
  <c r="W5" i="7"/>
  <c r="Y4" i="7"/>
  <c r="U7" i="7"/>
  <c r="U11" i="7" s="1"/>
  <c r="U37" i="7" s="1"/>
  <c r="W6" i="7"/>
  <c r="O67" i="7"/>
  <c r="O66" i="7"/>
  <c r="O62" i="7"/>
  <c r="Q60" i="7"/>
  <c r="Q48" i="7"/>
  <c r="Q47" i="7"/>
  <c r="S49" i="7"/>
  <c r="S45" i="7"/>
  <c r="S58" i="7" s="1"/>
  <c r="AC15" i="7"/>
  <c r="AA22" i="7"/>
  <c r="AA35" i="7" s="1"/>
  <c r="AC8" i="7"/>
  <c r="AA9" i="7"/>
  <c r="AB79" i="15" l="1"/>
  <c r="AA4" i="7"/>
  <c r="Y5" i="7"/>
  <c r="Y6" i="7"/>
  <c r="W7" i="7"/>
  <c r="W11" i="7" s="1"/>
  <c r="W37" i="7" s="1"/>
  <c r="U45" i="7"/>
  <c r="U58" i="7" s="1"/>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W58" i="7" s="1"/>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Y58" i="7" s="1"/>
  <c r="W60" i="7"/>
  <c r="W47" i="7"/>
  <c r="W48" i="7"/>
  <c r="AE5" i="7" l="1"/>
  <c r="AG4" i="7"/>
  <c r="AA45" i="7"/>
  <c r="AA58" i="7" s="1"/>
  <c r="AA49" i="7"/>
  <c r="U70" i="7"/>
  <c r="U72" i="7" s="1"/>
  <c r="W67" i="7"/>
  <c r="W62" i="7"/>
  <c r="W66" i="7"/>
  <c r="Y47" i="7"/>
  <c r="Y48" i="7"/>
  <c r="Y60" i="7"/>
  <c r="AE6" i="7"/>
  <c r="AC7" i="7"/>
  <c r="AC11" i="7" s="1"/>
  <c r="AC37" i="7" s="1"/>
  <c r="AG5" i="7" l="1"/>
  <c r="W70" i="7"/>
  <c r="W72" i="7" s="1"/>
  <c r="AA60" i="7"/>
  <c r="AA47" i="7"/>
  <c r="AA48" i="7"/>
  <c r="AC45" i="7"/>
  <c r="AC58" i="7" s="1"/>
  <c r="AC49" i="7"/>
  <c r="AE7" i="7"/>
  <c r="AE11" i="7" s="1"/>
  <c r="AE37" i="7" s="1"/>
  <c r="AG6" i="7"/>
  <c r="Y67" i="7"/>
  <c r="Y62" i="7"/>
  <c r="Y66" i="7"/>
  <c r="Y70" i="7" l="1"/>
  <c r="Y72" i="7" s="1"/>
  <c r="AG7" i="7"/>
  <c r="AG11" i="7" s="1"/>
  <c r="AG37" i="7" s="1"/>
  <c r="AE49" i="7"/>
  <c r="AE45" i="7"/>
  <c r="AC60" i="7"/>
  <c r="AC48" i="7"/>
  <c r="AC47" i="7"/>
  <c r="AA66" i="7"/>
  <c r="AA67" i="7"/>
  <c r="AA62" i="7"/>
  <c r="AG58" i="7" l="1"/>
  <c r="AE58" i="7"/>
  <c r="AA70" i="7"/>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<sst xmlns="http://schemas.openxmlformats.org/spreadsheetml/2006/main" count="5091" uniqueCount="2784">
  <si>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</si>
  <si>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</si>
  <si>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</si>
  <si>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</si>
  <si>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</si>
  <si>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</si>
  <si>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</si>
  <si>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</si>
  <si>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</si>
  <si>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</si>
  <si>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</si>
  <si>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</si>
  <si>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</si>
  <si>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</si>
  <si>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</si>
  <si>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</si>
  <si>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</si>
  <si>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</si>
  <si>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</si>
  <si>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</si>
  <si>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</si>
  <si>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</si>
  <si>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</si>
  <si>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</si>
  <si>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</si>
  <si>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</si>
  <si>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</si>
  <si>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</si>
  <si>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</si>
  <si>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</si>
  <si>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</si>
  <si>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</si>
  <si>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</si>
  <si>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</si>
  <si>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</si>
  <si>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</si>
  <si>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</si>
  <si>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</si>
  <si>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</si>
  <si>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</si>
  <si>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</si>
  <si>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</si>
  <si>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</si>
  <si>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</si>
  <si>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</si>
  <si>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</si>
  <si>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</si>
  <si>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</si>
  <si>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</si>
  <si>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</si>
  <si>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</si>
  <si>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</si>
  <si>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</si>
  <si>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</si>
  <si>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</si>
  <si>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</si>
  <si>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</si>
  <si>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</si>
  <si>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</si>
  <si>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</si>
  <si>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</si>
  <si>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</si>
  <si>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</si>
  <si>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</si>
  <si>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</si>
  <si>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</si>
  <si>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</si>
  <si>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</si>
  <si>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</si>
  <si>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</si>
  <si>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</si>
  <si>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</si>
  <si>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</si>
  <si>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</si>
  <si>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</si>
  <si>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</si>
  <si>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</si>
  <si>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</si>
  <si>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</si>
  <si>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</si>
  <si>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</si>
  <si>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</si>
  <si>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</si>
  <si>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</si>
  <si>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</si>
  <si>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</si>
  <si>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</si>
  <si>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</si>
  <si>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</si>
  <si>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</si>
  <si>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</si>
  <si>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</si>
  <si>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</si>
  <si>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</si>
  <si>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</si>
  <si>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</si>
  <si>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</si>
  <si>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</si>
  <si>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</si>
  <si>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</si>
  <si>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</si>
  <si>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</si>
  <si>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</si>
  <si>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</si>
  <si>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</si>
  <si>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</si>
  <si>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</si>
  <si>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</si>
  <si>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</si>
  <si>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</si>
  <si>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</si>
  <si>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</si>
  <si>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</si>
  <si>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</si>
  <si>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</si>
  <si>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</si>
  <si>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</si>
  <si>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</si>
  <si>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</si>
  <si>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</si>
  <si>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</si>
  <si>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</si>
  <si>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</si>
  <si>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</si>
  <si>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</si>
  <si>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</si>
  <si>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</si>
  <si>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</si>
  <si>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</si>
  <si>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</si>
  <si>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</si>
  <si>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</si>
  <si>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</si>
  <si>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</si>
  <si>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</si>
  <si>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</si>
  <si>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</si>
  <si>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</si>
  <si>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</si>
  <si>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</si>
  <si>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</si>
  <si>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</si>
  <si>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</si>
  <si>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</si>
  <si>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</si>
  <si>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</si>
  <si>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</si>
  <si>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</si>
  <si>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</si>
  <si>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</si>
  <si>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</si>
  <si>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</si>
  <si>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</si>
  <si>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</si>
  <si>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</si>
  <si>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</si>
  <si>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</si>
  <si>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</si>
  <si>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</si>
  <si>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</si>
  <si>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</si>
  <si>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</si>
  <si>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</si>
  <si>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</si>
  <si>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</si>
  <si>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</si>
  <si>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</si>
  <si>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</si>
  <si>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</si>
  <si>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</si>
  <si>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</si>
  <si>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</si>
  <si>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</si>
  <si>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</si>
  <si>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</si>
  <si>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</si>
  <si>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</si>
  <si>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</si>
  <si>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</si>
  <si>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</si>
  <si>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</si>
  <si>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</si>
  <si>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</si>
  <si>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</si>
  <si>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</si>
  <si>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</si>
  <si>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</si>
  <si>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</si>
  <si>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</si>
  <si>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</si>
  <si>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</si>
  <si>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</si>
  <si>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</si>
  <si>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</si>
  <si>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</si>
  <si>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</si>
  <si>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</si>
  <si>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</si>
  <si>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</si>
  <si>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</si>
  <si>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</si>
  <si>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</si>
  <si>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</si>
  <si>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</si>
  <si>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</si>
  <si>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</si>
  <si>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</si>
  <si>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</si>
  <si>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</si>
  <si>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</si>
  <si>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</si>
  <si>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</si>
  <si>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</si>
  <si>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</si>
  <si>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</si>
  <si>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</si>
  <si>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</si>
  <si>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</si>
  <si>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</si>
  <si>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</si>
  <si>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</si>
  <si>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</si>
  <si>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</si>
  <si>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</si>
  <si>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</si>
  <si>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</si>
  <si>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</si>
  <si>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</si>
  <si>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</si>
  <si>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</si>
  <si>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</si>
  <si>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</si>
  <si>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</si>
  <si>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</si>
  <si>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</si>
  <si>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</si>
  <si>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</si>
  <si>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</si>
  <si>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</si>
  <si>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</si>
  <si>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</si>
  <si>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</si>
  <si>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</si>
  <si>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</si>
  <si>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</si>
  <si>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</si>
  <si>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</si>
  <si>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</si>
  <si>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</si>
  <si>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</si>
  <si>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</si>
  <si>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</si>
  <si>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</si>
  <si>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</si>
  <si>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</si>
  <si>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</si>
  <si>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</si>
  <si>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</si>
  <si>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</si>
  <si>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</si>
  <si>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</si>
  <si>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</si>
  <si>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</si>
  <si>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</si>
  <si>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</si>
  <si>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</si>
  <si>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</si>
  <si>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</si>
  <si>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</si>
  <si>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</si>
  <si>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</si>
  <si>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</si>
  <si>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</si>
  <si>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</si>
  <si>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</si>
  <si>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</si>
  <si>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</si>
  <si>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</si>
  <si>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</si>
  <si>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</si>
  <si>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</si>
  <si>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</si>
  <si>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</si>
  <si>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</si>
  <si>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</si>
  <si>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</si>
  <si>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</si>
  <si>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</si>
  <si>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</si>
  <si>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</si>
  <si>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</si>
  <si>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</si>
  <si>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</si>
  <si>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</si>
  <si>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</si>
  <si>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</si>
  <si>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</si>
  <si>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</si>
  <si>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</si>
  <si>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</si>
  <si>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</si>
  <si>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</si>
  <si>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</si>
  <si>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</si>
  <si>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</si>
  <si>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</si>
  <si>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</si>
  <si>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</si>
  <si>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</si>
  <si>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</si>
  <si>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</si>
  <si>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</si>
  <si>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</si>
  <si>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</si>
  <si>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</si>
  <si>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</si>
  <si>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</si>
  <si>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</si>
  <si>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</si>
  <si>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</si>
  <si>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</si>
  <si>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</si>
  <si>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</si>
  <si>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</si>
  <si>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</si>
  <si>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</si>
  <si>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</si>
  <si>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</si>
  <si>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</si>
  <si>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</si>
  <si>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</si>
  <si>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</si>
  <si>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</si>
  <si>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</si>
  <si>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</si>
  <si>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</si>
  <si>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</si>
  <si>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</si>
  <si>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</si>
  <si>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</si>
  <si>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</si>
  <si>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</si>
  <si>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</si>
  <si>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</si>
  <si>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</si>
  <si>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</si>
  <si>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</si>
  <si>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</si>
  <si>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</si>
  <si>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</si>
  <si>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</si>
  <si>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</si>
  <si>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</si>
  <si>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</si>
  <si>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</si>
  <si>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</si>
  <si>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</si>
  <si>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</si>
  <si>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</si>
  <si>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</si>
  <si>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</si>
  <si>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</si>
  <si>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</si>
  <si>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</si>
  <si>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</si>
  <si>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</si>
  <si>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</si>
  <si>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</si>
  <si>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</si>
  <si>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</si>
  <si>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</si>
  <si>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</si>
  <si>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</si>
  <si>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</si>
  <si>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</si>
  <si>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</si>
  <si>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</si>
  <si>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</si>
  <si>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</si>
  <si>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</si>
  <si>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</si>
  <si>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</si>
  <si>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</si>
  <si>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</si>
  <si>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</si>
  <si>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</si>
  <si>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</si>
  <si>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</si>
  <si>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</si>
  <si>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</si>
  <si>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</si>
  <si>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</si>
  <si>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</si>
  <si>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</si>
  <si>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</si>
  <si>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</si>
  <si>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</si>
  <si>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</si>
  <si>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</si>
  <si>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</si>
  <si>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</si>
  <si>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</si>
  <si>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</si>
  <si>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</si>
  <si>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</si>
  <si>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</si>
  <si>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</si>
  <si>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</si>
  <si>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</si>
  <si>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</si>
  <si>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</si>
  <si>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</si>
  <si>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</si>
  <si>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</si>
  <si>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</si>
  <si>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</si>
  <si>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</si>
  <si>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</si>
  <si>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</si>
  <si>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</si>
  <si>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</si>
  <si>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</si>
  <si>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</si>
  <si>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</si>
  <si>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</si>
  <si>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</si>
  <si>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</si>
  <si>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</si>
  <si>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</si>
  <si>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</si>
  <si>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</si>
  <si>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</si>
  <si>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</si>
  <si>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</si>
  <si>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</si>
  <si>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</si>
  <si>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</si>
  <si>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</si>
  <si>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</si>
  <si>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</si>
  <si>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</si>
  <si>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</si>
  <si>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</si>
  <si>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</si>
  <si>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</si>
  <si>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</si>
  <si>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</si>
  <si>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</si>
  <si>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</si>
  <si>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</si>
  <si>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</si>
  <si>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</si>
  <si>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</si>
  <si>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</si>
  <si>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</si>
  <si>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</si>
  <si>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</si>
  <si>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</si>
  <si>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</si>
  <si>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</si>
  <si>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</si>
  <si>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</si>
  <si>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</si>
  <si>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</si>
  <si>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</si>
  <si>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</si>
  <si>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</si>
  <si>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</si>
  <si>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</si>
  <si>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</si>
  <si>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</si>
  <si>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</si>
  <si>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</si>
  <si>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</si>
  <si>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</si>
  <si>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</si>
  <si>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</si>
  <si>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</si>
  <si>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</si>
  <si>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</si>
  <si>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</si>
  <si>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</si>
  <si>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</si>
  <si>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</si>
  <si>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</si>
  <si>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</si>
  <si>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</si>
  <si>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</si>
  <si>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</si>
  <si>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</si>
  <si>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</si>
  <si>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</si>
  <si>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</si>
  <si>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</si>
  <si>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</si>
  <si>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</si>
  <si>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</si>
  <si>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</si>
  <si>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</si>
  <si>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</si>
  <si>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</si>
  <si>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</si>
  <si>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</si>
  <si>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</si>
  <si>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</si>
  <si>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</si>
  <si>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</si>
  <si>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</si>
  <si>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</si>
  <si>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</si>
  <si>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</si>
  <si>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</si>
  <si>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</si>
  <si>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</si>
  <si>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</si>
  <si>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</si>
  <si>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</si>
  <si>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</si>
  <si>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</si>
  <si>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</si>
  <si>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</si>
  <si>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</si>
  <si>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</si>
  <si>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</si>
  <si>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</si>
  <si>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</si>
  <si>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</si>
  <si>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</si>
  <si>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</si>
  <si>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</si>
  <si>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</si>
  <si>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</si>
  <si>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</si>
  <si>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</si>
  <si>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</si>
  <si>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</si>
  <si>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</si>
  <si>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</si>
  <si>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</si>
  <si>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</si>
  <si>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</si>
  <si>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</si>
  <si>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</si>
  <si>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</si>
  <si>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</si>
  <si>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</si>
  <si>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</si>
  <si>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</si>
  <si>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</si>
  <si>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</si>
  <si>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</si>
  <si>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</si>
  <si>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</si>
  <si>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</si>
  <si>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</si>
  <si>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</si>
  <si>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</si>
  <si>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</si>
  <si>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</si>
  <si>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</si>
  <si>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</si>
  <si>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</si>
  <si>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</si>
  <si>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</si>
  <si>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</si>
  <si>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</si>
  <si>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</si>
  <si>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</si>
  <si>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</si>
  <si>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</si>
  <si>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</si>
  <si>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</si>
  <si>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</si>
  <si>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</si>
  <si>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</si>
  <si>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</si>
  <si>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</si>
  <si>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</si>
  <si>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</si>
  <si>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</si>
  <si>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</si>
  <si>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</si>
  <si>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</si>
  <si>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</si>
  <si>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</si>
  <si>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</si>
  <si>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</si>
  <si>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</si>
  <si>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</si>
  <si>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</si>
  <si>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</si>
  <si>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</si>
  <si>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</si>
  <si>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</si>
  <si>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</si>
  <si>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</si>
  <si>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</si>
  <si>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</si>
  <si>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</si>
  <si>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</si>
  <si>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</si>
  <si>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</si>
  <si>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</si>
  <si>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</si>
  <si>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</si>
  <si>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</si>
  <si>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</si>
  <si>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</si>
  <si>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</si>
  <si>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</si>
  <si>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</si>
  <si>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</si>
  <si>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</si>
  <si>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</si>
  <si>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</si>
  <si>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</si>
  <si>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</si>
  <si>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</si>
  <si>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</si>
  <si>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</si>
  <si>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</si>
  <si>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</si>
  <si>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</si>
  <si>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</si>
  <si>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</si>
  <si>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</si>
  <si>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</si>
  <si>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</si>
  <si>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</si>
  <si>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</si>
  <si>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</si>
  <si>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</si>
  <si>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</si>
  <si>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</si>
  <si>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</si>
  <si>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</si>
  <si>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</si>
  <si>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</si>
  <si>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</si>
  <si>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</si>
  <si>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</si>
  <si>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</si>
  <si>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</si>
  <si>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</si>
  <si>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</si>
  <si>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</si>
  <si>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</si>
  <si>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</si>
  <si>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</si>
  <si>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</si>
  <si>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</si>
  <si>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</si>
  <si>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</si>
  <si>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</si>
  <si>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</si>
  <si>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</si>
  <si>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</si>
  <si>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</si>
  <si>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</si>
  <si>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</si>
  <si>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</si>
  <si>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</si>
  <si>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</si>
  <si>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</si>
  <si>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</si>
  <si>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</si>
  <si>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</si>
  <si>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</si>
  <si>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</si>
  <si>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</si>
  <si>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</si>
  <si>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</si>
  <si>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</si>
  <si>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</si>
  <si>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</si>
  <si>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</si>
  <si>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</si>
  <si>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</si>
  <si>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</si>
  <si>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</si>
  <si>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</si>
  <si>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</si>
  <si>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</si>
  <si>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</si>
  <si>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</si>
  <si>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</si>
  <si>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</si>
  <si>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</si>
  <si>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</si>
  <si>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</si>
  <si>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</si>
  <si>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</si>
  <si>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</si>
  <si>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</si>
  <si>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</si>
  <si>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</si>
  <si>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</si>
  <si>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</si>
  <si>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</si>
  <si>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</si>
  <si>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</si>
  <si>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</si>
  <si>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</si>
  <si>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</si>
  <si>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</si>
  <si>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</si>
  <si>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</si>
  <si>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</si>
  <si>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</si>
  <si>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</si>
  <si>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</si>
  <si>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</si>
  <si>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</si>
  <si>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</si>
  <si>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</si>
  <si>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</si>
  <si>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</si>
  <si>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</si>
  <si>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</si>
  <si>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</si>
  <si>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</si>
  <si>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</si>
  <si>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</si>
  <si>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</si>
  <si>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</si>
  <si>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</si>
  <si>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</si>
  <si>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</si>
  <si>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</si>
  <si>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</si>
  <si>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</si>
  <si>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</si>
  <si>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</si>
  <si>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</si>
  <si>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</si>
  <si>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</si>
  <si>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</si>
  <si>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</si>
  <si>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</si>
  <si>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</si>
  <si>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</si>
  <si>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</si>
  <si>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</si>
  <si>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</si>
  <si>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</si>
  <si>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</si>
  <si>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</si>
  <si>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</si>
  <si>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</si>
  <si>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</si>
  <si>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</si>
  <si>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</si>
  <si>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</si>
  <si>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</si>
  <si>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</si>
  <si>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</si>
  <si>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</si>
  <si>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</si>
  <si>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</si>
  <si>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</si>
  <si>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</si>
  <si>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</si>
  <si>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</si>
  <si>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</si>
  <si>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</si>
  <si>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</si>
  <si>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</si>
  <si>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</si>
  <si>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</si>
  <si>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</si>
  <si>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</si>
  <si>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</si>
  <si>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</si>
  <si>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</si>
  <si>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</si>
  <si>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</si>
  <si>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</si>
  <si>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</si>
  <si>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</si>
  <si>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</si>
  <si>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</si>
  <si>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</si>
  <si>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</si>
  <si>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</si>
  <si>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</si>
  <si>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</si>
  <si>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</si>
  <si>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</si>
  <si>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</si>
  <si>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</si>
  <si>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</si>
  <si>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</si>
  <si>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</si>
  <si>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</si>
  <si>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</si>
  <si>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</si>
  <si>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</si>
  <si>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</si>
  <si>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</si>
  <si>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</si>
  <si>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</si>
  <si>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</si>
  <si>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</si>
  <si>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</si>
  <si>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</si>
  <si>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</si>
  <si>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</si>
  <si>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</si>
  <si>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</si>
  <si>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</si>
  <si>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</si>
  <si>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</si>
  <si>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</si>
  <si>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</si>
  <si>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</si>
  <si>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</si>
  <si>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</si>
  <si>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</si>
  <si>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</si>
  <si>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</si>
  <si>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</si>
  <si>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</si>
  <si>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</si>
  <si>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</si>
  <si>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</si>
  <si>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</si>
  <si>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</si>
  <si>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</si>
  <si>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</si>
  <si>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</si>
  <si>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</si>
  <si>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</si>
  <si>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</si>
  <si>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</si>
  <si>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</si>
  <si>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</si>
  <si>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</si>
  <si>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</si>
  <si>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</si>
  <si>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</si>
  <si>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</si>
  <si>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</si>
  <si>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</si>
  <si>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</si>
  <si>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</si>
  <si>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</si>
  <si>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</si>
  <si>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</si>
  <si>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</si>
  <si>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</si>
  <si>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</si>
  <si>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</si>
  <si>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</si>
  <si>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</si>
  <si>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</si>
  <si>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</si>
  <si>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</si>
  <si>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</si>
  <si>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</si>
  <si>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</si>
  <si>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</si>
  <si>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</si>
  <si>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</si>
  <si>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</si>
  <si>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</si>
  <si>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</si>
  <si>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</si>
  <si>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</si>
  <si>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</si>
  <si>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</si>
  <si>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</si>
  <si>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</si>
  <si>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</si>
  <si>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</si>
  <si>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</si>
  <si>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</si>
  <si>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</si>
  <si>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</si>
  <si>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</si>
  <si>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</si>
  <si>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</si>
  <si>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</si>
  <si>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</si>
  <si>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</si>
  <si>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</si>
  <si>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</si>
  <si>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</si>
  <si>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</si>
  <si>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</si>
  <si>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</si>
  <si>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</si>
  <si>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</si>
  <si>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</si>
  <si>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</si>
  <si>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</si>
  <si>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</si>
  <si>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</si>
  <si>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</si>
  <si>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</si>
  <si>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</si>
  <si>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</si>
  <si>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</si>
  <si>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</si>
  <si>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</si>
  <si>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</si>
  <si>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</si>
  <si>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</si>
  <si>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</si>
  <si>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</si>
  <si>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</si>
  <si>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</si>
  <si>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</si>
  <si>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</si>
  <si>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</si>
  <si>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</si>
  <si>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</si>
  <si>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</si>
  <si>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</si>
  <si>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</si>
  <si>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</si>
  <si>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</si>
  <si>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</si>
  <si>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</si>
  <si>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</si>
  <si>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</si>
  <si>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</si>
  <si>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</si>
  <si>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</si>
  <si>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</si>
  <si>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</si>
  <si>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</si>
  <si>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</si>
  <si>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</si>
  <si>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</si>
  <si>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</si>
  <si>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</si>
  <si>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</si>
  <si>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</si>
  <si>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</si>
  <si>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</si>
  <si>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</si>
  <si>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</si>
  <si>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</si>
  <si>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</si>
  <si>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</si>
  <si>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</si>
  <si>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</si>
  <si>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</si>
  <si>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</si>
  <si>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</si>
  <si>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</si>
  <si>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</si>
  <si>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</si>
  <si>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</si>
  <si>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</si>
  <si>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</si>
  <si>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</si>
  <si>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</si>
  <si>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</si>
  <si>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</si>
  <si>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</si>
  <si>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</si>
  <si>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</si>
  <si>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</si>
  <si>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</si>
  <si>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</si>
  <si>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</si>
  <si>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</si>
  <si>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</si>
  <si>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</si>
  <si>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</si>
  <si>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</si>
  <si>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</si>
  <si>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</si>
  <si>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</si>
  <si>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</si>
  <si>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</si>
  <si>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</si>
  <si>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</si>
  <si>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</si>
  <si>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</si>
  <si>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</si>
  <si>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</si>
  <si>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</si>
  <si>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</si>
  <si>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</si>
  <si>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</si>
  <si>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</si>
  <si>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</si>
  <si>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</si>
  <si>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</si>
  <si>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</si>
  <si>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</si>
  <si>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</si>
  <si>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</si>
  <si>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</si>
  <si>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</si>
  <si>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</si>
  <si>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</si>
  <si>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</si>
  <si>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</si>
  <si>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</si>
  <si>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</si>
  <si>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</si>
  <si>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</si>
  <si>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</si>
  <si>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</si>
  <si>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</si>
  <si>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</si>
  <si>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</si>
  <si>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</si>
  <si>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</si>
  <si>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</si>
  <si>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</si>
  <si>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</si>
  <si>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</si>
  <si>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</si>
  <si>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</si>
  <si>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</si>
  <si>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</si>
  <si>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</si>
  <si>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</si>
  <si>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</si>
  <si>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</si>
  <si>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</si>
  <si>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</si>
  <si>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</si>
  <si>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</si>
  <si>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</si>
  <si>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</si>
  <si>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</si>
  <si>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</si>
  <si>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</si>
  <si>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</si>
  <si>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</si>
  <si>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</si>
  <si>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</si>
  <si>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</si>
  <si>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</si>
  <si>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</si>
  <si>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</si>
  <si>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</si>
  <si>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</si>
  <si>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</si>
  <si>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</si>
  <si>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</si>
  <si>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</si>
  <si>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</si>
  <si>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</si>
  <si>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</si>
  <si>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</si>
  <si>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</si>
  <si>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</si>
  <si>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</si>
  <si>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</si>
  <si>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</si>
  <si>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</si>
  <si>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</si>
  <si>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</si>
  <si>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</si>
  <si>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</si>
  <si>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</si>
  <si>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</si>
  <si>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</si>
  <si>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</si>
  <si>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</si>
  <si>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</si>
  <si>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</si>
  <si>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</si>
  <si>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</si>
  <si>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</si>
  <si>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</si>
  <si>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</si>
  <si>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</si>
  <si>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</si>
  <si>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</si>
  <si>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</si>
  <si>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</si>
  <si>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</si>
  <si>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</si>
  <si>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</si>
  <si>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</si>
  <si>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</si>
  <si>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</si>
  <si>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</si>
  <si>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</si>
  <si>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</si>
  <si>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</si>
  <si>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</si>
  <si>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</si>
  <si>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</si>
  <si>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</si>
  <si>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</si>
  <si>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</si>
  <si>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</si>
  <si>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</si>
  <si>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</si>
  <si>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</si>
  <si>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</si>
  <si>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</si>
  <si>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</si>
  <si>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</si>
  <si>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</si>
  <si>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</si>
  <si>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</si>
  <si>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</si>
  <si>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</si>
  <si>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</si>
  <si>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</si>
  <si>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</si>
  <si>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</si>
  <si>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</si>
  <si>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</si>
  <si>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</si>
  <si>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</si>
  <si>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</si>
  <si>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</si>
  <si>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</si>
  <si>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</si>
  <si>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</si>
  <si>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</si>
  <si>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</si>
  <si>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</si>
  <si>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</si>
  <si>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</si>
  <si>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</si>
  <si>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</si>
  <si>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</si>
  <si>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</si>
  <si>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</si>
  <si>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</si>
  <si>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</si>
  <si>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</si>
  <si>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</si>
  <si>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</si>
  <si>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</si>
  <si>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</si>
  <si>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</si>
  <si>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</si>
  <si>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</si>
  <si>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</si>
  <si>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</si>
  <si>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</si>
  <si>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</si>
  <si>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</si>
  <si>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</si>
  <si>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</si>
  <si>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</si>
  <si>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</si>
  <si>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</si>
  <si>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</si>
  <si>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</si>
  <si>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</si>
  <si>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</si>
  <si>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</si>
  <si>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</si>
  <si>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</si>
  <si>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</si>
  <si>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</si>
  <si>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</si>
  <si>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</si>
  <si>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</si>
  <si>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</si>
  <si>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</si>
  <si>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</si>
  <si>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</si>
  <si>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</si>
  <si>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</si>
  <si>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</si>
  <si>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</si>
  <si>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</si>
  <si>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</si>
  <si>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</si>
  <si>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</si>
  <si>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</si>
  <si>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</si>
  <si>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</si>
  <si>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</si>
  <si>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</si>
  <si>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</si>
  <si>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</si>
  <si>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</si>
  <si>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</si>
  <si>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</si>
  <si>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</si>
  <si>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</si>
  <si>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</si>
  <si>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</si>
  <si>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</si>
  <si>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</si>
  <si>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</si>
  <si>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</si>
  <si>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</si>
  <si>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</si>
  <si>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</si>
  <si>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</si>
  <si>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</si>
  <si>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</si>
  <si>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</si>
  <si>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</si>
  <si>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</si>
  <si>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</si>
  <si>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</si>
  <si>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</si>
  <si>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</si>
  <si>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</si>
  <si>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</si>
  <si>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</si>
  <si>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</si>
  <si>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</si>
  <si>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</si>
  <si>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</si>
  <si>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</si>
  <si>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</si>
  <si>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</si>
  <si>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</si>
  <si>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</si>
  <si>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</si>
  <si>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</si>
  <si>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</si>
  <si>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</si>
  <si>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</si>
  <si>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</si>
  <si>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</si>
  <si>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</si>
  <si>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</si>
  <si>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</si>
  <si>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</si>
  <si>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</si>
  <si>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</si>
  <si>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</si>
  <si>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</si>
  <si>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</si>
  <si>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</si>
  <si>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</si>
  <si>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</si>
  <si>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</si>
  <si>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</si>
  <si>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</si>
  <si>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</si>
  <si>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</si>
  <si>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</si>
  <si>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</si>
  <si>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</si>
  <si>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</si>
  <si>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</si>
  <si>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</si>
  <si>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</si>
  <si>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</si>
  <si>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</si>
  <si>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</si>
  <si>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</si>
  <si>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</si>
  <si>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</si>
  <si>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</si>
  <si>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</si>
  <si>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</si>
  <si>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</si>
  <si>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</si>
  <si>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</si>
  <si>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</si>
  <si>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</si>
  <si>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</si>
  <si>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</si>
  <si>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</si>
  <si>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</si>
  <si>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</si>
  <si>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</si>
  <si>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</si>
  <si>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</si>
  <si>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</si>
  <si>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</si>
  <si>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</si>
  <si>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</si>
  <si>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</si>
  <si>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</si>
  <si>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</si>
  <si>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</si>
  <si>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</si>
  <si>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</si>
  <si>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</si>
  <si>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</si>
  <si>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</si>
  <si>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</si>
  <si>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</si>
  <si>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</si>
  <si>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</si>
  <si>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</si>
  <si>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</si>
  <si>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</si>
  <si>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</si>
  <si>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</si>
  <si>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</si>
  <si>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</si>
  <si>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</si>
  <si>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</si>
  <si>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</si>
  <si>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</si>
  <si>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</si>
  <si>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</si>
  <si>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</si>
  <si>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</si>
  <si>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</si>
  <si>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</si>
  <si>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</si>
  <si>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</si>
  <si>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</si>
  <si>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</si>
  <si>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</si>
  <si>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</si>
  <si>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</si>
  <si>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</si>
  <si>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</si>
  <si>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</si>
  <si>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</si>
  <si>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</si>
  <si>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</si>
  <si>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</si>
  <si>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</si>
  <si>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</si>
  <si>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</si>
  <si>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</si>
  <si>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</si>
  <si>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</si>
  <si>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</si>
  <si>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</si>
  <si>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</si>
  <si>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</si>
  <si>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</si>
  <si>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</si>
  <si>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</si>
  <si>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</si>
  <si>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</si>
  <si>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</si>
  <si>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</si>
  <si>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</si>
  <si>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</si>
  <si>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</si>
  <si>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</si>
  <si>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</si>
  <si>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</si>
  <si>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</si>
  <si>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</si>
  <si>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</si>
  <si>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</si>
  <si>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</si>
  <si>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</si>
  <si>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</si>
  <si>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</si>
  <si>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</si>
  <si>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</si>
  <si>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</si>
  <si>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</si>
  <si>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</si>
  <si>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</si>
  <si>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</si>
  <si>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</si>
  <si>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</si>
  <si>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</si>
  <si>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</si>
  <si>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</si>
  <si>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</si>
  <si>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</si>
  <si>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</si>
  <si>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</si>
  <si>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</si>
  <si>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</si>
  <si>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</si>
  <si>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</si>
  <si>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</si>
  <si>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</si>
  <si>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</si>
  <si>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</si>
  <si>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</si>
  <si>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</si>
  <si>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</si>
  <si>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</si>
  <si>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</si>
  <si>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</si>
  <si>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</si>
  <si>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</si>
  <si>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</si>
  <si>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</si>
  <si>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</si>
  <si>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</si>
  <si>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</si>
  <si>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</si>
  <si>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</si>
  <si>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</si>
  <si>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</si>
  <si>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</si>
  <si>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</si>
  <si>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</si>
  <si>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</si>
  <si>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</si>
  <si>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</si>
  <si>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</si>
  <si>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</si>
  <si>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</si>
  <si>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</si>
  <si>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</si>
  <si>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</si>
  <si>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</si>
  <si>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</si>
  <si>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</si>
  <si>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</si>
  <si>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</si>
  <si>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</si>
  <si>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</si>
  <si>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</si>
  <si>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</si>
  <si>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</si>
  <si>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</si>
  <si>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</si>
  <si>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</si>
  <si>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</si>
  <si>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</si>
  <si>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</si>
  <si>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</si>
  <si>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</si>
  <si>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</si>
  <si>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</si>
  <si>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</si>
  <si>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</si>
  <si>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</si>
  <si>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</si>
  <si>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</si>
  <si>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</si>
  <si>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</si>
  <si>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</si>
  <si>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</si>
  <si>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</si>
  <si>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</si>
  <si>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</si>
  <si>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</si>
  <si>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</si>
  <si>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</si>
  <si>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</si>
  <si>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</si>
  <si>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</si>
  <si>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</si>
  <si>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</si>
  <si>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</si>
  <si>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</si>
  <si>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</si>
  <si>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</si>
  <si>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</si>
  <si>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</si>
  <si>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</si>
  <si>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</si>
  <si>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</si>
  <si>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</si>
  <si>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</si>
  <si>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</si>
  <si>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</si>
  <si>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</si>
  <si>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</si>
  <si>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</si>
  <si>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</si>
  <si>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</si>
  <si>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</si>
  <si>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</si>
  <si>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</si>
  <si>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</si>
  <si>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</si>
  <si>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</si>
  <si>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</si>
  <si>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</si>
  <si>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</si>
  <si>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</si>
  <si>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</si>
  <si>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</si>
  <si>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</si>
  <si>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</si>
  <si>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</si>
  <si>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</si>
  <si>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</si>
  <si>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</si>
  <si>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</si>
  <si>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</si>
  <si>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</si>
  <si>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</si>
  <si>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</si>
  <si>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</si>
  <si>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</si>
  <si>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</si>
  <si>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</si>
  <si>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</si>
  <si>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</si>
  <si>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</si>
  <si>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</si>
  <si>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</si>
  <si>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</si>
  <si>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</si>
  <si>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</si>
  <si>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</si>
  <si>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</si>
  <si>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</si>
  <si>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</si>
  <si>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</si>
  <si>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</si>
  <si>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</si>
  <si>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</si>
  <si>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</si>
  <si>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</si>
  <si>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</si>
  <si>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</si>
  <si>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</si>
  <si>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</si>
  <si>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</si>
  <si>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</si>
  <si>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</si>
  <si>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</si>
  <si>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</si>
  <si>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</si>
  <si>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</si>
  <si>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</si>
  <si>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</si>
  <si>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</si>
  <si>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</si>
  <si>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</si>
  <si>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</si>
  <si>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</si>
  <si>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</si>
  <si>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</si>
  <si>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</si>
  <si>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</si>
  <si>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</si>
  <si>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</si>
  <si>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</si>
  <si>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</si>
  <si>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</si>
  <si>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</si>
  <si>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</si>
  <si>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</si>
  <si>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</si>
  <si>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</si>
  <si>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</si>
  <si>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</si>
  <si>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</si>
  <si>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</si>
  <si>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</si>
  <si>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</si>
  <si>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</si>
  <si>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</si>
  <si>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</si>
  <si>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</si>
  <si>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</si>
  <si>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</si>
  <si>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</si>
  <si>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</si>
  <si>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</si>
  <si>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</si>
  <si>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</si>
  <si>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</si>
  <si>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</si>
  <si>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</si>
  <si>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</si>
  <si>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</si>
  <si>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</si>
  <si>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</si>
  <si>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</si>
  <si>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</si>
  <si>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</si>
  <si>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</si>
  <si>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</si>
  <si>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</si>
  <si>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</si>
  <si>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</si>
  <si>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</si>
  <si>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</si>
  <si>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</si>
  <si>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</si>
  <si>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</si>
  <si>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</si>
  <si>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</si>
  <si>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</si>
  <si>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</si>
  <si>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</si>
  <si>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</si>
  <si>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</si>
  <si>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</si>
  <si>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</si>
  <si>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</si>
  <si>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</si>
  <si>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</si>
  <si>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</si>
  <si>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</si>
  <si>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</si>
  <si>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</si>
  <si>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</si>
  <si>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</si>
  <si>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</si>
  <si>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</si>
  <si>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</si>
  <si>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</si>
  <si>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</si>
  <si>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</si>
  <si>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</si>
  <si>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</si>
  <si>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</si>
  <si>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</si>
  <si>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</si>
  <si>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</si>
  <si>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</si>
  <si>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</si>
  <si>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</si>
  <si>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</si>
  <si>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</si>
  <si>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</si>
  <si>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</si>
  <si>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</si>
  <si>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</si>
  <si>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</si>
  <si>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</si>
  <si>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</si>
  <si>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</si>
  <si>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</si>
  <si>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</si>
  <si>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</si>
  <si>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</si>
  <si>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</si>
  <si>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</si>
  <si>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</si>
  <si>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</si>
  <si>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</si>
  <si>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</si>
  <si>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</si>
  <si>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</si>
  <si>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</si>
  <si>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</si>
  <si>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</si>
  <si>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</si>
  <si>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</si>
  <si>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</si>
  <si>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</si>
  <si>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</si>
  <si>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</si>
  <si>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</si>
  <si>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</si>
  <si>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</si>
  <si>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</si>
  <si>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</si>
  <si>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</si>
  <si>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</si>
  <si>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</si>
  <si>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</si>
  <si>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</si>
  <si>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</si>
  <si>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</si>
  <si>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</si>
  <si>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</si>
  <si>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</si>
  <si>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</si>
  <si>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</si>
  <si>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</si>
  <si>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</si>
  <si>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</si>
  <si>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</si>
  <si>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</si>
  <si>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</si>
  <si>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</si>
  <si>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</si>
  <si>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</si>
  <si>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</si>
  <si>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</si>
  <si>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</si>
  <si>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</si>
  <si>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</si>
  <si>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</si>
  <si>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</si>
  <si>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</si>
  <si>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</si>
  <si>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</si>
  <si>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</si>
  <si>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</si>
  <si>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</si>
  <si>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</si>
  <si>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</si>
  <si>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</si>
  <si>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</si>
  <si>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</si>
  <si>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</si>
  <si>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</si>
  <si>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</si>
  <si>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</si>
  <si>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</si>
  <si>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</si>
  <si>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</si>
  <si>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</si>
  <si>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</si>
  <si>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</si>
  <si>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</si>
  <si>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</si>
  <si>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</si>
  <si>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</si>
  <si>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</si>
  <si>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</si>
  <si>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</si>
  <si>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</si>
  <si>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</si>
  <si>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</si>
  <si>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</si>
  <si>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</si>
  <si>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</si>
  <si>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</si>
  <si>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</si>
  <si>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</si>
  <si>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</si>
  <si>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</si>
  <si>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</si>
  <si>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</si>
  <si>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</si>
  <si>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</si>
  <si>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</si>
  <si>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</si>
  <si>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</si>
  <si>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</si>
  <si>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</si>
  <si>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</si>
  <si>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</si>
  <si>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</si>
  <si>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</si>
  <si>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</si>
  <si>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</si>
  <si>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</si>
  <si>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</si>
  <si>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</si>
  <si>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</si>
  <si>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</si>
  <si>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</si>
  <si>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</si>
  <si>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</si>
  <si>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</si>
  <si>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</si>
  <si>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</si>
  <si>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</si>
  <si>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</si>
  <si>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</si>
  <si>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</si>
  <si>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</si>
  <si>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</si>
  <si>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</si>
  <si>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</si>
  <si>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</si>
  <si>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</si>
  <si>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</si>
  <si>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</si>
  <si>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</si>
  <si>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</si>
  <si>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</si>
  <si>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</si>
  <si>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</si>
  <si>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</si>
  <si>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</si>
  <si>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</si>
  <si>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</si>
  <si>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</si>
  <si>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</si>
  <si>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</si>
  <si>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</si>
  <si>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</si>
  <si>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</si>
  <si>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</si>
  <si>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</si>
  <si>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</si>
  <si>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</si>
  <si>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</si>
  <si>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</si>
  <si>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</si>
  <si>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</si>
  <si>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</si>
  <si>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</si>
  <si>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</si>
  <si>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</si>
  <si>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</si>
  <si>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</si>
  <si>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</si>
  <si>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</si>
  <si>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</si>
  <si>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</si>
  <si>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</si>
  <si>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</si>
  <si>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</si>
  <si>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</si>
  <si>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</si>
  <si>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</si>
  <si>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</si>
  <si>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</si>
  <si>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</si>
  <si>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</si>
  <si>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</si>
  <si>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</si>
  <si>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</si>
  <si>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</si>
  <si>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</si>
  <si>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</si>
  <si>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</si>
  <si>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</si>
  <si>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</si>
  <si>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</si>
  <si>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</si>
  <si>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</si>
  <si>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</si>
  <si>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</si>
  <si>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</si>
  <si>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</si>
  <si>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</si>
  <si>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</si>
  <si>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</si>
  <si>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</si>
  <si>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</si>
  <si>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</si>
  <si>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</si>
  <si>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</si>
  <si>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</si>
  <si>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</si>
  <si>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</si>
  <si>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</si>
  <si>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</si>
  <si>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</si>
  <si>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</si>
  <si>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</si>
  <si>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</si>
  <si>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</si>
  <si>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</si>
  <si>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</si>
  <si>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</si>
  <si>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</si>
  <si>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</si>
  <si>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</si>
  <si>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</si>
  <si>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</si>
  <si>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</si>
  <si>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</si>
  <si>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</si>
  <si>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</si>
  <si>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</si>
  <si>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</si>
  <si>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</si>
  <si>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</si>
  <si>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</si>
  <si>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</si>
  <si>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</si>
  <si>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</si>
  <si>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</si>
  <si>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</si>
  <si>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</si>
  <si>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</si>
  <si>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</si>
  <si>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</si>
  <si>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</si>
  <si>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</si>
  <si>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</si>
  <si>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</si>
  <si>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</si>
  <si>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</si>
  <si>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</si>
  <si>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</si>
  <si>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</si>
  <si>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</si>
  <si>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</si>
  <si>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</si>
  <si>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</si>
  <si>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</si>
  <si>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</si>
  <si>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</si>
  <si>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</si>
  <si>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</si>
  <si>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</si>
  <si>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</si>
  <si>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</si>
  <si>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</si>
  <si>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</si>
  <si>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</si>
  <si>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</si>
  <si>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</si>
  <si>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</si>
  <si>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</si>
  <si>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</si>
  <si>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</si>
  <si>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</si>
  <si>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</si>
  <si>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</si>
  <si>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</si>
  <si>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</si>
  <si>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</si>
  <si>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</si>
  <si>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</si>
  <si>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</si>
  <si>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</si>
  <si>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</si>
  <si>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</si>
  <si>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</si>
  <si>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</si>
  <si>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</si>
  <si>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</si>
  <si>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</si>
  <si>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</si>
  <si>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</si>
  <si>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</si>
  <si>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</si>
  <si>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</si>
  <si>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</si>
  <si>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</si>
  <si>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</si>
  <si>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</si>
  <si>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</si>
  <si>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</si>
  <si>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</si>
  <si>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</si>
  <si>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</si>
  <si>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</si>
  <si>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</si>
  <si>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</si>
  <si>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</si>
  <si>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</si>
  <si>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</si>
  <si>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</si>
  <si>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</si>
  <si>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</si>
  <si>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</si>
  <si>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</si>
  <si>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</si>
  <si>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</si>
  <si>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</si>
  <si>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</si>
  <si>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</si>
  <si>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</si>
  <si>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</si>
  <si>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</si>
  <si>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</si>
  <si>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</si>
  <si>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</si>
  <si>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</si>
  <si>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</si>
  <si>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</si>
  <si>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</si>
  <si>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</si>
  <si>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</si>
  <si>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</si>
  <si>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</si>
  <si>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</si>
  <si>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</si>
  <si>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</si>
  <si>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</si>
  <si>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</si>
  <si>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</si>
  <si>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</si>
  <si>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</si>
  <si>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</si>
  <si>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</si>
  <si>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</si>
  <si>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</si>
  <si>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</si>
  <si>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</si>
  <si>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</si>
  <si>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</si>
  <si>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</si>
  <si>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</si>
  <si>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</si>
  <si>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</si>
  <si>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</si>
  <si>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</si>
  <si>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</si>
  <si>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</si>
  <si>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</si>
  <si>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</si>
  <si>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</si>
  <si>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</si>
  <si>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</si>
  <si>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</si>
  <si>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</si>
  <si>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</si>
  <si>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</si>
  <si>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</si>
  <si>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</si>
  <si>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</si>
  <si>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</si>
  <si>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</si>
  <si>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</si>
  <si>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</si>
  <si>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</si>
  <si>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</si>
  <si>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</si>
  <si>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</si>
  <si>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</si>
  <si>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</si>
  <si>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</si>
  <si>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</si>
  <si>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</si>
  <si>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</si>
  <si>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</si>
  <si>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</si>
  <si>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</si>
  <si>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</si>
  <si>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</si>
  <si>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</si>
  <si>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</si>
  <si>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</si>
  <si>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</si>
  <si>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</si>
  <si>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</si>
  <si>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</si>
  <si>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</si>
  <si>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</si>
  <si>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</si>
  <si>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</si>
  <si>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</si>
  <si>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</si>
  <si>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</si>
  <si>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</si>
  <si>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</si>
  <si>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</si>
  <si>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</si>
  <si>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</si>
  <si>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</si>
  <si>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</si>
  <si>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</si>
  <si>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</si>
  <si>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</si>
  <si>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</si>
  <si>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</si>
  <si>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</si>
  <si>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</si>
  <si>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</si>
  <si>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</si>
  <si>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</si>
  <si>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</si>
  <si>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</si>
  <si>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</si>
  <si>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</si>
  <si>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</si>
  <si>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</si>
  <si>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</si>
  <si>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</si>
  <si>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</si>
  <si>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</si>
  <si>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</si>
  <si>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</si>
  <si>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</si>
  <si>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</si>
  <si>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</si>
  <si>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</si>
  <si>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</si>
  <si>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</si>
  <si>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</si>
  <si>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</si>
  <si>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</si>
  <si>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</si>
  <si>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</si>
  <si>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</si>
  <si>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</si>
  <si>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</si>
  <si>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</si>
  <si>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</si>
  <si>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</si>
  <si>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</si>
  <si>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</si>
  <si>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</si>
  <si>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</si>
  <si>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</si>
  <si>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</si>
  <si>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</si>
  <si>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</si>
  <si>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</si>
  <si>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</si>
  <si>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</si>
  <si>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</si>
  <si>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</si>
  <si>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</si>
  <si>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</si>
  <si>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</si>
  <si>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</si>
  <si>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</si>
  <si>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</si>
  <si>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</si>
  <si>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</si>
  <si>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</si>
  <si>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</si>
  <si>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</si>
  <si>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</si>
  <si>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</si>
  <si>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</si>
  <si>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</si>
  <si>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</si>
  <si>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</si>
  <si>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</si>
  <si>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</si>
  <si>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</si>
  <si>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</si>
  <si>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</si>
  <si>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</si>
  <si>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</si>
  <si>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</si>
  <si>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</si>
  <si>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</si>
  <si>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</si>
  <si>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</si>
  <si>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</si>
  <si>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</si>
  <si>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</si>
  <si>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</si>
  <si>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</si>
  <si>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</si>
  <si>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</si>
  <si>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</si>
  <si>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</si>
  <si>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</si>
  <si>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</si>
  <si>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</si>
  <si>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</si>
  <si>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</si>
  <si>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</si>
  <si>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</si>
  <si>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</si>
  <si>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</si>
  <si>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</si>
  <si>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</si>
  <si>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</si>
  <si>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</si>
  <si>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</si>
  <si>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</si>
  <si>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</si>
  <si>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</si>
  <si>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</si>
  <si>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</si>
  <si>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</si>
  <si>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</si>
  <si>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</si>
  <si>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</si>
  <si>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</si>
  <si>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</si>
  <si>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</si>
  <si>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</si>
  <si>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</si>
  <si>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</si>
  <si>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</si>
  <si>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</si>
  <si>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</si>
  <si>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</si>
  <si>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</si>
  <si>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</si>
  <si>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</si>
  <si>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</si>
  <si>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</si>
  <si>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</si>
  <si>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</si>
  <si>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</si>
  <si>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</si>
  <si>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</si>
  <si>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</si>
  <si>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</si>
  <si>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</si>
  <si>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</si>
  <si>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</si>
  <si>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</si>
  <si>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</si>
  <si>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</si>
  <si>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</si>
  <si>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</si>
  <si>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</si>
  <si>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</si>
  <si>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</si>
  <si>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</si>
  <si>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</si>
  <si>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</si>
  <si>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</si>
  <si>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</si>
  <si>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</si>
  <si>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</si>
  <si>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</si>
  <si>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</si>
  <si>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</si>
  <si>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</si>
  <si>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</si>
  <si>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</si>
  <si>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</si>
  <si>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</si>
  <si>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</si>
  <si>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</si>
  <si>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</si>
  <si>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</si>
  <si>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</si>
  <si>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</si>
  <si>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</si>
  <si>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</si>
  <si>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</si>
  <si>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</si>
  <si>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</si>
  <si>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</si>
  <si>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</si>
  <si>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</si>
  <si>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</si>
  <si>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</si>
  <si>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</si>
  <si>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</si>
  <si>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</si>
  <si>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</si>
  <si>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</si>
  <si>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</si>
  <si>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</si>
  <si>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</si>
  <si>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</si>
  <si>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</si>
  <si>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</si>
  <si>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</si>
  <si>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</si>
  <si>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</si>
  <si>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</si>
  <si>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</si>
  <si>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</si>
  <si>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</si>
  <si>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</si>
  <si>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</si>
  <si>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</si>
  <si>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</si>
  <si>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</si>
  <si>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</si>
  <si>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</si>
  <si>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</si>
  <si>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</si>
  <si>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</si>
  <si>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</si>
  <si>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</si>
  <si>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</si>
  <si>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</si>
  <si>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</si>
  <si>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</si>
  <si>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</si>
  <si>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</si>
  <si>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</si>
  <si>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</si>
  <si>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</si>
  <si>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</si>
  <si>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</si>
  <si>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</si>
  <si>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</si>
  <si>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</si>
  <si>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</si>
  <si>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</si>
  <si>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</si>
  <si>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</si>
  <si>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</si>
  <si>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</si>
  <si>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</si>
  <si>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</si>
  <si>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</si>
  <si>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</si>
  <si>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</si>
  <si>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</si>
  <si>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</si>
  <si>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</si>
  <si>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</si>
  <si>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</si>
  <si>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</si>
  <si>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</si>
  <si>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</si>
  <si>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</si>
  <si>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</si>
  <si>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</si>
  <si>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</si>
  <si>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</si>
  <si>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</si>
  <si>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</si>
  <si>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</si>
  <si>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</si>
  <si>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</si>
  <si>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</si>
  <si>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</si>
  <si>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</si>
  <si>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</si>
  <si>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</si>
  <si>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</si>
  <si>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</si>
  <si>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</si>
  <si>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</si>
  <si>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</si>
  <si>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</si>
  <si>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</si>
  <si>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</si>
  <si>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</si>
  <si>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</si>
  <si>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</si>
  <si>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</si>
  <si>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</si>
  <si>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</si>
  <si>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</si>
  <si>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</si>
  <si>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</si>
  <si>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</si>
  <si>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</si>
  <si>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</si>
  <si>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</si>
  <si>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</si>
  <si>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</si>
  <si>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</si>
  <si>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</si>
  <si>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</si>
  <si>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</si>
  <si>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</si>
  <si>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</si>
  <si>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</si>
  <si>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</si>
  <si>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</si>
  <si>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</si>
  <si>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</si>
  <si>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</si>
  <si>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</si>
  <si>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</si>
  <si>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</si>
  <si>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</si>
  <si>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</si>
  <si>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</si>
  <si>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</si>
  <si>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</si>
  <si>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</si>
  <si>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</si>
  <si>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</si>
  <si>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</si>
  <si>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</si>
  <si>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</si>
  <si>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</si>
  <si>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</si>
  <si>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</si>
  <si>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</si>
  <si>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</si>
  <si>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</si>
  <si>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</si>
  <si>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</si>
  <si>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</si>
  <si>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</si>
  <si>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</si>
  <si>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</si>
  <si>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</si>
  <si>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</si>
  <si>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</si>
  <si>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</si>
  <si>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</si>
  <si>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</si>
  <si>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</si>
  <si>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</si>
  <si>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</si>
  <si>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</si>
  <si>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</si>
  <si>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</si>
  <si>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</si>
  <si>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</si>
  <si>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</si>
  <si>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</si>
  <si>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</si>
  <si>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</si>
  <si>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</si>
  <si>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</si>
  <si>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</si>
  <si>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</si>
  <si>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</si>
  <si>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</si>
  <si>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</si>
  <si>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</si>
  <si>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</si>
  <si>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</si>
  <si>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</si>
  <si>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</si>
  <si>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</si>
  <si>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</si>
  <si>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</si>
  <si>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</si>
  <si>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</si>
  <si>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</si>
  <si>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</si>
  <si>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</si>
  <si>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</si>
  <si>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</si>
  <si>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</si>
  <si>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</si>
  <si>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</si>
  <si>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</si>
  <si>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</si>
  <si>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</si>
  <si>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</si>
  <si>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</si>
  <si>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</si>
  <si>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</si>
  <si>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</si>
  <si>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</si>
  <si>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</si>
  <si>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</si>
  <si>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</si>
  <si>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</si>
  <si>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</si>
  <si>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</si>
  <si>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</si>
  <si>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</si>
  <si>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</si>
  <si>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</si>
  <si>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</si>
  <si>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</si>
  <si>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</si>
  <si>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</si>
  <si>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</si>
  <si>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</si>
  <si>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</si>
  <si>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</si>
  <si>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</si>
  <si>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</si>
  <si>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</si>
  <si>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</si>
  <si>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</si>
  <si>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</si>
  <si>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</si>
  <si>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</si>
  <si>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</si>
  <si>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</si>
  <si>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</si>
  <si>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</si>
  <si>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</si>
  <si>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</si>
  <si>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</si>
  <si>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</si>
  <si>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</si>
  <si>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</si>
  <si>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</si>
  <si>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</si>
  <si>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</si>
  <si>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</si>
  <si>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</si>
  <si>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</si>
  <si>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</si>
  <si>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</si>
  <si>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</si>
  <si>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</si>
  <si>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</si>
  <si>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</si>
  <si>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</si>
  <si>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</si>
  <si>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</si>
  <si>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</si>
  <si>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</si>
  <si>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</si>
  <si>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</si>
  <si>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</si>
  <si>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</si>
  <si>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</si>
  <si>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</si>
  <si>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</si>
  <si>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</si>
  <si>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</si>
  <si>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</si>
  <si>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</si>
  <si>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</si>
  <si>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</si>
  <si>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</si>
  <si>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</si>
  <si>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</si>
  <si>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</si>
  <si>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</si>
  <si>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</si>
  <si>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</si>
  <si>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</si>
  <si>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</si>
  <si>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</si>
  <si>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</si>
  <si>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</si>
  <si>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</si>
  <si>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</si>
  <si>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</si>
  <si>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</si>
  <si>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</si>
  <si>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</si>
  <si>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</si>
  <si>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</si>
  <si>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</si>
  <si>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</si>
  <si>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</si>
  <si>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</si>
  <si>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</si>
  <si>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</si>
  <si>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</si>
  <si>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</si>
  <si>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</si>
  <si>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</si>
  <si>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</si>
  <si>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</si>
  <si>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</si>
  <si>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</si>
  <si>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</si>
  <si>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</si>
  <si>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</si>
  <si>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</si>
  <si>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</si>
  <si>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</si>
  <si>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</si>
  <si>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</si>
  <si>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</si>
  <si>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</si>
  <si>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</si>
  <si>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</si>
  <si>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</si>
  <si>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</si>
  <si>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</si>
  <si>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</si>
  <si>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</si>
  <si>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</si>
  <si>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</si>
  <si>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</si>
  <si>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</si>
  <si>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</si>
  <si>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</si>
  <si>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</si>
  <si>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</si>
  <si>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</si>
  <si>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</si>
  <si>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</si>
  <si>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</si>
  <si>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</si>
  <si>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</si>
  <si>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</si>
  <si>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</si>
  <si>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</si>
  <si>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</si>
  <si>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</si>
  <si>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</si>
  <si>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</si>
  <si>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</si>
  <si>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</si>
  <si>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</si>
  <si>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</si>
  <si>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</si>
  <si>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</si>
  <si>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</si>
  <si>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</si>
  <si>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</si>
  <si>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</si>
  <si>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</si>
  <si>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</si>
  <si>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</si>
  <si>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</si>
  <si>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</si>
  <si>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</si>
  <si>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</si>
  <si>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</si>
  <si>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</si>
  <si>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</si>
  <si>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</si>
  <si>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</si>
  <si>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</si>
  <si>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</si>
  <si>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</si>
  <si>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</si>
  <si>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</si>
  <si>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</si>
  <si>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</si>
  <si>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</si>
  <si>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</si>
  <si>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</si>
  <si>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</si>
  <si>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</si>
  <si>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</si>
  <si>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</si>
  <si>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</si>
  <si>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</si>
  <si>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</si>
  <si>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</si>
  <si>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</si>
  <si>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</si>
  <si>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</si>
  <si>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</si>
  <si>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</si>
  <si>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</si>
  <si>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</si>
  <si>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</si>
  <si>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</si>
  <si>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</si>
  <si>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</si>
  <si>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</si>
  <si>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</si>
  <si>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</si>
  <si>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</si>
  <si>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</si>
  <si>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</si>
  <si>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</si>
  <si>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</si>
  <si>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</si>
  <si>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</si>
  <si>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</si>
  <si>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</si>
  <si>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</si>
  <si>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</si>
  <si>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</si>
  <si>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</si>
  <si>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</si>
  <si>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</si>
  <si>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</si>
  <si>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</si>
  <si>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</si>
  <si>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</si>
  <si>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</si>
  <si>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</si>
  <si>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</si>
  <si>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</si>
  <si>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</si>
  <si>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</si>
  <si>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</si>
  <si>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</si>
  <si>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</si>
  <si>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</si>
  <si>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</si>
  <si>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</si>
  <si>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</si>
  <si>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</si>
  <si>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</si>
  <si>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</si>
  <si>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</si>
  <si>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</si>
  <si>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</si>
  <si>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</si>
  <si>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</si>
  <si>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</si>
  <si>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</si>
  <si>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</si>
  <si>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</si>
  <si>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</si>
  <si>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</si>
  <si>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</si>
  <si>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</si>
  <si>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</si>
  <si>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</si>
  <si>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</si>
  <si>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</si>
  <si>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</si>
  <si>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</si>
  <si>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</si>
  <si>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</si>
  <si>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</si>
  <si>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</si>
  <si>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</si>
  <si>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</si>
  <si>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</si>
  <si>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</si>
  <si>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</si>
  <si>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</si>
  <si>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</si>
  <si>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 xml:space="preserve">People's Self-Help Housing Corporation </t>
  </si>
  <si>
    <t>Rolling Hills III</t>
  </si>
  <si>
    <t>246 Bennett Way</t>
  </si>
  <si>
    <t>Templeton</t>
  </si>
  <si>
    <t>County of San Luis Obispo</t>
  </si>
  <si>
    <t>1060 Kendall Road</t>
  </si>
  <si>
    <t>CA</t>
  </si>
  <si>
    <t>Katherine Aguilar</t>
  </si>
  <si>
    <t>(818) 849-8613</t>
  </si>
  <si>
    <t>katherinea@pshhc.org</t>
  </si>
  <si>
    <t xml:space="preserve">Rolling Hills III, L.P. </t>
  </si>
  <si>
    <t>People's Self-Help Housing Corporation</t>
  </si>
  <si>
    <t>Rolling Hills LLC</t>
  </si>
  <si>
    <t>Owner, L.P., General Partner, Developer</t>
  </si>
  <si>
    <t>Veronica Z. Garcia</t>
  </si>
  <si>
    <t>(805) 651-3592</t>
  </si>
  <si>
    <t>veronicag@pshhc.org</t>
  </si>
  <si>
    <t>Gubb &amp; Barshay LLP</t>
  </si>
  <si>
    <t>235 Montgomery Street, Suite 1110</t>
  </si>
  <si>
    <t>San Francisco, CA 94104</t>
  </si>
  <si>
    <t>Erica Williams Orcharton</t>
  </si>
  <si>
    <t>(415) 992-3675</t>
  </si>
  <si>
    <t>ewilliams@gubbandbarshay.com</t>
  </si>
  <si>
    <t>Thomas Tomaszweski</t>
  </si>
  <si>
    <t>9811 Tilden Drive</t>
  </si>
  <si>
    <t>El Dorado Hills</t>
  </si>
  <si>
    <t>(916) 804-5376</t>
  </si>
  <si>
    <t>(916) 939-8215</t>
  </si>
  <si>
    <t>tomcpa@directcon.net</t>
  </si>
  <si>
    <t>California Housing Partnership Corporation</t>
  </si>
  <si>
    <t>369 Pine Street, Suite 300</t>
  </si>
  <si>
    <t>Laurin Associates</t>
  </si>
  <si>
    <t>1501 Sports Drive</t>
  </si>
  <si>
    <t>Sacramento, CA 95834</t>
  </si>
  <si>
    <t>Stefanie Williams</t>
  </si>
  <si>
    <t>(916) 372-6100</t>
  </si>
  <si>
    <t>swilliams@laurinassociates.com</t>
  </si>
  <si>
    <t>The Duncan Group</t>
  </si>
  <si>
    <t>Anna Miller</t>
  </si>
  <si>
    <t>(805) 540-2491</t>
  </si>
  <si>
    <t>annam@pshhc.org</t>
  </si>
  <si>
    <t>Lane Consulting Services</t>
  </si>
  <si>
    <t>4136 Del Rey Avenue</t>
  </si>
  <si>
    <t>Marina del Rey, CA 90292</t>
  </si>
  <si>
    <t>(310) 823-7613</t>
  </si>
  <si>
    <t>rlane@laneconsultingservices.com</t>
  </si>
  <si>
    <t>San Luis Obispo, CA 93401</t>
  </si>
  <si>
    <t xml:space="preserve">DiCecco Architecture Incorporated </t>
  </si>
  <si>
    <t>887 Patriot Drive, Suite C</t>
  </si>
  <si>
    <t>Moorpark, CA 93021</t>
  </si>
  <si>
    <t>Mark DiCecco</t>
  </si>
  <si>
    <t>(805) 552-0088</t>
  </si>
  <si>
    <t>mark@diceccoarch.com</t>
  </si>
  <si>
    <t>Partner Energy</t>
  </si>
  <si>
    <t xml:space="preserve">2154 Torrance Blvd. </t>
  </si>
  <si>
    <t>Torrance, CA 90501</t>
  </si>
  <si>
    <t>Melissa Tso</t>
  </si>
  <si>
    <t>(310) 956-3714</t>
  </si>
  <si>
    <t>(310) 862-2399</t>
  </si>
  <si>
    <t>mtso@ptrenergy.com</t>
  </si>
  <si>
    <t>2-story Multifamily Affordable Housing Apartment Complex</t>
  </si>
  <si>
    <t>Office Professional with vested Conditional Use Permit</t>
  </si>
  <si>
    <t>CA Dept Housing &amp; Community Development</t>
  </si>
  <si>
    <t>Fixed</t>
  </si>
  <si>
    <t>Variable</t>
  </si>
  <si>
    <t>GP Capital - Sponsor People's Self-Help Housing Corp.</t>
  </si>
  <si>
    <t>Limited Partner Contribution</t>
  </si>
  <si>
    <t>560 Mission St, Floor 04</t>
  </si>
  <si>
    <t>William Ho</t>
  </si>
  <si>
    <t>(415) 315-7916</t>
  </si>
  <si>
    <t>Construction Loan</t>
  </si>
  <si>
    <t>1055 Monterey Street</t>
  </si>
  <si>
    <t>George Solis</t>
  </si>
  <si>
    <t>(805) 788-9488</t>
  </si>
  <si>
    <t>Costs Deferred Until Conversion</t>
  </si>
  <si>
    <t>LIHTC Equity</t>
  </si>
  <si>
    <t>GP Equity</t>
  </si>
  <si>
    <t>651 Bannon Street, Suite 400</t>
  </si>
  <si>
    <t>May Vue</t>
  </si>
  <si>
    <t>(916) 776-7791</t>
  </si>
  <si>
    <t>HCD, Joe Serna Jr. FWHG</t>
  </si>
  <si>
    <t>HCD Joe Serna Jr, FWHG</t>
  </si>
  <si>
    <t>County of San Luis Obispo HOME/HOME ARP</t>
  </si>
  <si>
    <t xml:space="preserve">GP Captial - Sponsor People's Self-Help Housing Corp. </t>
  </si>
  <si>
    <t>Loan , Residual Receipts</t>
  </si>
  <si>
    <t xml:space="preserve">1060 Kendall Road </t>
  </si>
  <si>
    <t>Defferred Developer Fee</t>
  </si>
  <si>
    <t>Air Conditioning</t>
  </si>
  <si>
    <t>California Utility Allowance Calculator (CUAC)</t>
  </si>
  <si>
    <t>Payroll Taxes/Benefits</t>
  </si>
  <si>
    <t>Fire Protection</t>
  </si>
  <si>
    <t>Templeton Community Services District</t>
  </si>
  <si>
    <t>Managing GP</t>
  </si>
  <si>
    <t>Administrative GP</t>
  </si>
  <si>
    <t>976 Osos Street, Room 300</t>
  </si>
  <si>
    <t>040-289-020</t>
  </si>
  <si>
    <t>TBD</t>
  </si>
  <si>
    <t>Giacomo A. Licari et al</t>
  </si>
  <si>
    <t>Giacomo A. Licari, Sucessor Trustee</t>
  </si>
  <si>
    <t>1 per 1 bdrm, 1.5 per 2 bdrm, 2 per 3 brdm</t>
  </si>
  <si>
    <t>SLO County HOME/HOME ARP</t>
  </si>
  <si>
    <t>Construction Loan - JPMC</t>
  </si>
  <si>
    <t>Legal - Construction Closing</t>
  </si>
  <si>
    <t>Deferred Interest - Serna/HOME/HOME ARP</t>
  </si>
  <si>
    <t>Legal Perm Closing</t>
  </si>
  <si>
    <t>805-781-5708</t>
  </si>
  <si>
    <t>tkeith@co.slo.ca.us</t>
  </si>
  <si>
    <t xml:space="preserve">Trevor Keith </t>
  </si>
  <si>
    <t>County of San Luis Obispo - Director of Planning and Building</t>
  </si>
  <si>
    <t>Deferred Interest- Serna/HOME/HOME ARP</t>
  </si>
  <si>
    <t>Non-Basis Elgible:Title recording Acquisition, SLO Lender Fees</t>
  </si>
  <si>
    <t>40%/60%</t>
  </si>
  <si>
    <t>Rolling Hills III LLC</t>
  </si>
  <si>
    <t>Provided</t>
  </si>
  <si>
    <t>Not Applicable</t>
  </si>
  <si>
    <t>California Municipal Finance Authority</t>
  </si>
  <si>
    <t>2111 Palomar Airport Rd, Suite 320</t>
  </si>
  <si>
    <t>Carlsbad, CA 92011</t>
  </si>
  <si>
    <t>Anthony Stubbs</t>
  </si>
  <si>
    <t>760.930.1333</t>
  </si>
  <si>
    <t>760.683.3390</t>
  </si>
  <si>
    <t>astubbs@cmfa-ca.com</t>
  </si>
  <si>
    <t>415-286-3128</t>
  </si>
  <si>
    <t>Michelle Espinosa Coulter</t>
  </si>
  <si>
    <t>mcoulter@chpc.net</t>
  </si>
  <si>
    <t>8350 Morro Rd. Atascadero, CA 93422</t>
  </si>
  <si>
    <t>Previous Owner</t>
  </si>
  <si>
    <t>PreviousOwner</t>
  </si>
  <si>
    <t>Equity, LITHC Investor</t>
  </si>
  <si>
    <t>Costs Deferred</t>
  </si>
  <si>
    <t>HCD SuperNOFA: Joe Serna Sr. Farmworker Grant</t>
  </si>
  <si>
    <t>One or Two Story Garden</t>
  </si>
  <si>
    <t>At-risk of homelessness</t>
  </si>
  <si>
    <t>Lender Expenses</t>
  </si>
  <si>
    <t>Other Basis Eligible: Security, Utility Connection, special inspections testing, geotech/soils report, Project Admin</t>
  </si>
  <si>
    <t>Lease-Up Expenses</t>
  </si>
  <si>
    <t xml:space="preserve">Other (Specify): </t>
  </si>
  <si>
    <t>HCD Serna</t>
  </si>
  <si>
    <t>Above residual receipts line for cash flow</t>
  </si>
  <si>
    <t>January</t>
  </si>
  <si>
    <t>Chief Real Estate Development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</si>
</sst>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912">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cellStyleXfs>
  <cellXfs count="2690">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19" fillId="0" borderId="0" xfId="0" applyFont="1" applyAlignment="1">
      <alignment horizontal="left" vertical="top"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19" fillId="0" borderId="0" xfId="0" applyFont="1" applyAlignment="1">
      <alignment horizontal="left"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45" borderId="11" xfId="0" applyFont="1" applyFill="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0" fontId="19" fillId="0" borderId="11" xfId="0" applyFont="1" applyBorder="1" applyAlignment="1">
      <alignment horizontal="center"/>
    </xf>
    <xf numFmtId="0" fontId="28" fillId="2" borderId="11" xfId="0" applyFont="1" applyFill="1" applyBorder="1" applyAlignment="1">
      <alignment horizontal="center"/>
    </xf>
    <xf numFmtId="0" fontId="0" fillId="0" borderId="11" xfId="0" applyBorder="1" applyAlignment="1">
      <alignment horizontal="center"/>
    </xf>
    <xf numFmtId="0" fontId="19" fillId="0" borderId="11" xfId="543"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6" fillId="0" borderId="6" xfId="0" applyFont="1" applyBorder="1" applyAlignment="1">
      <alignment horizontal="center"/>
    </xf>
    <xf numFmtId="0" fontId="26"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66" fontId="28"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8" fillId="5" borderId="9" xfId="0" applyFont="1" applyFill="1" applyBorder="1" applyAlignment="1" applyProtection="1">
      <alignment horizontal="center"/>
      <protection locked="0"/>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0" fontId="2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3" fontId="28" fillId="5" borderId="11" xfId="0" applyNumberFormat="1" applyFont="1" applyFill="1" applyBorder="1" applyAlignment="1" applyProtection="1">
      <alignment horizontal="center"/>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168" fontId="28" fillId="0" borderId="11" xfId="0" applyNumberFormat="1" applyFont="1" applyBorder="1" applyAlignment="1">
      <alignment horizontal="center"/>
    </xf>
    <xf numFmtId="0" fontId="1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8" fillId="5" borderId="11" xfId="0" applyFon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28"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19" fillId="5" borderId="11" xfId="0" applyFont="1" applyFill="1" applyBorder="1" applyAlignment="1" applyProtection="1">
      <alignment horizontal="left" vertical="center" wrapText="1"/>
      <protection locked="0"/>
    </xf>
    <xf numFmtId="0" fontId="19" fillId="5" borderId="11" xfId="0" applyFont="1" applyFill="1" applyBorder="1" applyAlignment="1" applyProtection="1">
      <alignment vertical="center" wrapText="1"/>
      <protection locked="0"/>
    </xf>
    <xf numFmtId="0" fontId="38"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wrapText="1"/>
      <protection locked="0"/>
    </xf>
    <xf numFmtId="168" fontId="2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14" fontId="19"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5" borderId="6" xfId="0" applyFont="1" applyFill="1" applyBorder="1" applyAlignment="1" applyProtection="1">
      <alignment horizontal="left"/>
      <protection locked="0"/>
    </xf>
    <xf numFmtId="0" fontId="19" fillId="5" borderId="4" xfId="0" applyFont="1" applyFill="1" applyBorder="1" applyAlignment="1" applyProtection="1">
      <alignment wrapText="1"/>
      <protection locked="0"/>
    </xf>
    <xf numFmtId="1" fontId="28" fillId="5" borderId="6" xfId="0" applyNumberFormat="1" applyFon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28"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19"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Protection="1">
      <protection locked="0"/>
    </xf>
    <xf numFmtId="0" fontId="19" fillId="0" borderId="4" xfId="0" applyFont="1" applyBorder="1" applyAlignment="1" applyProtection="1">
      <alignment horizontal="left"/>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28" fillId="5" borderId="6" xfId="0" applyFont="1" applyFill="1" applyBorder="1" applyAlignment="1" applyProtection="1">
      <alignment horizontal="left" wrapText="1"/>
      <protection locked="0"/>
    </xf>
    <xf numFmtId="166" fontId="19" fillId="5" borderId="6"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0" fontId="0" fillId="0" borderId="0" xfId="0" applyAlignment="1">
      <alignment wrapText="1"/>
    </xf>
    <xf numFmtId="0" fontId="27" fillId="43" borderId="6" xfId="0" applyFont="1" applyFill="1" applyBorder="1" applyAlignment="1" applyProtection="1">
      <alignment horizontal="left"/>
      <protection locked="0"/>
    </xf>
    <xf numFmtId="0" fontId="19" fillId="5" borderId="4" xfId="0" applyFont="1" applyFill="1" applyBorder="1" applyAlignment="1" applyProtection="1">
      <alignment horizontal="center"/>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28" fillId="5" borderId="4" xfId="271" applyNumberFormat="1" applyFill="1" applyBorder="1" applyAlignment="1" applyProtection="1">
      <alignment horizontal="left"/>
      <protection locked="0"/>
    </xf>
    <xf numFmtId="0" fontId="28" fillId="0" borderId="6" xfId="0" applyFont="1" applyBorder="1" applyAlignment="1">
      <alignment horizontal="left"/>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8" fontId="28"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8" fillId="0" borderId="1" xfId="0" applyFont="1" applyBorder="1" applyAlignment="1">
      <alignment horizontal="center" vertical="top" wrapText="1"/>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157" fillId="0" borderId="0" xfId="0" applyNumberFormat="1" applyFont="1" applyAlignment="1">
      <alignment horizontal="center" vertical="center" wrapText="1"/>
    </xf>
    <xf numFmtId="0" fontId="28" fillId="0" borderId="11" xfId="0" applyFont="1" applyBorder="1" applyAlignment="1">
      <alignment horizontal="center" vertical="top" wrapText="1"/>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28"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9" fillId="0" borderId="0" xfId="543" applyNumberFormat="1" applyAlignment="1">
      <alignment horizontal="center"/>
    </xf>
    <xf numFmtId="0" fontId="19" fillId="0" borderId="0" xfId="543"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0" fontId="19" fillId="0" borderId="3" xfId="0" applyFont="1" applyBorder="1"/>
    <xf numFmtId="0" fontId="19" fillId="0" borderId="4" xfId="0" applyFont="1" applyBorder="1"/>
    <xf numFmtId="0" fontId="19"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26"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9" xfId="0" applyFont="1" applyBorder="1" applyAlignment="1">
      <alignment horizontal="right"/>
    </xf>
    <xf numFmtId="0" fontId="26" fillId="0" borderId="10" xfId="0" applyFont="1" applyBorder="1" applyAlignment="1">
      <alignment horizontal="right"/>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8" fontId="0" fillId="0" borderId="11" xfId="0" applyNumberFormat="1" applyBorder="1" applyAlignment="1">
      <alignment horizontal="center"/>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28" fillId="0" borderId="3" xfId="0" applyFont="1" applyBorder="1" applyAlignment="1">
      <alignment horizontal="left"/>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5" borderId="5" xfId="0" applyFont="1" applyFill="1" applyBorder="1" applyAlignment="1" applyProtection="1">
      <alignment horizontal="left"/>
      <protection locked="0"/>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horizontal="center" vertical="top"/>
    </xf>
    <xf numFmtId="168" fontId="28" fillId="0" borderId="6" xfId="0" applyNumberFormat="1" applyFont="1" applyBorder="1" applyAlignment="1">
      <alignment horizontal="center"/>
    </xf>
    <xf numFmtId="0" fontId="26" fillId="0" borderId="9" xfId="0" applyFont="1" applyBorder="1" applyAlignment="1">
      <alignment horizont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168" fontId="19"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6" fillId="0" borderId="11" xfId="0" applyFont="1" applyBorder="1" applyAlignment="1">
      <alignment horizontal="center" vertical="center"/>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0" borderId="0" xfId="543" applyAlignment="1">
      <alignment wrapText="1"/>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912">
    <cellStyle name="20% - Accent1" xfId="1" builtinId="30" customBuiltin="1"/>
    <cellStyle name="20% - Accent1 10" xfId="4504" xr:uid="{00000000-0005-0000-0000-000001000000}"/>
    <cellStyle name="20% - Accent1 10 2" xfId="13830" xr:uid="{3FDFC3D4-01C1-40F8-8EFD-2605ED341C79}"/>
    <cellStyle name="20% - Accent1 11" xfId="8758" xr:uid="{2F735C8D-70CB-4E84-A95A-4445894745BC}"/>
    <cellStyle name="20% - Accent1 11 2" xfId="18082" xr:uid="{30106D1F-C9E8-4C26-B748-C3BB6694B8F0}"/>
    <cellStyle name="20% - Accent1 12" xfId="9613" xr:uid="{50F8D9DE-5982-416D-BD09-AA284BC8E8EC}"/>
    <cellStyle name="20% - Accent1 2" xfId="2" xr:uid="{00000000-0005-0000-0000-000002000000}"/>
    <cellStyle name="20% - Accent1 2 10" xfId="8797" xr:uid="{7F4BEAE6-CC35-4B07-89BD-8FC5D6B3D35B}"/>
    <cellStyle name="20% - Accent1 2 10 2" xfId="18121" xr:uid="{522733E4-81EE-45DD-980A-E55E6A8E7D4E}"/>
    <cellStyle name="20% - Accent1 2 11" xfId="9614" xr:uid="{900245EC-A64C-4C9E-9BEF-C86E4E0583C6}"/>
    <cellStyle name="20% - Accent1 2 2" xfId="3" xr:uid="{00000000-0005-0000-0000-000003000000}"/>
    <cellStyle name="20% - Accent1 2 2 10" xfId="9615" xr:uid="{814C1F94-04B7-4305-B8F4-EC96E6848187}"/>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489CA214-A8B6-4CF7-936A-557B1C44D5C9}"/>
    <cellStyle name="20% - Accent1 2 2 2 2 2 3" xfId="12175" xr:uid="{56782E46-FAD0-4308-ADEC-B2E665A35B73}"/>
    <cellStyle name="20% - Accent1 2 2 2 2 3" xfId="4921" xr:uid="{00000000-0005-0000-0000-000008000000}"/>
    <cellStyle name="20% - Accent1 2 2 2 2 3 2" xfId="14247" xr:uid="{E45A5068-F2A7-451C-A089-C4112ADC5DBC}"/>
    <cellStyle name="20% - Accent1 2 2 2 2 4" xfId="9532" xr:uid="{D5FAB462-C5A9-4306-AA37-C118C84F9393}"/>
    <cellStyle name="20% - Accent1 2 2 2 2 4 2" xfId="18847" xr:uid="{04B983FF-CAE6-4135-80D2-C867FF11BE64}"/>
    <cellStyle name="20% - Accent1 2 2 2 2 5" xfId="10030" xr:uid="{2A6A8DAF-7CA1-4D06-83DF-B389482C60E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6C4B1913-2BE3-4994-8DD1-90C907E3FD1E}"/>
    <cellStyle name="20% - Accent1 2 2 2 3 2 3" xfId="12588" xr:uid="{199CFBA3-0BC8-458C-919B-041A93EFAB8D}"/>
    <cellStyle name="20% - Accent1 2 2 2 3 3" xfId="5334" xr:uid="{00000000-0005-0000-0000-00000C000000}"/>
    <cellStyle name="20% - Accent1 2 2 2 3 3 2" xfId="14660" xr:uid="{6978489F-F9C6-4B92-9CC9-7253CD235DA4}"/>
    <cellStyle name="20% - Accent1 2 2 2 3 4" xfId="10443" xr:uid="{87BAF4BE-99A3-45F0-B463-716A3D6267E2}"/>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31E01F8B-79B9-45BC-BD95-44E72373BD17}"/>
    <cellStyle name="20% - Accent1 2 2 2 4 2 3" xfId="13001" xr:uid="{4C1F3A90-A4A0-43EE-9801-70535A0A3837}"/>
    <cellStyle name="20% - Accent1 2 2 2 4 3" xfId="5747" xr:uid="{00000000-0005-0000-0000-000010000000}"/>
    <cellStyle name="20% - Accent1 2 2 2 4 3 2" xfId="15073" xr:uid="{FD0F87B3-A168-4557-A342-00CA8E24B87C}"/>
    <cellStyle name="20% - Accent1 2 2 2 4 4" xfId="10856" xr:uid="{1F6B3F4B-C798-44C5-9E47-D821AE4A22B8}"/>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F17DADB0-092B-4FAD-99D0-2915FAF9008B}"/>
    <cellStyle name="20% - Accent1 2 2 2 5 2 3" xfId="13414" xr:uid="{9D8CC627-0381-430F-AA25-A1611CD561C7}"/>
    <cellStyle name="20% - Accent1 2 2 2 5 3" xfId="6160" xr:uid="{00000000-0005-0000-0000-000014000000}"/>
    <cellStyle name="20% - Accent1 2 2 2 5 3 2" xfId="15486" xr:uid="{AD9CEB8E-1F5D-487A-8DF7-8FE401AB398A}"/>
    <cellStyle name="20% - Accent1 2 2 2 5 4" xfId="11269" xr:uid="{E0F36D9E-4D0D-4F48-A97F-64457E7480F8}"/>
    <cellStyle name="20% - Accent1 2 2 2 6" xfId="2267" xr:uid="{00000000-0005-0000-0000-000015000000}"/>
    <cellStyle name="20% - Accent1 2 2 2 6 2" xfId="6573" xr:uid="{00000000-0005-0000-0000-000016000000}"/>
    <cellStyle name="20% - Accent1 2 2 2 6 2 2" xfId="15899" xr:uid="{06CDFEF5-2D10-4723-B6E9-D67AEE49395B}"/>
    <cellStyle name="20% - Accent1 2 2 2 6 3" xfId="11682" xr:uid="{3E73BD6F-7327-49F4-B01F-5140BDD78F87}"/>
    <cellStyle name="20% - Accent1 2 2 2 7" xfId="4507" xr:uid="{00000000-0005-0000-0000-000017000000}"/>
    <cellStyle name="20% - Accent1 2 2 2 7 2" xfId="13833" xr:uid="{2D216A40-44E1-4457-BDA3-32C56D61EAA5}"/>
    <cellStyle name="20% - Accent1 2 2 2 8" xfId="9107" xr:uid="{4168D01E-823F-4E8F-9A1D-70697AC1F241}"/>
    <cellStyle name="20% - Accent1 2 2 2 8 2" xfId="18431" xr:uid="{D7C7CAA2-7258-42C0-9DEB-C1012D6C3542}"/>
    <cellStyle name="20% - Accent1 2 2 2 9" xfId="9616" xr:uid="{8CA789B3-B61F-4DED-AFB9-3814D83008F2}"/>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F82494ED-860D-455E-AFCF-795646CDA1CF}"/>
    <cellStyle name="20% - Accent1 2 2 3 2 3" xfId="12174" xr:uid="{527E5EDD-476F-4BFC-91DA-3DE765D2E8D5}"/>
    <cellStyle name="20% - Accent1 2 2 3 3" xfId="4920" xr:uid="{00000000-0005-0000-0000-00001B000000}"/>
    <cellStyle name="20% - Accent1 2 2 3 3 2" xfId="14246" xr:uid="{94D26E0D-D40B-4C9B-A72B-EE91A2B7A99B}"/>
    <cellStyle name="20% - Accent1 2 2 3 4" xfId="9325" xr:uid="{DE19910B-698B-4F31-B25F-3533B35DDA95}"/>
    <cellStyle name="20% - Accent1 2 2 3 4 2" xfId="18640" xr:uid="{22242133-8840-4067-BB05-47AA7D06E845}"/>
    <cellStyle name="20% - Accent1 2 2 3 5" xfId="10029" xr:uid="{E4789124-A047-45BB-902F-9891B85A6DDE}"/>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E85E489A-103D-46C5-AD6C-C6DC68CF81A7}"/>
    <cellStyle name="20% - Accent1 2 2 4 2 3" xfId="12587" xr:uid="{8652CFA7-137C-4E5C-BFC1-CB1C222F8F4C}"/>
    <cellStyle name="20% - Accent1 2 2 4 3" xfId="5333" xr:uid="{00000000-0005-0000-0000-00001F000000}"/>
    <cellStyle name="20% - Accent1 2 2 4 3 2" xfId="14659" xr:uid="{185F91A4-0ABF-4881-A96E-6DFB36E44CCB}"/>
    <cellStyle name="20% - Accent1 2 2 4 4" xfId="10442" xr:uid="{21677461-777D-41AA-A055-6B004DA0FF33}"/>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14166B3C-5DC2-4BA1-ABF1-00FFF92952EB}"/>
    <cellStyle name="20% - Accent1 2 2 5 2 3" xfId="13000" xr:uid="{6492D3D1-7CE2-4C50-A9CD-A7EBF1FC7CA5}"/>
    <cellStyle name="20% - Accent1 2 2 5 3" xfId="5746" xr:uid="{00000000-0005-0000-0000-000023000000}"/>
    <cellStyle name="20% - Accent1 2 2 5 3 2" xfId="15072" xr:uid="{B5CD8A5E-8F78-4D86-B0F4-270B3D583991}"/>
    <cellStyle name="20% - Accent1 2 2 5 4" xfId="10855" xr:uid="{54563D97-2952-4B9F-A6B8-C8CCDA06A640}"/>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766C6099-7E39-49CE-95D6-D4D40BE32FF1}"/>
    <cellStyle name="20% - Accent1 2 2 6 2 3" xfId="13413" xr:uid="{FCA423E3-B66B-4BEA-A605-83FEC6FEBF31}"/>
    <cellStyle name="20% - Accent1 2 2 6 3" xfId="6159" xr:uid="{00000000-0005-0000-0000-000027000000}"/>
    <cellStyle name="20% - Accent1 2 2 6 3 2" xfId="15485" xr:uid="{F57528D5-DC49-4A62-BC59-3900FB3D0DFA}"/>
    <cellStyle name="20% - Accent1 2 2 6 4" xfId="11268" xr:uid="{066300B1-D7D4-4768-AF16-09F12EABC4D4}"/>
    <cellStyle name="20% - Accent1 2 2 7" xfId="2266" xr:uid="{00000000-0005-0000-0000-000028000000}"/>
    <cellStyle name="20% - Accent1 2 2 7 2" xfId="6572" xr:uid="{00000000-0005-0000-0000-000029000000}"/>
    <cellStyle name="20% - Accent1 2 2 7 2 2" xfId="15898" xr:uid="{86ED8191-86AD-4721-A888-77E60DCF2DB1}"/>
    <cellStyle name="20% - Accent1 2 2 7 3" xfId="11681" xr:uid="{730856B9-8195-457D-B5C8-246F70E0C21F}"/>
    <cellStyle name="20% - Accent1 2 2 8" xfId="4506" xr:uid="{00000000-0005-0000-0000-00002A000000}"/>
    <cellStyle name="20% - Accent1 2 2 8 2" xfId="13832" xr:uid="{15A78F7E-59EA-47AC-BDE8-415D746801A7}"/>
    <cellStyle name="20% - Accent1 2 2 9" xfId="8900" xr:uid="{7D7E3EAF-DF6A-403F-8C20-66BB9757790F}"/>
    <cellStyle name="20% - Accent1 2 2 9 2" xfId="18224" xr:uid="{AC3F33CA-A716-4132-A80D-BC716CA1FEBD}"/>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23B4AA80-616F-4213-8A3C-6625C07F30A8}"/>
    <cellStyle name="20% - Accent1 2 3 2 2 3" xfId="12176" xr:uid="{D0162E3B-3E8B-472B-A465-E4C8D567636A}"/>
    <cellStyle name="20% - Accent1 2 3 2 3" xfId="4922" xr:uid="{00000000-0005-0000-0000-00002F000000}"/>
    <cellStyle name="20% - Accent1 2 3 2 3 2" xfId="14248" xr:uid="{ED0D5227-0B21-4215-B280-FBD95C06DEBB}"/>
    <cellStyle name="20% - Accent1 2 3 2 4" xfId="9429" xr:uid="{CCD4BD61-3143-497B-A316-8024A8762A6C}"/>
    <cellStyle name="20% - Accent1 2 3 2 4 2" xfId="18744" xr:uid="{A79D161B-94C0-467B-8504-C1AC8DF0FCAE}"/>
    <cellStyle name="20% - Accent1 2 3 2 5" xfId="10031" xr:uid="{DF73415E-0D64-400D-8FD8-CAF84E4D7F36}"/>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9DD52223-3A41-47ED-A663-C7F897CB5F62}"/>
    <cellStyle name="20% - Accent1 2 3 3 2 3" xfId="12589" xr:uid="{8F637DD2-5337-46B7-BE21-A0C5EBA256FC}"/>
    <cellStyle name="20% - Accent1 2 3 3 3" xfId="5335" xr:uid="{00000000-0005-0000-0000-000033000000}"/>
    <cellStyle name="20% - Accent1 2 3 3 3 2" xfId="14661" xr:uid="{16957DA0-4C69-43E2-9279-179F73824CA8}"/>
    <cellStyle name="20% - Accent1 2 3 3 4" xfId="10444" xr:uid="{3EDE7430-3CE6-486A-86C8-8953EA2F1C5D}"/>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E21A2AA0-41D9-459A-9D64-DAFA2BCAE143}"/>
    <cellStyle name="20% - Accent1 2 3 4 2 3" xfId="13002" xr:uid="{96FD5DB9-4065-4E9B-9B03-C10023E45AA0}"/>
    <cellStyle name="20% - Accent1 2 3 4 3" xfId="5748" xr:uid="{00000000-0005-0000-0000-000037000000}"/>
    <cellStyle name="20% - Accent1 2 3 4 3 2" xfId="15074" xr:uid="{09FDE669-6B76-4686-81D2-AFF8AF3DBF62}"/>
    <cellStyle name="20% - Accent1 2 3 4 4" xfId="10857" xr:uid="{41E89D17-8E6B-45EA-B4A0-326CC7D59D1D}"/>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CC2814ED-A089-4587-AEB4-29EE697C7039}"/>
    <cellStyle name="20% - Accent1 2 3 5 2 3" xfId="13415" xr:uid="{7C70A3D8-BB61-4151-B67D-5DDA5669E414}"/>
    <cellStyle name="20% - Accent1 2 3 5 3" xfId="6161" xr:uid="{00000000-0005-0000-0000-00003B000000}"/>
    <cellStyle name="20% - Accent1 2 3 5 3 2" xfId="15487" xr:uid="{0D445601-C805-4EB1-83BB-1D5D972B9719}"/>
    <cellStyle name="20% - Accent1 2 3 5 4" xfId="11270" xr:uid="{7CDD32F9-BFAE-487D-A2B4-C321B42E6D7A}"/>
    <cellStyle name="20% - Accent1 2 3 6" xfId="2268" xr:uid="{00000000-0005-0000-0000-00003C000000}"/>
    <cellStyle name="20% - Accent1 2 3 6 2" xfId="6574" xr:uid="{00000000-0005-0000-0000-00003D000000}"/>
    <cellStyle name="20% - Accent1 2 3 6 2 2" xfId="15900" xr:uid="{4B681EB5-12F8-4244-8FD5-2FDA5020EE76}"/>
    <cellStyle name="20% - Accent1 2 3 6 3" xfId="11683" xr:uid="{45CEE906-72BE-4372-B517-578CFC7C9C90}"/>
    <cellStyle name="20% - Accent1 2 3 7" xfId="4508" xr:uid="{00000000-0005-0000-0000-00003E000000}"/>
    <cellStyle name="20% - Accent1 2 3 7 2" xfId="13834" xr:uid="{64626F2E-6B49-40B0-9643-1A1341977E5B}"/>
    <cellStyle name="20% - Accent1 2 3 8" xfId="9004" xr:uid="{14A9C135-BB7B-44DD-97E1-B6B10773DEE2}"/>
    <cellStyle name="20% - Accent1 2 3 8 2" xfId="18328" xr:uid="{D596A7D2-034D-4632-A863-79222D852FB3}"/>
    <cellStyle name="20% - Accent1 2 3 9" xfId="9617" xr:uid="{1F032179-1897-48BA-9BD4-EC0B60D5F73E}"/>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41E72556-D5E4-415C-9348-EBD1795D3108}"/>
    <cellStyle name="20% - Accent1 2 4 2 3" xfId="12173" xr:uid="{EA8CD399-08A9-4433-908B-3C605F33D8F3}"/>
    <cellStyle name="20% - Accent1 2 4 3" xfId="4919" xr:uid="{00000000-0005-0000-0000-000042000000}"/>
    <cellStyle name="20% - Accent1 2 4 3 2" xfId="14245" xr:uid="{6CC6FDC9-9954-40AF-B175-0FADDAAA44A2}"/>
    <cellStyle name="20% - Accent1 2 4 4" xfId="9221" xr:uid="{11532E3F-E59C-4FF7-9F45-291A17A69435}"/>
    <cellStyle name="20% - Accent1 2 4 4 2" xfId="18537" xr:uid="{384B396A-A256-4745-BA85-09A482AE4B88}"/>
    <cellStyle name="20% - Accent1 2 4 5" xfId="10028" xr:uid="{754376D4-10A2-4D14-B8A8-31C0C5053221}"/>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0515B3A8-2C72-4A44-B644-FA4D00D6C7FD}"/>
    <cellStyle name="20% - Accent1 2 5 2 3" xfId="12586" xr:uid="{AEAA95F8-1325-4B64-9A7A-976F8FD84800}"/>
    <cellStyle name="20% - Accent1 2 5 3" xfId="5332" xr:uid="{00000000-0005-0000-0000-000046000000}"/>
    <cellStyle name="20% - Accent1 2 5 3 2" xfId="14658" xr:uid="{8854199D-D077-4233-A5D9-82346730FB99}"/>
    <cellStyle name="20% - Accent1 2 5 4" xfId="10441" xr:uid="{68C5AF5A-DE22-44FD-AA95-4656D41AFF28}"/>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DCDD6CF6-23D0-48B1-9E3F-7AD26FAB63C3}"/>
    <cellStyle name="20% - Accent1 2 6 2 3" xfId="12999" xr:uid="{B3FF64C2-29BE-4967-89E6-A062D581F362}"/>
    <cellStyle name="20% - Accent1 2 6 3" xfId="5745" xr:uid="{00000000-0005-0000-0000-00004A000000}"/>
    <cellStyle name="20% - Accent1 2 6 3 2" xfId="15071" xr:uid="{79A92F3F-209B-458D-BC84-CBF729A3223D}"/>
    <cellStyle name="20% - Accent1 2 6 4" xfId="10854" xr:uid="{054BD7C3-BF32-476E-9DE3-0C27C2736034}"/>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27DA98E7-EF23-4B84-BB5B-391033DBB266}"/>
    <cellStyle name="20% - Accent1 2 7 2 3" xfId="13412" xr:uid="{E8FA95F2-A44D-4DEE-96C8-6AA603958E82}"/>
    <cellStyle name="20% - Accent1 2 7 3" xfId="6158" xr:uid="{00000000-0005-0000-0000-00004E000000}"/>
    <cellStyle name="20% - Accent1 2 7 3 2" xfId="15484" xr:uid="{12F73550-3951-41FA-A800-BF4E6EE0F5A1}"/>
    <cellStyle name="20% - Accent1 2 7 4" xfId="11267" xr:uid="{59FBC5BB-13D5-4CFA-8006-A03E4FFDBD27}"/>
    <cellStyle name="20% - Accent1 2 8" xfId="2265" xr:uid="{00000000-0005-0000-0000-00004F000000}"/>
    <cellStyle name="20% - Accent1 2 8 2" xfId="6571" xr:uid="{00000000-0005-0000-0000-000050000000}"/>
    <cellStyle name="20% - Accent1 2 8 2 2" xfId="15897" xr:uid="{F2BC3E9D-5846-4608-B2F8-DA9423172E93}"/>
    <cellStyle name="20% - Accent1 2 8 3" xfId="11680" xr:uid="{75AA9924-D52E-4CE2-A899-4157B324C4E4}"/>
    <cellStyle name="20% - Accent1 2 9" xfId="4505" xr:uid="{00000000-0005-0000-0000-000051000000}"/>
    <cellStyle name="20% - Accent1 2 9 2" xfId="13831" xr:uid="{1928220A-28D5-461A-9F85-5770AFEDA7E7}"/>
    <cellStyle name="20% - Accent1 3" xfId="6" xr:uid="{00000000-0005-0000-0000-000052000000}"/>
    <cellStyle name="20% - Accent1 3 10" xfId="9618" xr:uid="{B531A8C3-E9F6-469B-904B-21E93D36279E}"/>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3620BF6A-FC56-4326-9CED-39F66A2833C5}"/>
    <cellStyle name="20% - Accent1 3 2 2 2 3" xfId="12178" xr:uid="{39ACE723-96B6-4D6A-AEBD-66B1BD9326BE}"/>
    <cellStyle name="20% - Accent1 3 2 2 3" xfId="4924" xr:uid="{00000000-0005-0000-0000-000057000000}"/>
    <cellStyle name="20% - Accent1 3 2 2 3 2" xfId="14250" xr:uid="{EF14EDB1-B275-41C4-B16A-9F94A40E5A66}"/>
    <cellStyle name="20% - Accent1 3 2 2 4" xfId="9493" xr:uid="{FCEFE71D-2A04-4899-B62A-B225DBF7F0BF}"/>
    <cellStyle name="20% - Accent1 3 2 2 4 2" xfId="18808" xr:uid="{6229D60E-684E-4250-81FD-D23ECE8A528F}"/>
    <cellStyle name="20% - Accent1 3 2 2 5" xfId="10033" xr:uid="{EBDF49D4-8F99-43E2-AE7D-032CDD1E7256}"/>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D3BAF90F-B901-4009-A4E1-65502625E54F}"/>
    <cellStyle name="20% - Accent1 3 2 3 2 3" xfId="12591" xr:uid="{C87BA7CE-3ED6-4731-80B7-74004CC1A9F0}"/>
    <cellStyle name="20% - Accent1 3 2 3 3" xfId="5337" xr:uid="{00000000-0005-0000-0000-00005B000000}"/>
    <cellStyle name="20% - Accent1 3 2 3 3 2" xfId="14663" xr:uid="{DEE8DDDC-B041-429A-8C9E-DE4376548C13}"/>
    <cellStyle name="20% - Accent1 3 2 3 4" xfId="10446" xr:uid="{8EEE2019-BFDE-4343-9A48-0E836194BB93}"/>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25B54557-10A0-41E7-A708-87F0C6642367}"/>
    <cellStyle name="20% - Accent1 3 2 4 2 3" xfId="13004" xr:uid="{F8EE5A74-FE49-4F89-B54D-6510E6C96160}"/>
    <cellStyle name="20% - Accent1 3 2 4 3" xfId="5750" xr:uid="{00000000-0005-0000-0000-00005F000000}"/>
    <cellStyle name="20% - Accent1 3 2 4 3 2" xfId="15076" xr:uid="{CA95A2FA-12BC-4C7D-A380-A8077846F11F}"/>
    <cellStyle name="20% - Accent1 3 2 4 4" xfId="10859" xr:uid="{CCB33C3F-7316-4390-BB1C-9E6BA3E1199C}"/>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5147618F-7616-415B-ADE8-C8E4F6B87BE7}"/>
    <cellStyle name="20% - Accent1 3 2 5 2 3" xfId="13417" xr:uid="{9856BAFB-EAAE-4641-92B6-07207F626818}"/>
    <cellStyle name="20% - Accent1 3 2 5 3" xfId="6163" xr:uid="{00000000-0005-0000-0000-000063000000}"/>
    <cellStyle name="20% - Accent1 3 2 5 3 2" xfId="15489" xr:uid="{477930FB-F392-41E5-AE3F-F86F73482134}"/>
    <cellStyle name="20% - Accent1 3 2 5 4" xfId="11272" xr:uid="{A0A53FD8-27A7-408A-A5C1-11FCDB406E61}"/>
    <cellStyle name="20% - Accent1 3 2 6" xfId="2270" xr:uid="{00000000-0005-0000-0000-000064000000}"/>
    <cellStyle name="20% - Accent1 3 2 6 2" xfId="6576" xr:uid="{00000000-0005-0000-0000-000065000000}"/>
    <cellStyle name="20% - Accent1 3 2 6 2 2" xfId="15902" xr:uid="{7023826A-0143-40F5-80AD-6187669CFEFD}"/>
    <cellStyle name="20% - Accent1 3 2 6 3" xfId="11685" xr:uid="{8C16F445-8820-4BAA-818A-01622635B959}"/>
    <cellStyle name="20% - Accent1 3 2 7" xfId="4510" xr:uid="{00000000-0005-0000-0000-000066000000}"/>
    <cellStyle name="20% - Accent1 3 2 7 2" xfId="13836" xr:uid="{AB2E1DC8-EA90-47D2-9DCA-EBBC516FDADD}"/>
    <cellStyle name="20% - Accent1 3 2 8" xfId="9068" xr:uid="{354460C9-AD38-4FCD-882B-4DFB81DE5890}"/>
    <cellStyle name="20% - Accent1 3 2 8 2" xfId="18392" xr:uid="{BCD29009-15AD-4889-9588-E0D51AFDB295}"/>
    <cellStyle name="20% - Accent1 3 2 9" xfId="9619" xr:uid="{24853645-D53C-4664-BADE-5F0E7B39EEAD}"/>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DFEAD65C-9036-4951-BA21-B99F0F11F020}"/>
    <cellStyle name="20% - Accent1 3 3 2 3" xfId="12177" xr:uid="{E2A8C8A0-D5FB-4AFB-9B7C-FB7AB56A76EA}"/>
    <cellStyle name="20% - Accent1 3 3 3" xfId="4923" xr:uid="{00000000-0005-0000-0000-00006A000000}"/>
    <cellStyle name="20% - Accent1 3 3 3 2" xfId="14249" xr:uid="{0DACCD36-EE71-4EDD-8AD0-AE6DF169CB42}"/>
    <cellStyle name="20% - Accent1 3 3 4" xfId="9286" xr:uid="{B5220C4B-EBE7-4AD0-9A24-7F16FA378184}"/>
    <cellStyle name="20% - Accent1 3 3 4 2" xfId="18601" xr:uid="{552955F6-BBD6-478C-9FFA-569DC44D7459}"/>
    <cellStyle name="20% - Accent1 3 3 5" xfId="10032" xr:uid="{B6F617A3-837C-4DA4-A512-35A954D4F1F4}"/>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FC360640-FC9E-4E50-9203-D8376A60C401}"/>
    <cellStyle name="20% - Accent1 3 4 2 3" xfId="12590" xr:uid="{232B559F-4DCE-411C-830A-1E3BC1E17A91}"/>
    <cellStyle name="20% - Accent1 3 4 3" xfId="5336" xr:uid="{00000000-0005-0000-0000-00006E000000}"/>
    <cellStyle name="20% - Accent1 3 4 3 2" xfId="14662" xr:uid="{17EC79AF-2626-4D69-92C9-0DDECD06E21D}"/>
    <cellStyle name="20% - Accent1 3 4 4" xfId="10445" xr:uid="{0FA6F150-EACC-41B9-817F-7BD1F5C1DA12}"/>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D94F1E5A-4857-4B74-A6D6-AD37C66AD83F}"/>
    <cellStyle name="20% - Accent1 3 5 2 3" xfId="13003" xr:uid="{8BAC7F28-2725-42D9-9C1B-34E27A004537}"/>
    <cellStyle name="20% - Accent1 3 5 3" xfId="5749" xr:uid="{00000000-0005-0000-0000-000072000000}"/>
    <cellStyle name="20% - Accent1 3 5 3 2" xfId="15075" xr:uid="{5241B812-C2E3-41CF-9847-8BB13F99CB01}"/>
    <cellStyle name="20% - Accent1 3 5 4" xfId="10858" xr:uid="{F5C6DB60-2B10-46E0-A6EF-F2A18C7043DE}"/>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A8D3093C-E318-4258-BFFD-108081EA610A}"/>
    <cellStyle name="20% - Accent1 3 6 2 3" xfId="13416" xr:uid="{E9DD07D6-F866-4650-A672-1D449D722C89}"/>
    <cellStyle name="20% - Accent1 3 6 3" xfId="6162" xr:uid="{00000000-0005-0000-0000-000076000000}"/>
    <cellStyle name="20% - Accent1 3 6 3 2" xfId="15488" xr:uid="{3F26D6CF-86D4-44E4-8C65-B4E0B1ECA3D2}"/>
    <cellStyle name="20% - Accent1 3 6 4" xfId="11271" xr:uid="{612BB4FC-A9A1-4808-997A-44D6BAFC0E28}"/>
    <cellStyle name="20% - Accent1 3 7" xfId="2269" xr:uid="{00000000-0005-0000-0000-000077000000}"/>
    <cellStyle name="20% - Accent1 3 7 2" xfId="6575" xr:uid="{00000000-0005-0000-0000-000078000000}"/>
    <cellStyle name="20% - Accent1 3 7 2 2" xfId="15901" xr:uid="{FC2430CF-16BD-429C-8E78-C21C3AD2CC35}"/>
    <cellStyle name="20% - Accent1 3 7 3" xfId="11684" xr:uid="{99A30A8A-9D16-4561-BEC6-43267CE73EDE}"/>
    <cellStyle name="20% - Accent1 3 8" xfId="4509" xr:uid="{00000000-0005-0000-0000-000079000000}"/>
    <cellStyle name="20% - Accent1 3 8 2" xfId="13835" xr:uid="{E62010C5-22A8-4DB2-9A4E-A0CE9D9F07AF}"/>
    <cellStyle name="20% - Accent1 3 9" xfId="8861" xr:uid="{C1B75176-75E3-4E31-86A7-851E7FD67A9E}"/>
    <cellStyle name="20% - Accent1 3 9 2" xfId="18185" xr:uid="{728B91DC-EE82-4BC8-92B3-66382DED91E6}"/>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A884224E-0DD4-4E24-A121-EC9F3421ED7C}"/>
    <cellStyle name="20% - Accent1 4 2 2 3" xfId="12179" xr:uid="{B8B235C5-10CE-4370-A481-7B4152158720}"/>
    <cellStyle name="20% - Accent1 4 2 3" xfId="4925" xr:uid="{00000000-0005-0000-0000-00007E000000}"/>
    <cellStyle name="20% - Accent1 4 2 3 2" xfId="14251" xr:uid="{273BA85E-7520-482B-8314-C2E747F0BDFF}"/>
    <cellStyle name="20% - Accent1 4 2 4" xfId="9372" xr:uid="{E6B08341-6F7D-4580-9BCF-4BFC252FAE31}"/>
    <cellStyle name="20% - Accent1 4 2 4 2" xfId="18687" xr:uid="{36E1F43C-D9D0-456C-89C0-85C3A3B18747}"/>
    <cellStyle name="20% - Accent1 4 2 5" xfId="10034" xr:uid="{541C0D81-5419-46D3-9FE8-4B237C15FA05}"/>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13B4C537-4A84-4FE6-B556-48838F652C87}"/>
    <cellStyle name="20% - Accent1 4 3 2 3" xfId="12592" xr:uid="{32D2E0DB-4DD7-4341-BC62-963320D8A691}"/>
    <cellStyle name="20% - Accent1 4 3 3" xfId="5338" xr:uid="{00000000-0005-0000-0000-000082000000}"/>
    <cellStyle name="20% - Accent1 4 3 3 2" xfId="14664" xr:uid="{F42EFF3C-D15E-4976-ABC4-AF80A46A06B7}"/>
    <cellStyle name="20% - Accent1 4 3 4" xfId="10447" xr:uid="{FE88CD9C-3E8F-4632-A911-3381DE3B46FD}"/>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AFB1DF1F-1E30-4E91-903D-9D703FD7DFC9}"/>
    <cellStyle name="20% - Accent1 4 4 2 3" xfId="13005" xr:uid="{FA907672-3779-441B-902D-51C2289BDC1E}"/>
    <cellStyle name="20% - Accent1 4 4 3" xfId="5751" xr:uid="{00000000-0005-0000-0000-000086000000}"/>
    <cellStyle name="20% - Accent1 4 4 3 2" xfId="15077" xr:uid="{C63CC2B4-0D82-4EF6-9C5F-03CCE833EC45}"/>
    <cellStyle name="20% - Accent1 4 4 4" xfId="10860" xr:uid="{9E205F1D-7D93-4272-B48D-FCCA7F9936B3}"/>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0EBE5F90-A41F-4FB3-B436-98325C9BA880}"/>
    <cellStyle name="20% - Accent1 4 5 2 3" xfId="13418" xr:uid="{CEFB3746-7CA9-4862-B6AE-83806087B4BB}"/>
    <cellStyle name="20% - Accent1 4 5 3" xfId="6164" xr:uid="{00000000-0005-0000-0000-00008A000000}"/>
    <cellStyle name="20% - Accent1 4 5 3 2" xfId="15490" xr:uid="{5FD0AFCD-4667-4224-B58F-440ABBB8F348}"/>
    <cellStyle name="20% - Accent1 4 5 4" xfId="11273" xr:uid="{929FF974-A71A-4B0C-8D13-6EBF56B44030}"/>
    <cellStyle name="20% - Accent1 4 6" xfId="2271" xr:uid="{00000000-0005-0000-0000-00008B000000}"/>
    <cellStyle name="20% - Accent1 4 6 2" xfId="6577" xr:uid="{00000000-0005-0000-0000-00008C000000}"/>
    <cellStyle name="20% - Accent1 4 6 2 2" xfId="15903" xr:uid="{67175426-4F37-44E2-92E6-B5DD9536EF5D}"/>
    <cellStyle name="20% - Accent1 4 6 3" xfId="11686" xr:uid="{8BEF4D12-9205-40D1-8450-8E80B546D9C8}"/>
    <cellStyle name="20% - Accent1 4 7" xfId="4511" xr:uid="{00000000-0005-0000-0000-00008D000000}"/>
    <cellStyle name="20% - Accent1 4 7 2" xfId="13837" xr:uid="{D9854E40-E31B-4845-A761-EECDF600D5C0}"/>
    <cellStyle name="20% - Accent1 4 8" xfId="8947" xr:uid="{1FCDBFE2-CC86-42DD-AD9B-D3EAF476002E}"/>
    <cellStyle name="20% - Accent1 4 8 2" xfId="18271" xr:uid="{845C73A8-22FF-46DE-A212-F265AF3AF6E4}"/>
    <cellStyle name="20% - Accent1 4 9" xfId="9620" xr:uid="{8DDB2A34-2EA6-4914-B3D9-78D7923971EA}"/>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EC8DE7AF-F991-44B1-BDB9-32D0933C02C0}"/>
    <cellStyle name="20% - Accent1 5 2 3" xfId="12172" xr:uid="{CD16E0A5-C42C-42E7-970E-E1768CE50D0A}"/>
    <cellStyle name="20% - Accent1 5 3" xfId="4918" xr:uid="{00000000-0005-0000-0000-000091000000}"/>
    <cellStyle name="20% - Accent1 5 3 2" xfId="14244" xr:uid="{2082BCD5-E20D-4A1D-B464-510784C233C5}"/>
    <cellStyle name="20% - Accent1 5 4" xfId="9180" xr:uid="{D0AEF57E-25E3-47C5-B910-DC1A0019F498}"/>
    <cellStyle name="20% - Accent1 5 4 2" xfId="18498" xr:uid="{189CD867-C34F-458E-BA90-4911AFD2104A}"/>
    <cellStyle name="20% - Accent1 5 5" xfId="10027" xr:uid="{68B84308-716C-4BFC-9B47-702D3B9D062A}"/>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CDBB5E19-3BCA-4A4E-84CA-905C3B9586E0}"/>
    <cellStyle name="20% - Accent1 6 2 3" xfId="12585" xr:uid="{EE16CA7C-9777-4BDD-96A7-54CED941EFD7}"/>
    <cellStyle name="20% - Accent1 6 3" xfId="5331" xr:uid="{00000000-0005-0000-0000-000095000000}"/>
    <cellStyle name="20% - Accent1 6 3 2" xfId="14657" xr:uid="{77AEA5B3-A428-40E5-90AD-5A73CB92A84B}"/>
    <cellStyle name="20% - Accent1 6 4" xfId="10440" xr:uid="{5838EE07-1F74-483F-8E6A-E3C5AC0BA9BA}"/>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E887471D-F6CA-4277-A2F8-348B4F3645E2}"/>
    <cellStyle name="20% - Accent1 7 2 3" xfId="12998" xr:uid="{787FD726-EDF3-4232-9CC6-79C824971340}"/>
    <cellStyle name="20% - Accent1 7 3" xfId="5744" xr:uid="{00000000-0005-0000-0000-000099000000}"/>
    <cellStyle name="20% - Accent1 7 3 2" xfId="15070" xr:uid="{3C971665-D0C7-4F68-90BD-F1F4834C5CEA}"/>
    <cellStyle name="20% - Accent1 7 4" xfId="10853" xr:uid="{D0500A38-FA00-430F-88F8-330E8F84FCDD}"/>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585F5960-9FA8-47B9-BD56-7FED0A311443}"/>
    <cellStyle name="20% - Accent1 8 2 3" xfId="13411" xr:uid="{D8A7F586-40E9-43D0-B263-AC189AA26FFA}"/>
    <cellStyle name="20% - Accent1 8 3" xfId="6157" xr:uid="{00000000-0005-0000-0000-00009D000000}"/>
    <cellStyle name="20% - Accent1 8 3 2" xfId="15483" xr:uid="{04BD4B33-1596-4A8B-A79A-2B5CD8224050}"/>
    <cellStyle name="20% - Accent1 8 4" xfId="11266" xr:uid="{CF906D70-C0AE-4AB3-AAEA-4B2990C4EAB7}"/>
    <cellStyle name="20% - Accent1 9" xfId="2264" xr:uid="{00000000-0005-0000-0000-00009E000000}"/>
    <cellStyle name="20% - Accent1 9 2" xfId="6570" xr:uid="{00000000-0005-0000-0000-00009F000000}"/>
    <cellStyle name="20% - Accent1 9 2 2" xfId="15896" xr:uid="{439FBCCF-8415-4A1F-A1EF-F3F55041530D}"/>
    <cellStyle name="20% - Accent1 9 3" xfId="11679" xr:uid="{9221CCF1-4476-4828-9C99-0DF5CA412562}"/>
    <cellStyle name="20% - Accent2" xfId="9" builtinId="34" customBuiltin="1"/>
    <cellStyle name="20% - Accent2 10" xfId="4512" xr:uid="{00000000-0005-0000-0000-0000A1000000}"/>
    <cellStyle name="20% - Accent2 10 2" xfId="13838" xr:uid="{79747602-AA9C-4CAE-8A09-6C79F12258E1}"/>
    <cellStyle name="20% - Accent2 11" xfId="8760" xr:uid="{2F9D8AF1-C115-467C-ADFB-3BF13039D076}"/>
    <cellStyle name="20% - Accent2 11 2" xfId="18084" xr:uid="{75C4FB57-1827-42BD-B12F-87043ECEAA11}"/>
    <cellStyle name="20% - Accent2 12" xfId="9621" xr:uid="{7EA721DB-ABB8-4A77-BE7D-76610AB503EC}"/>
    <cellStyle name="20% - Accent2 2" xfId="10" xr:uid="{00000000-0005-0000-0000-0000A2000000}"/>
    <cellStyle name="20% - Accent2 2 10" xfId="8793" xr:uid="{AA7C3473-3A75-4F75-9E25-D7658C57F3A0}"/>
    <cellStyle name="20% - Accent2 2 10 2" xfId="18117" xr:uid="{D27A7F6F-70DB-4F5A-8E8B-DE7A49ABCF97}"/>
    <cellStyle name="20% - Accent2 2 11" xfId="9622" xr:uid="{B47892D6-321A-4BE9-9469-7DC43DDC48B8}"/>
    <cellStyle name="20% - Accent2 2 2" xfId="11" xr:uid="{00000000-0005-0000-0000-0000A3000000}"/>
    <cellStyle name="20% - Accent2 2 2 10" xfId="9623" xr:uid="{3875CDAA-279D-4CCF-B6E6-DEFB5D03DF43}"/>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2C93498B-3DA1-417B-A618-5132E52602FD}"/>
    <cellStyle name="20% - Accent2 2 2 2 2 2 3" xfId="12183" xr:uid="{0AFDE301-6738-43CC-B671-0E993887E0A5}"/>
    <cellStyle name="20% - Accent2 2 2 2 2 3" xfId="4929" xr:uid="{00000000-0005-0000-0000-0000A8000000}"/>
    <cellStyle name="20% - Accent2 2 2 2 2 3 2" xfId="14255" xr:uid="{8318153D-D342-4998-BEA6-7E0359695B0F}"/>
    <cellStyle name="20% - Accent2 2 2 2 2 4" xfId="9528" xr:uid="{C8BEA541-FD8B-4449-95AA-43E1904F35BB}"/>
    <cellStyle name="20% - Accent2 2 2 2 2 4 2" xfId="18843" xr:uid="{37D42375-768B-4FBF-A0E6-5E22E9104092}"/>
    <cellStyle name="20% - Accent2 2 2 2 2 5" xfId="10038" xr:uid="{F4C5BA85-590D-4D4E-B861-26C35FE19D8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B7F13859-4B74-4B78-85A4-04C03F2FF1D2}"/>
    <cellStyle name="20% - Accent2 2 2 2 3 2 3" xfId="12596" xr:uid="{325860FC-A7BC-4076-A300-C017298B5503}"/>
    <cellStyle name="20% - Accent2 2 2 2 3 3" xfId="5342" xr:uid="{00000000-0005-0000-0000-0000AC000000}"/>
    <cellStyle name="20% - Accent2 2 2 2 3 3 2" xfId="14668" xr:uid="{40464E17-8F44-4A35-A39E-F3C8178ECD86}"/>
    <cellStyle name="20% - Accent2 2 2 2 3 4" xfId="10451" xr:uid="{31F9C1D8-3A71-43F1-AEB5-BF1BB3ED58FB}"/>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5FE0A8F1-5D88-46D1-9DA4-AF5ADCE81C23}"/>
    <cellStyle name="20% - Accent2 2 2 2 4 2 3" xfId="13009" xr:uid="{0C476F5D-3CB4-4E27-8389-FFFD9F6F26C9}"/>
    <cellStyle name="20% - Accent2 2 2 2 4 3" xfId="5755" xr:uid="{00000000-0005-0000-0000-0000B0000000}"/>
    <cellStyle name="20% - Accent2 2 2 2 4 3 2" xfId="15081" xr:uid="{CD18B18E-A482-4C6F-A999-530B8B303225}"/>
    <cellStyle name="20% - Accent2 2 2 2 4 4" xfId="10864" xr:uid="{3CE93FF2-E0A8-4581-9E12-6AD0E3F3CEF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85CF060D-A9A3-4E05-9098-EAB96BF19879}"/>
    <cellStyle name="20% - Accent2 2 2 2 5 2 3" xfId="13422" xr:uid="{66A1485A-1457-4713-88C9-0DFD5A9C7BDA}"/>
    <cellStyle name="20% - Accent2 2 2 2 5 3" xfId="6168" xr:uid="{00000000-0005-0000-0000-0000B4000000}"/>
    <cellStyle name="20% - Accent2 2 2 2 5 3 2" xfId="15494" xr:uid="{3D6C5054-B211-483A-AB7F-8306953E6DAC}"/>
    <cellStyle name="20% - Accent2 2 2 2 5 4" xfId="11277" xr:uid="{7F68587A-37D7-48BC-BB77-20120986223D}"/>
    <cellStyle name="20% - Accent2 2 2 2 6" xfId="2275" xr:uid="{00000000-0005-0000-0000-0000B5000000}"/>
    <cellStyle name="20% - Accent2 2 2 2 6 2" xfId="6581" xr:uid="{00000000-0005-0000-0000-0000B6000000}"/>
    <cellStyle name="20% - Accent2 2 2 2 6 2 2" xfId="15907" xr:uid="{C985E4B3-6C2F-4B2C-BFF5-189B2B7D627F}"/>
    <cellStyle name="20% - Accent2 2 2 2 6 3" xfId="11690" xr:uid="{506D414A-F6BD-41E7-905E-6BD5FB9914F8}"/>
    <cellStyle name="20% - Accent2 2 2 2 7" xfId="4515" xr:uid="{00000000-0005-0000-0000-0000B7000000}"/>
    <cellStyle name="20% - Accent2 2 2 2 7 2" xfId="13841" xr:uid="{460C20EC-81E9-4EF2-8639-6864BBAD93F9}"/>
    <cellStyle name="20% - Accent2 2 2 2 8" xfId="9103" xr:uid="{91DB80A1-3464-4086-B948-71B6A26537C4}"/>
    <cellStyle name="20% - Accent2 2 2 2 8 2" xfId="18427" xr:uid="{A74CABC0-EE1A-4BE5-B7B5-D4FF2A592573}"/>
    <cellStyle name="20% - Accent2 2 2 2 9" xfId="9624" xr:uid="{8DC26F67-C665-48B8-8518-AEB8AA223196}"/>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26BE8EE6-EBFD-4062-A9E2-90D9CA097DCC}"/>
    <cellStyle name="20% - Accent2 2 2 3 2 3" xfId="12182" xr:uid="{0ABD9684-3B37-4878-A7A0-90B2DFD5A2EB}"/>
    <cellStyle name="20% - Accent2 2 2 3 3" xfId="4928" xr:uid="{00000000-0005-0000-0000-0000BB000000}"/>
    <cellStyle name="20% - Accent2 2 2 3 3 2" xfId="14254" xr:uid="{869EDDD4-593F-41E3-87A9-E10E18C70913}"/>
    <cellStyle name="20% - Accent2 2 2 3 4" xfId="9321" xr:uid="{32B21C3A-E360-4F19-B469-1116F045A0F3}"/>
    <cellStyle name="20% - Accent2 2 2 3 4 2" xfId="18636" xr:uid="{309F68E9-B2A3-4306-B631-C09FF72427E7}"/>
    <cellStyle name="20% - Accent2 2 2 3 5" xfId="10037" xr:uid="{701A30E3-5818-4F64-8781-F26CD2EBEBC2}"/>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20DEF87C-ADD0-4EB6-ACC0-F66EB8ADFB8F}"/>
    <cellStyle name="20% - Accent2 2 2 4 2 3" xfId="12595" xr:uid="{CC8E215B-EEC6-49A6-92CE-50C0EDABE017}"/>
    <cellStyle name="20% - Accent2 2 2 4 3" xfId="5341" xr:uid="{00000000-0005-0000-0000-0000BF000000}"/>
    <cellStyle name="20% - Accent2 2 2 4 3 2" xfId="14667" xr:uid="{598BE07C-B686-425F-92BD-0671A17498C3}"/>
    <cellStyle name="20% - Accent2 2 2 4 4" xfId="10450" xr:uid="{F15251EA-CD7D-445E-84F8-B5910A14EB02}"/>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C5B157AB-B7DE-4145-A739-DE85E0C1CA54}"/>
    <cellStyle name="20% - Accent2 2 2 5 2 3" xfId="13008" xr:uid="{DD4C4DFE-0B36-4224-B0CB-06639174F780}"/>
    <cellStyle name="20% - Accent2 2 2 5 3" xfId="5754" xr:uid="{00000000-0005-0000-0000-0000C3000000}"/>
    <cellStyle name="20% - Accent2 2 2 5 3 2" xfId="15080" xr:uid="{920C5AF7-B44A-4387-828B-27F085E4B5DD}"/>
    <cellStyle name="20% - Accent2 2 2 5 4" xfId="10863" xr:uid="{6E8A25C1-E3D1-49BB-94C6-CC15082D4316}"/>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581B67DA-E722-451D-BFB5-46191C0E2F59}"/>
    <cellStyle name="20% - Accent2 2 2 6 2 3" xfId="13421" xr:uid="{06971339-45C4-4E1F-BA0F-4C3E90C706D7}"/>
    <cellStyle name="20% - Accent2 2 2 6 3" xfId="6167" xr:uid="{00000000-0005-0000-0000-0000C7000000}"/>
    <cellStyle name="20% - Accent2 2 2 6 3 2" xfId="15493" xr:uid="{3D32D269-4352-482B-B377-C4C04360BF71}"/>
    <cellStyle name="20% - Accent2 2 2 6 4" xfId="11276" xr:uid="{C83332F0-DA86-4728-A62F-399740303FD8}"/>
    <cellStyle name="20% - Accent2 2 2 7" xfId="2274" xr:uid="{00000000-0005-0000-0000-0000C8000000}"/>
    <cellStyle name="20% - Accent2 2 2 7 2" xfId="6580" xr:uid="{00000000-0005-0000-0000-0000C9000000}"/>
    <cellStyle name="20% - Accent2 2 2 7 2 2" xfId="15906" xr:uid="{571DA164-3BBF-4B45-A321-2ED61E17DAD0}"/>
    <cellStyle name="20% - Accent2 2 2 7 3" xfId="11689" xr:uid="{E06C04E5-C3CE-4AE4-A216-00FEF5ED669A}"/>
    <cellStyle name="20% - Accent2 2 2 8" xfId="4514" xr:uid="{00000000-0005-0000-0000-0000CA000000}"/>
    <cellStyle name="20% - Accent2 2 2 8 2" xfId="13840" xr:uid="{50B48FBB-AA28-41C4-B0F4-5D5F49E5EDFD}"/>
    <cellStyle name="20% - Accent2 2 2 9" xfId="8896" xr:uid="{7CDAA0F1-5BE6-4749-AD4D-5424E0EA26D8}"/>
    <cellStyle name="20% - Accent2 2 2 9 2" xfId="18220" xr:uid="{253C0970-7350-4D81-8573-A2DC88C949CA}"/>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95689A10-219E-4558-A9BC-C6EE858FD34B}"/>
    <cellStyle name="20% - Accent2 2 3 2 2 3" xfId="12184" xr:uid="{9FE63E20-0686-4BC9-B8B5-673236A67977}"/>
    <cellStyle name="20% - Accent2 2 3 2 3" xfId="4930" xr:uid="{00000000-0005-0000-0000-0000CF000000}"/>
    <cellStyle name="20% - Accent2 2 3 2 3 2" xfId="14256" xr:uid="{B18477E1-4AF1-4F01-B328-EEC69D6B6C45}"/>
    <cellStyle name="20% - Accent2 2 3 2 4" xfId="9425" xr:uid="{35BECFF4-0F5A-4F6E-AE6E-354891135B4F}"/>
    <cellStyle name="20% - Accent2 2 3 2 4 2" xfId="18740" xr:uid="{BD92948D-DFE7-4271-82B8-7037ED584EC7}"/>
    <cellStyle name="20% - Accent2 2 3 2 5" xfId="10039" xr:uid="{210ACE84-64C1-4808-A232-671257B70023}"/>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38B4DA32-95AC-4221-8A2D-684804BE015E}"/>
    <cellStyle name="20% - Accent2 2 3 3 2 3" xfId="12597" xr:uid="{2007BC7A-0512-4A7A-9086-645B22C4DDE3}"/>
    <cellStyle name="20% - Accent2 2 3 3 3" xfId="5343" xr:uid="{00000000-0005-0000-0000-0000D3000000}"/>
    <cellStyle name="20% - Accent2 2 3 3 3 2" xfId="14669" xr:uid="{0E39ACE7-8C13-45B4-B53C-F6F06CC1531B}"/>
    <cellStyle name="20% - Accent2 2 3 3 4" xfId="10452" xr:uid="{3AFA75F8-D84E-483C-81F4-CD0EE67DE901}"/>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0635A5BE-EE3C-44D5-8276-3AB19BB0CDA1}"/>
    <cellStyle name="20% - Accent2 2 3 4 2 3" xfId="13010" xr:uid="{AF3F6555-ECEE-4835-8CF5-EA19AA4079B2}"/>
    <cellStyle name="20% - Accent2 2 3 4 3" xfId="5756" xr:uid="{00000000-0005-0000-0000-0000D7000000}"/>
    <cellStyle name="20% - Accent2 2 3 4 3 2" xfId="15082" xr:uid="{DD43F5BD-1A22-4456-895D-2835716487E8}"/>
    <cellStyle name="20% - Accent2 2 3 4 4" xfId="10865" xr:uid="{62B08A20-0DE4-4306-9109-E2073D1749DA}"/>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20872E0F-E76D-4DB4-9950-3170E42D033D}"/>
    <cellStyle name="20% - Accent2 2 3 5 2 3" xfId="13423" xr:uid="{827CDA10-52DD-4466-A5E0-6976264A7522}"/>
    <cellStyle name="20% - Accent2 2 3 5 3" xfId="6169" xr:uid="{00000000-0005-0000-0000-0000DB000000}"/>
    <cellStyle name="20% - Accent2 2 3 5 3 2" xfId="15495" xr:uid="{C8CCDF95-0737-4A4B-B8E5-798CA1B53138}"/>
    <cellStyle name="20% - Accent2 2 3 5 4" xfId="11278" xr:uid="{0B2255C0-D9FD-4789-86CE-D40EE839F64C}"/>
    <cellStyle name="20% - Accent2 2 3 6" xfId="2276" xr:uid="{00000000-0005-0000-0000-0000DC000000}"/>
    <cellStyle name="20% - Accent2 2 3 6 2" xfId="6582" xr:uid="{00000000-0005-0000-0000-0000DD000000}"/>
    <cellStyle name="20% - Accent2 2 3 6 2 2" xfId="15908" xr:uid="{7324283B-3094-47C1-8721-A094B7929108}"/>
    <cellStyle name="20% - Accent2 2 3 6 3" xfId="11691" xr:uid="{DB254CF4-C6C2-41F3-9D3E-2584222CE055}"/>
    <cellStyle name="20% - Accent2 2 3 7" xfId="4516" xr:uid="{00000000-0005-0000-0000-0000DE000000}"/>
    <cellStyle name="20% - Accent2 2 3 7 2" xfId="13842" xr:uid="{EABC81D5-AF54-4744-8FBA-842CFD05972B}"/>
    <cellStyle name="20% - Accent2 2 3 8" xfId="9000" xr:uid="{133DFC5C-F2FF-49E9-82EE-ABAA9C815393}"/>
    <cellStyle name="20% - Accent2 2 3 8 2" xfId="18324" xr:uid="{4B5743A3-0354-4343-ACA3-E4AA5C7CB0B5}"/>
    <cellStyle name="20% - Accent2 2 3 9" xfId="9625" xr:uid="{E54CB99C-C547-4076-817A-CB84F9BA278D}"/>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556EE97F-88FC-4BBD-B2C2-7FB3B711EBA6}"/>
    <cellStyle name="20% - Accent2 2 4 2 3" xfId="12181" xr:uid="{5CB05459-6396-413B-9EAC-C258FF1B2880}"/>
    <cellStyle name="20% - Accent2 2 4 3" xfId="4927" xr:uid="{00000000-0005-0000-0000-0000E2000000}"/>
    <cellStyle name="20% - Accent2 2 4 3 2" xfId="14253" xr:uid="{041E1208-BC86-4E1F-B51B-9CFE7162FEA1}"/>
    <cellStyle name="20% - Accent2 2 4 4" xfId="9217" xr:uid="{28DDC3F5-BA57-40F8-8D06-6CFF141CF9A1}"/>
    <cellStyle name="20% - Accent2 2 4 4 2" xfId="18533" xr:uid="{133750B2-72E5-4577-9625-B238417CD378}"/>
    <cellStyle name="20% - Accent2 2 4 5" xfId="10036" xr:uid="{010408CC-6CAF-4EAB-A20C-F9878BDB50C4}"/>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E7B0BB3E-A365-4486-8E60-AE604FEE8748}"/>
    <cellStyle name="20% - Accent2 2 5 2 3" xfId="12594" xr:uid="{FB6DA776-61A9-4D6F-AECC-A893F0E75EE3}"/>
    <cellStyle name="20% - Accent2 2 5 3" xfId="5340" xr:uid="{00000000-0005-0000-0000-0000E6000000}"/>
    <cellStyle name="20% - Accent2 2 5 3 2" xfId="14666" xr:uid="{0E5580D5-97B9-4351-9AB5-AE4C61F54902}"/>
    <cellStyle name="20% - Accent2 2 5 4" xfId="10449" xr:uid="{F94DD90F-5B7A-4C3D-91C9-CEED4C40E9E4}"/>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C0CC6CA0-91EE-4FC2-AED8-CB4A39E4EE59}"/>
    <cellStyle name="20% - Accent2 2 6 2 3" xfId="13007" xr:uid="{1C9A5A11-0512-4204-BC99-4686582D92A9}"/>
    <cellStyle name="20% - Accent2 2 6 3" xfId="5753" xr:uid="{00000000-0005-0000-0000-0000EA000000}"/>
    <cellStyle name="20% - Accent2 2 6 3 2" xfId="15079" xr:uid="{1127FD82-D1A3-46F6-8D67-12DF05159D0E}"/>
    <cellStyle name="20% - Accent2 2 6 4" xfId="10862" xr:uid="{97624BCC-76C7-44AB-A280-67E632CA932D}"/>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FC2B8DD9-B872-4049-AC92-B0EB9547A973}"/>
    <cellStyle name="20% - Accent2 2 7 2 3" xfId="13420" xr:uid="{9AB13474-5EEE-4BC0-8634-E3F7D9C265BF}"/>
    <cellStyle name="20% - Accent2 2 7 3" xfId="6166" xr:uid="{00000000-0005-0000-0000-0000EE000000}"/>
    <cellStyle name="20% - Accent2 2 7 3 2" xfId="15492" xr:uid="{4A3AE875-D4D0-4A83-B931-976A79678E35}"/>
    <cellStyle name="20% - Accent2 2 7 4" xfId="11275" xr:uid="{DECF5E37-9B86-4593-8CD1-13E5F97C4EBA}"/>
    <cellStyle name="20% - Accent2 2 8" xfId="2273" xr:uid="{00000000-0005-0000-0000-0000EF000000}"/>
    <cellStyle name="20% - Accent2 2 8 2" xfId="6579" xr:uid="{00000000-0005-0000-0000-0000F0000000}"/>
    <cellStyle name="20% - Accent2 2 8 2 2" xfId="15905" xr:uid="{E2831C44-E2F7-41CB-B8A5-C40326D91584}"/>
    <cellStyle name="20% - Accent2 2 8 3" xfId="11688" xr:uid="{EFCE7E36-EFCD-4ADD-AA89-29C854F5524C}"/>
    <cellStyle name="20% - Accent2 2 9" xfId="4513" xr:uid="{00000000-0005-0000-0000-0000F1000000}"/>
    <cellStyle name="20% - Accent2 2 9 2" xfId="13839" xr:uid="{F2B06F64-1A5E-4BD7-AED7-473BAA061E19}"/>
    <cellStyle name="20% - Accent2 3" xfId="14" xr:uid="{00000000-0005-0000-0000-0000F2000000}"/>
    <cellStyle name="20% - Accent2 3 10" xfId="9626" xr:uid="{41744F1D-CAF2-49E2-B831-FC3D332ABA01}"/>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B28F3E13-852E-434A-87E1-F348E1C338B6}"/>
    <cellStyle name="20% - Accent2 3 2 2 2 3" xfId="12186" xr:uid="{2F494EE8-548A-4301-A8C3-581B9B554EB1}"/>
    <cellStyle name="20% - Accent2 3 2 2 3" xfId="4932" xr:uid="{00000000-0005-0000-0000-0000F7000000}"/>
    <cellStyle name="20% - Accent2 3 2 2 3 2" xfId="14258" xr:uid="{5FA27E0C-2385-42E4-A72D-E44965B3DBFA}"/>
    <cellStyle name="20% - Accent2 3 2 2 4" xfId="9495" xr:uid="{9F5A6FE7-BBC9-4787-8EC4-2112F4D5A0EA}"/>
    <cellStyle name="20% - Accent2 3 2 2 4 2" xfId="18810" xr:uid="{3E2369BB-CCE9-42BA-BAFB-16C9D2223441}"/>
    <cellStyle name="20% - Accent2 3 2 2 5" xfId="10041" xr:uid="{2027A294-E824-4B39-B6D2-E749E30F9D72}"/>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42C46A94-114B-4416-AA4F-779F7B20C513}"/>
    <cellStyle name="20% - Accent2 3 2 3 2 3" xfId="12599" xr:uid="{776A6CEB-96DA-47C2-A701-82630CDF44D9}"/>
    <cellStyle name="20% - Accent2 3 2 3 3" xfId="5345" xr:uid="{00000000-0005-0000-0000-0000FB000000}"/>
    <cellStyle name="20% - Accent2 3 2 3 3 2" xfId="14671" xr:uid="{218FA177-E37D-4B4D-859F-6CBBB3C04C1F}"/>
    <cellStyle name="20% - Accent2 3 2 3 4" xfId="10454" xr:uid="{8BB609CA-7A33-4D77-8063-4CCB046DD109}"/>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8F0DA9D9-6B09-4D6F-BF10-E414D0D1DAB7}"/>
    <cellStyle name="20% - Accent2 3 2 4 2 3" xfId="13012" xr:uid="{1EBB3C41-B60F-48A4-B6EA-94C5F3D5D0E8}"/>
    <cellStyle name="20% - Accent2 3 2 4 3" xfId="5758" xr:uid="{00000000-0005-0000-0000-0000FF000000}"/>
    <cellStyle name="20% - Accent2 3 2 4 3 2" xfId="15084" xr:uid="{11405A5A-970E-4694-B223-B99BDA2EEE23}"/>
    <cellStyle name="20% - Accent2 3 2 4 4" xfId="10867" xr:uid="{C3C0D8AC-AEDB-4D16-9FD2-4B7D5E293640}"/>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39A08CDF-D933-4DAF-849E-66D5761438BA}"/>
    <cellStyle name="20% - Accent2 3 2 5 2 3" xfId="13425" xr:uid="{C41D6CB5-78F0-449E-8568-0893227D9601}"/>
    <cellStyle name="20% - Accent2 3 2 5 3" xfId="6171" xr:uid="{00000000-0005-0000-0000-000003010000}"/>
    <cellStyle name="20% - Accent2 3 2 5 3 2" xfId="15497" xr:uid="{2F077B4A-BD39-4ADC-B244-915019704C7B}"/>
    <cellStyle name="20% - Accent2 3 2 5 4" xfId="11280" xr:uid="{F9DF8153-64AB-45D2-BDA6-9EF63433C9EE}"/>
    <cellStyle name="20% - Accent2 3 2 6" xfId="2278" xr:uid="{00000000-0005-0000-0000-000004010000}"/>
    <cellStyle name="20% - Accent2 3 2 6 2" xfId="6584" xr:uid="{00000000-0005-0000-0000-000005010000}"/>
    <cellStyle name="20% - Accent2 3 2 6 2 2" xfId="15910" xr:uid="{DC9F4597-436B-4932-A1F1-6C91276A92CC}"/>
    <cellStyle name="20% - Accent2 3 2 6 3" xfId="11693" xr:uid="{33D44DD1-D81B-4EB4-9209-4273D4A59D7A}"/>
    <cellStyle name="20% - Accent2 3 2 7" xfId="4518" xr:uid="{00000000-0005-0000-0000-000006010000}"/>
    <cellStyle name="20% - Accent2 3 2 7 2" xfId="13844" xr:uid="{6613ABB4-B3A0-4244-AF69-4281B18B217A}"/>
    <cellStyle name="20% - Accent2 3 2 8" xfId="9070" xr:uid="{8A9168BA-490F-4E57-83EA-22187D24153F}"/>
    <cellStyle name="20% - Accent2 3 2 8 2" xfId="18394" xr:uid="{D9CE1036-9A0C-4CE0-BB50-19B4EA48F32B}"/>
    <cellStyle name="20% - Accent2 3 2 9" xfId="9627" xr:uid="{716A72EE-28DA-4C7E-B3EE-9D53C71525C2}"/>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DE0756ED-0FBF-48DA-BF6F-A6F91E69741E}"/>
    <cellStyle name="20% - Accent2 3 3 2 3" xfId="12185" xr:uid="{D10ACBDF-54FE-4E7B-8CCE-D8537C0D0698}"/>
    <cellStyle name="20% - Accent2 3 3 3" xfId="4931" xr:uid="{00000000-0005-0000-0000-00000A010000}"/>
    <cellStyle name="20% - Accent2 3 3 3 2" xfId="14257" xr:uid="{4CD92C50-FC46-456A-883A-748EBB3A0630}"/>
    <cellStyle name="20% - Accent2 3 3 4" xfId="9288" xr:uid="{FCD70616-ECAD-4A0B-889F-4698E1AD889E}"/>
    <cellStyle name="20% - Accent2 3 3 4 2" xfId="18603" xr:uid="{7ED77F35-2DC7-417A-9596-F2C0E5185C9D}"/>
    <cellStyle name="20% - Accent2 3 3 5" xfId="10040" xr:uid="{7711EE14-5B90-4CB5-9596-B78799A61AF1}"/>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A332BFDD-6579-495A-9356-E8EF7AF8FE2E}"/>
    <cellStyle name="20% - Accent2 3 4 2 3" xfId="12598" xr:uid="{3EFABDA8-D7F1-4F52-8907-2295FD9519EF}"/>
    <cellStyle name="20% - Accent2 3 4 3" xfId="5344" xr:uid="{00000000-0005-0000-0000-00000E010000}"/>
    <cellStyle name="20% - Accent2 3 4 3 2" xfId="14670" xr:uid="{342E633D-418C-4CFC-A66C-83C796A494E7}"/>
    <cellStyle name="20% - Accent2 3 4 4" xfId="10453" xr:uid="{52829593-D464-4B00-90A6-7FA1AF91F8CA}"/>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F50EA220-032E-46A1-97D2-45972F1B98E1}"/>
    <cellStyle name="20% - Accent2 3 5 2 3" xfId="13011" xr:uid="{A0D59546-6496-4BA8-9178-2FAA9065CE80}"/>
    <cellStyle name="20% - Accent2 3 5 3" xfId="5757" xr:uid="{00000000-0005-0000-0000-000012010000}"/>
    <cellStyle name="20% - Accent2 3 5 3 2" xfId="15083" xr:uid="{F8675010-2BE3-4222-BA57-569EDFA21DFC}"/>
    <cellStyle name="20% - Accent2 3 5 4" xfId="10866" xr:uid="{2CCAB026-149F-4119-B708-A3E071E9FA0E}"/>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962473DD-99BF-4351-894D-10831E01E7D0}"/>
    <cellStyle name="20% - Accent2 3 6 2 3" xfId="13424" xr:uid="{568CEB10-0B25-474C-91B0-59B84DC9BDEC}"/>
    <cellStyle name="20% - Accent2 3 6 3" xfId="6170" xr:uid="{00000000-0005-0000-0000-000016010000}"/>
    <cellStyle name="20% - Accent2 3 6 3 2" xfId="15496" xr:uid="{8F6A2DD8-594E-4EBD-851C-570468697B13}"/>
    <cellStyle name="20% - Accent2 3 6 4" xfId="11279" xr:uid="{F9E757C9-17E5-4343-9B19-C24CC2207413}"/>
    <cellStyle name="20% - Accent2 3 7" xfId="2277" xr:uid="{00000000-0005-0000-0000-000017010000}"/>
    <cellStyle name="20% - Accent2 3 7 2" xfId="6583" xr:uid="{00000000-0005-0000-0000-000018010000}"/>
    <cellStyle name="20% - Accent2 3 7 2 2" xfId="15909" xr:uid="{D85CDC8D-2EF3-4A43-A033-9734024ED7C9}"/>
    <cellStyle name="20% - Accent2 3 7 3" xfId="11692" xr:uid="{78CF0498-85D3-4B9E-8389-9C749806CDA8}"/>
    <cellStyle name="20% - Accent2 3 8" xfId="4517" xr:uid="{00000000-0005-0000-0000-000019010000}"/>
    <cellStyle name="20% - Accent2 3 8 2" xfId="13843" xr:uid="{1623F44A-C617-4F48-BBA6-3FF42934B171}"/>
    <cellStyle name="20% - Accent2 3 9" xfId="8863" xr:uid="{C6A258FB-33DC-4171-B9DD-C29513CA80FD}"/>
    <cellStyle name="20% - Accent2 3 9 2" xfId="18187" xr:uid="{B4E4D9B1-0F41-4C27-9AE3-F55F7E2AD01F}"/>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C3ECCD10-A8F4-479B-8BA0-2FFF3F111179}"/>
    <cellStyle name="20% - Accent2 4 2 2 3" xfId="12187" xr:uid="{3B1EEEA4-0C38-445A-B609-1EB20A26AE8D}"/>
    <cellStyle name="20% - Accent2 4 2 3" xfId="4933" xr:uid="{00000000-0005-0000-0000-00001E010000}"/>
    <cellStyle name="20% - Accent2 4 2 3 2" xfId="14259" xr:uid="{54E3AC29-5ADA-4AF5-A87F-23175788F870}"/>
    <cellStyle name="20% - Accent2 4 2 4" xfId="9374" xr:uid="{26FD7A0E-8D04-4AF7-B092-2B22A78F0A97}"/>
    <cellStyle name="20% - Accent2 4 2 4 2" xfId="18689" xr:uid="{461D32E6-EE1B-4613-ABF8-97ACC9B14DB2}"/>
    <cellStyle name="20% - Accent2 4 2 5" xfId="10042" xr:uid="{7FF7464E-07C7-4B93-A72E-1E5941A5F6F1}"/>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F560E530-44C9-4A81-A562-58D008DBAB51}"/>
    <cellStyle name="20% - Accent2 4 3 2 3" xfId="12600" xr:uid="{2C3D229A-6DEB-4789-8057-E382F9FADCBA}"/>
    <cellStyle name="20% - Accent2 4 3 3" xfId="5346" xr:uid="{00000000-0005-0000-0000-000022010000}"/>
    <cellStyle name="20% - Accent2 4 3 3 2" xfId="14672" xr:uid="{9981849A-3B55-4F6D-B748-2240DD849600}"/>
    <cellStyle name="20% - Accent2 4 3 4" xfId="10455" xr:uid="{7502CF69-FBB6-4916-B5A5-7BD597C36E4F}"/>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E3FC6828-2331-4CF3-ABEB-0C1A54F8B846}"/>
    <cellStyle name="20% - Accent2 4 4 2 3" xfId="13013" xr:uid="{84975CF2-C763-43CD-BD41-B73F664B8E9D}"/>
    <cellStyle name="20% - Accent2 4 4 3" xfId="5759" xr:uid="{00000000-0005-0000-0000-000026010000}"/>
    <cellStyle name="20% - Accent2 4 4 3 2" xfId="15085" xr:uid="{9D014772-32B2-4C92-A4D4-409D9BA543DD}"/>
    <cellStyle name="20% - Accent2 4 4 4" xfId="10868" xr:uid="{F23046D4-C646-41D8-9DF5-29D6F24D9AFD}"/>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F1F5013C-ABA2-4BC4-85B8-D74BEB7D2BA1}"/>
    <cellStyle name="20% - Accent2 4 5 2 3" xfId="13426" xr:uid="{89BB0734-A66B-4CBD-BF19-88BF989C76CD}"/>
    <cellStyle name="20% - Accent2 4 5 3" xfId="6172" xr:uid="{00000000-0005-0000-0000-00002A010000}"/>
    <cellStyle name="20% - Accent2 4 5 3 2" xfId="15498" xr:uid="{C2DD9591-B6FE-469A-9C32-311704556CB5}"/>
    <cellStyle name="20% - Accent2 4 5 4" xfId="11281" xr:uid="{16D9677F-9100-4087-94E6-3E9A9E1149E4}"/>
    <cellStyle name="20% - Accent2 4 6" xfId="2279" xr:uid="{00000000-0005-0000-0000-00002B010000}"/>
    <cellStyle name="20% - Accent2 4 6 2" xfId="6585" xr:uid="{00000000-0005-0000-0000-00002C010000}"/>
    <cellStyle name="20% - Accent2 4 6 2 2" xfId="15911" xr:uid="{5732D2E9-ED4D-421D-9679-31842D579002}"/>
    <cellStyle name="20% - Accent2 4 6 3" xfId="11694" xr:uid="{FBF03D67-75F6-4FAD-BC4F-10C3A2B76009}"/>
    <cellStyle name="20% - Accent2 4 7" xfId="4519" xr:uid="{00000000-0005-0000-0000-00002D010000}"/>
    <cellStyle name="20% - Accent2 4 7 2" xfId="13845" xr:uid="{969E66D0-8DA6-4D3B-B62A-B1836B4A7130}"/>
    <cellStyle name="20% - Accent2 4 8" xfId="8949" xr:uid="{084C22A9-B904-4AFE-A752-AC1DC2CA76B8}"/>
    <cellStyle name="20% - Accent2 4 8 2" xfId="18273" xr:uid="{C8AC0E64-E8E2-4C7D-A06F-697D2AB4F7F8}"/>
    <cellStyle name="20% - Accent2 4 9" xfId="9628" xr:uid="{CA04706D-6C3D-44AB-A9DE-B971901412F7}"/>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DD22E947-50E4-4B15-BC26-A96BC9037F7B}"/>
    <cellStyle name="20% - Accent2 5 2 3" xfId="12180" xr:uid="{E61D8A01-F929-43A9-92EA-A8555FB8778C}"/>
    <cellStyle name="20% - Accent2 5 3" xfId="4926" xr:uid="{00000000-0005-0000-0000-000031010000}"/>
    <cellStyle name="20% - Accent2 5 3 2" xfId="14252" xr:uid="{04303724-FCDE-4643-9E12-FCD856824E86}"/>
    <cellStyle name="20% - Accent2 5 4" xfId="9182" xr:uid="{F822E263-B2A4-41B5-BBF9-FCE1A7A30601}"/>
    <cellStyle name="20% - Accent2 5 4 2" xfId="18500" xr:uid="{4DA06BC7-2D0A-4A9C-B25A-83D672842FA8}"/>
    <cellStyle name="20% - Accent2 5 5" xfId="10035" xr:uid="{96BFD749-D226-4691-9221-04DE3B5E6B32}"/>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7CE29EC7-CB9F-4C16-A48C-6887B0D4DE3A}"/>
    <cellStyle name="20% - Accent2 6 2 3" xfId="12593" xr:uid="{29E94B4A-CC02-4AFA-961E-F38EB74BBB3B}"/>
    <cellStyle name="20% - Accent2 6 3" xfId="5339" xr:uid="{00000000-0005-0000-0000-000035010000}"/>
    <cellStyle name="20% - Accent2 6 3 2" xfId="14665" xr:uid="{37F0BA3C-DBB7-493E-B3C2-85109BA0BD7B}"/>
    <cellStyle name="20% - Accent2 6 4" xfId="10448" xr:uid="{68542B91-A8C8-44E4-8DF8-AB9F4F70ECB0}"/>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4F254E0E-649E-48B2-B47B-B42B521FB87C}"/>
    <cellStyle name="20% - Accent2 7 2 3" xfId="13006" xr:uid="{B30C8B61-4661-4DEB-891C-AFACC0A6E524}"/>
    <cellStyle name="20% - Accent2 7 3" xfId="5752" xr:uid="{00000000-0005-0000-0000-000039010000}"/>
    <cellStyle name="20% - Accent2 7 3 2" xfId="15078" xr:uid="{2BF0B8BE-3413-46C9-AE4B-9A92D3A1BE42}"/>
    <cellStyle name="20% - Accent2 7 4" xfId="10861" xr:uid="{024E309F-B80C-4163-B690-C416E1868CE4}"/>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36384891-BB9D-4E82-AD56-905BA66A6D74}"/>
    <cellStyle name="20% - Accent2 8 2 3" xfId="13419" xr:uid="{34A3D200-FAC2-4A88-89EF-7C0F226554C2}"/>
    <cellStyle name="20% - Accent2 8 3" xfId="6165" xr:uid="{00000000-0005-0000-0000-00003D010000}"/>
    <cellStyle name="20% - Accent2 8 3 2" xfId="15491" xr:uid="{EDA03DD8-55DF-4D49-A274-8A5A64E78067}"/>
    <cellStyle name="20% - Accent2 8 4" xfId="11274" xr:uid="{506FC958-866C-4CFA-9572-AB1718EF4990}"/>
    <cellStyle name="20% - Accent2 9" xfId="2272" xr:uid="{00000000-0005-0000-0000-00003E010000}"/>
    <cellStyle name="20% - Accent2 9 2" xfId="6578" xr:uid="{00000000-0005-0000-0000-00003F010000}"/>
    <cellStyle name="20% - Accent2 9 2 2" xfId="15904" xr:uid="{D4B74877-FF63-4B13-9DCC-DAE337C83B59}"/>
    <cellStyle name="20% - Accent2 9 3" xfId="11687" xr:uid="{767A0D08-6C1D-4B3C-8521-BF646A4DFD47}"/>
    <cellStyle name="20% - Accent3" xfId="17" builtinId="38" customBuiltin="1"/>
    <cellStyle name="20% - Accent3 10" xfId="4520" xr:uid="{00000000-0005-0000-0000-000041010000}"/>
    <cellStyle name="20% - Accent3 10 2" xfId="13846" xr:uid="{47A5C2A8-83E8-4621-BA89-3201132DA6F9}"/>
    <cellStyle name="20% - Accent3 11" xfId="8762" xr:uid="{49ACF776-43E7-4BB5-82F5-A8A4FEBC45F8}"/>
    <cellStyle name="20% - Accent3 11 2" xfId="18086" xr:uid="{99A6E34E-65D9-4522-A7A7-F0A1DAFFC1EB}"/>
    <cellStyle name="20% - Accent3 12" xfId="9629" xr:uid="{7A0001B6-3592-4D92-B4B0-6856835624DB}"/>
    <cellStyle name="20% - Accent3 2" xfId="18" xr:uid="{00000000-0005-0000-0000-000042010000}"/>
    <cellStyle name="20% - Accent3 2 10" xfId="8792" xr:uid="{65E5762F-047C-4860-B47E-71363924E2A5}"/>
    <cellStyle name="20% - Accent3 2 10 2" xfId="18116" xr:uid="{9E2E33A4-8653-4EFD-9577-C74199ABC673}"/>
    <cellStyle name="20% - Accent3 2 11" xfId="9630" xr:uid="{F13FA99A-3243-4D64-A49C-2EA54E69B00B}"/>
    <cellStyle name="20% - Accent3 2 2" xfId="19" xr:uid="{00000000-0005-0000-0000-000043010000}"/>
    <cellStyle name="20% - Accent3 2 2 10" xfId="9631" xr:uid="{01097DB1-13AB-4CAB-B8A4-7CE3D966DB6D}"/>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9B0FD9B7-B7F1-4786-A94E-41F8D9B53FFD}"/>
    <cellStyle name="20% - Accent3 2 2 2 2 2 3" xfId="12191" xr:uid="{867A2B08-3449-40B1-AA8C-DFABC877988C}"/>
    <cellStyle name="20% - Accent3 2 2 2 2 3" xfId="4937" xr:uid="{00000000-0005-0000-0000-000048010000}"/>
    <cellStyle name="20% - Accent3 2 2 2 2 3 2" xfId="14263" xr:uid="{1129FBBA-EA81-446B-ABDE-7BD71FCDA81E}"/>
    <cellStyle name="20% - Accent3 2 2 2 2 4" xfId="9527" xr:uid="{B82F9F3C-4714-4F10-BEB2-F90FC0563F53}"/>
    <cellStyle name="20% - Accent3 2 2 2 2 4 2" xfId="18842" xr:uid="{CEF09921-AF15-40CB-9C26-F7402D9FCDCF}"/>
    <cellStyle name="20% - Accent3 2 2 2 2 5" xfId="10046" xr:uid="{FA6987A4-3228-4266-9EA7-5FC1BEC9B4DB}"/>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A0053FAD-A268-43EC-A79E-29829F415A3E}"/>
    <cellStyle name="20% - Accent3 2 2 2 3 2 3" xfId="12604" xr:uid="{0B60306B-AE13-4538-822B-3325D1F6CFBD}"/>
    <cellStyle name="20% - Accent3 2 2 2 3 3" xfId="5350" xr:uid="{00000000-0005-0000-0000-00004C010000}"/>
    <cellStyle name="20% - Accent3 2 2 2 3 3 2" xfId="14676" xr:uid="{CBB30865-9887-44CB-925B-32062C6C6214}"/>
    <cellStyle name="20% - Accent3 2 2 2 3 4" xfId="10459" xr:uid="{1249630F-E7BF-42E0-A5F8-A1B230C45529}"/>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3EC94827-9B6A-42C5-9FE0-F6EA0EA83E56}"/>
    <cellStyle name="20% - Accent3 2 2 2 4 2 3" xfId="13017" xr:uid="{7C0B853E-8BB6-4D0B-B2A4-D3299F097755}"/>
    <cellStyle name="20% - Accent3 2 2 2 4 3" xfId="5763" xr:uid="{00000000-0005-0000-0000-000050010000}"/>
    <cellStyle name="20% - Accent3 2 2 2 4 3 2" xfId="15089" xr:uid="{B960E29D-D23C-4698-A428-8B113237C992}"/>
    <cellStyle name="20% - Accent3 2 2 2 4 4" xfId="10872" xr:uid="{9B8D5993-BDDA-4A49-A9BB-C8E3C69AD455}"/>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FC35D8F4-9018-47C8-87B0-4C4B00B3433A}"/>
    <cellStyle name="20% - Accent3 2 2 2 5 2 3" xfId="13430" xr:uid="{33578CDF-7B76-4588-A649-85323BF09833}"/>
    <cellStyle name="20% - Accent3 2 2 2 5 3" xfId="6176" xr:uid="{00000000-0005-0000-0000-000054010000}"/>
    <cellStyle name="20% - Accent3 2 2 2 5 3 2" xfId="15502" xr:uid="{0135FD2F-C113-4A8C-AC0C-6EBDCB381AB8}"/>
    <cellStyle name="20% - Accent3 2 2 2 5 4" xfId="11285" xr:uid="{A5BEE22E-6FC9-46CE-851D-26B602352451}"/>
    <cellStyle name="20% - Accent3 2 2 2 6" xfId="2283" xr:uid="{00000000-0005-0000-0000-000055010000}"/>
    <cellStyle name="20% - Accent3 2 2 2 6 2" xfId="6589" xr:uid="{00000000-0005-0000-0000-000056010000}"/>
    <cellStyle name="20% - Accent3 2 2 2 6 2 2" xfId="15915" xr:uid="{570E254A-66B1-4734-A7C0-797B4A53B6EC}"/>
    <cellStyle name="20% - Accent3 2 2 2 6 3" xfId="11698" xr:uid="{6255E232-B1B7-47B1-A75A-F4ECBA46A0B6}"/>
    <cellStyle name="20% - Accent3 2 2 2 7" xfId="4523" xr:uid="{00000000-0005-0000-0000-000057010000}"/>
    <cellStyle name="20% - Accent3 2 2 2 7 2" xfId="13849" xr:uid="{A9EE43AD-B9E0-455D-A462-12C4A83AF3A3}"/>
    <cellStyle name="20% - Accent3 2 2 2 8" xfId="9102" xr:uid="{77698EAD-FDE4-4105-BE80-980B5219F464}"/>
    <cellStyle name="20% - Accent3 2 2 2 8 2" xfId="18426" xr:uid="{6C469836-E5EA-48CC-B517-8403D01E3E24}"/>
    <cellStyle name="20% - Accent3 2 2 2 9" xfId="9632" xr:uid="{B8240662-CF24-4079-ADBE-FC13586182F5}"/>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F412D9A3-656E-4D2B-8A25-8F4A8D770B9B}"/>
    <cellStyle name="20% - Accent3 2 2 3 2 3" xfId="12190" xr:uid="{17C56A68-6494-4845-B5C6-B481F3B98390}"/>
    <cellStyle name="20% - Accent3 2 2 3 3" xfId="4936" xr:uid="{00000000-0005-0000-0000-00005B010000}"/>
    <cellStyle name="20% - Accent3 2 2 3 3 2" xfId="14262" xr:uid="{30D0B1CE-0C0C-4944-93F9-EF6F1279B0C9}"/>
    <cellStyle name="20% - Accent3 2 2 3 4" xfId="9320" xr:uid="{BF070B19-D289-4211-B080-DBB621CAE7BA}"/>
    <cellStyle name="20% - Accent3 2 2 3 4 2" xfId="18635" xr:uid="{6BAC74D7-955B-4037-98AE-ACFAA6F0536A}"/>
    <cellStyle name="20% - Accent3 2 2 3 5" xfId="10045" xr:uid="{A4E6889F-4268-481C-8986-D5848208F30F}"/>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1ECF6B0B-86C8-413D-A3A9-2E48C3241D5B}"/>
    <cellStyle name="20% - Accent3 2 2 4 2 3" xfId="12603" xr:uid="{303B4388-9986-4740-A4D5-2730E361FE73}"/>
    <cellStyle name="20% - Accent3 2 2 4 3" xfId="5349" xr:uid="{00000000-0005-0000-0000-00005F010000}"/>
    <cellStyle name="20% - Accent3 2 2 4 3 2" xfId="14675" xr:uid="{97A93913-4101-4D4D-81F4-56BE6F4CB549}"/>
    <cellStyle name="20% - Accent3 2 2 4 4" xfId="10458" xr:uid="{FBB33F41-4D87-4376-85FE-C07FFB2B3087}"/>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F8141590-BC3D-4977-8A11-44DBD4234300}"/>
    <cellStyle name="20% - Accent3 2 2 5 2 3" xfId="13016" xr:uid="{26529B3F-D04E-4331-97D2-F6EB13F36AF0}"/>
    <cellStyle name="20% - Accent3 2 2 5 3" xfId="5762" xr:uid="{00000000-0005-0000-0000-000063010000}"/>
    <cellStyle name="20% - Accent3 2 2 5 3 2" xfId="15088" xr:uid="{E8EAF7C6-A1E8-499C-9484-1AD241BDAAEE}"/>
    <cellStyle name="20% - Accent3 2 2 5 4" xfId="10871" xr:uid="{B319E322-9674-4194-9DEB-933BA1D595A2}"/>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E78B5C2A-9B86-4866-B567-74A64F0FFAD6}"/>
    <cellStyle name="20% - Accent3 2 2 6 2 3" xfId="13429" xr:uid="{7C84BB64-CDC5-406B-9C7C-79AE6CA3C0A4}"/>
    <cellStyle name="20% - Accent3 2 2 6 3" xfId="6175" xr:uid="{00000000-0005-0000-0000-000067010000}"/>
    <cellStyle name="20% - Accent3 2 2 6 3 2" xfId="15501" xr:uid="{6A4EF502-2110-4EE3-BE76-E5CDE4F0A22E}"/>
    <cellStyle name="20% - Accent3 2 2 6 4" xfId="11284" xr:uid="{4547681C-BE6D-49FB-B80B-97002B128002}"/>
    <cellStyle name="20% - Accent3 2 2 7" xfId="2282" xr:uid="{00000000-0005-0000-0000-000068010000}"/>
    <cellStyle name="20% - Accent3 2 2 7 2" xfId="6588" xr:uid="{00000000-0005-0000-0000-000069010000}"/>
    <cellStyle name="20% - Accent3 2 2 7 2 2" xfId="15914" xr:uid="{3147DE1E-11E2-4FD4-93CF-3E59648CDD3B}"/>
    <cellStyle name="20% - Accent3 2 2 7 3" xfId="11697" xr:uid="{5A06D87F-C2F5-4D14-BE87-EBE258EC6D45}"/>
    <cellStyle name="20% - Accent3 2 2 8" xfId="4522" xr:uid="{00000000-0005-0000-0000-00006A010000}"/>
    <cellStyle name="20% - Accent3 2 2 8 2" xfId="13848" xr:uid="{951D7E03-AEBD-4441-802A-24A286D9156D}"/>
    <cellStyle name="20% - Accent3 2 2 9" xfId="8895" xr:uid="{0ADDC6BA-FD9D-420D-8F5A-13E0A04BBC7C}"/>
    <cellStyle name="20% - Accent3 2 2 9 2" xfId="18219" xr:uid="{52BCA485-D970-4F29-815B-E894C94DE859}"/>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0C3C7F36-1946-424B-AEC7-D24A193DA34C}"/>
    <cellStyle name="20% - Accent3 2 3 2 2 3" xfId="12192" xr:uid="{58DE9FEF-CBB1-4135-9D4C-8599EDE6A809}"/>
    <cellStyle name="20% - Accent3 2 3 2 3" xfId="4938" xr:uid="{00000000-0005-0000-0000-00006F010000}"/>
    <cellStyle name="20% - Accent3 2 3 2 3 2" xfId="14264" xr:uid="{222648EC-E3AC-4FD7-811A-92FFC294B83A}"/>
    <cellStyle name="20% - Accent3 2 3 2 4" xfId="9424" xr:uid="{C3588D98-6F24-4F2C-9F96-F34501405613}"/>
    <cellStyle name="20% - Accent3 2 3 2 4 2" xfId="18739" xr:uid="{9E598BCF-2FD8-47D0-84D2-27DEAEBDAF8B}"/>
    <cellStyle name="20% - Accent3 2 3 2 5" xfId="10047" xr:uid="{9CAA0C42-8185-4A12-BF48-4EFF83EECB40}"/>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E2B20BFF-8B95-40B7-99FC-D812279BB866}"/>
    <cellStyle name="20% - Accent3 2 3 3 2 3" xfId="12605" xr:uid="{531385BB-A6D7-4457-ADC7-50C8E370E3EB}"/>
    <cellStyle name="20% - Accent3 2 3 3 3" xfId="5351" xr:uid="{00000000-0005-0000-0000-000073010000}"/>
    <cellStyle name="20% - Accent3 2 3 3 3 2" xfId="14677" xr:uid="{7A3633B8-812F-4DA0-829C-935242A56022}"/>
    <cellStyle name="20% - Accent3 2 3 3 4" xfId="10460" xr:uid="{CD567B98-D2B8-4453-9C28-F56F7FFD6B8E}"/>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DDBE88D2-59CA-43F2-845B-69C5FA7304D2}"/>
    <cellStyle name="20% - Accent3 2 3 4 2 3" xfId="13018" xr:uid="{692496DE-7DC2-4475-9C30-18B907BC391B}"/>
    <cellStyle name="20% - Accent3 2 3 4 3" xfId="5764" xr:uid="{00000000-0005-0000-0000-000077010000}"/>
    <cellStyle name="20% - Accent3 2 3 4 3 2" xfId="15090" xr:uid="{23290DBF-AD8B-4048-A9A9-F4379FA33F81}"/>
    <cellStyle name="20% - Accent3 2 3 4 4" xfId="10873" xr:uid="{888443C8-070F-40D9-BB42-2FDDF048E96A}"/>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AFB5E5A1-4374-4EC9-A483-AC7749CE60C4}"/>
    <cellStyle name="20% - Accent3 2 3 5 2 3" xfId="13431" xr:uid="{E01D18B0-621B-49A3-A14F-AA8B2309284B}"/>
    <cellStyle name="20% - Accent3 2 3 5 3" xfId="6177" xr:uid="{00000000-0005-0000-0000-00007B010000}"/>
    <cellStyle name="20% - Accent3 2 3 5 3 2" xfId="15503" xr:uid="{683136D6-FEDD-4163-9F6B-B07B86B0D328}"/>
    <cellStyle name="20% - Accent3 2 3 5 4" xfId="11286" xr:uid="{83F09209-EED8-44E1-A1BA-6AA0B46389ED}"/>
    <cellStyle name="20% - Accent3 2 3 6" xfId="2284" xr:uid="{00000000-0005-0000-0000-00007C010000}"/>
    <cellStyle name="20% - Accent3 2 3 6 2" xfId="6590" xr:uid="{00000000-0005-0000-0000-00007D010000}"/>
    <cellStyle name="20% - Accent3 2 3 6 2 2" xfId="15916" xr:uid="{E8AD10E2-C2F6-460F-A416-81FDBA16CF58}"/>
    <cellStyle name="20% - Accent3 2 3 6 3" xfId="11699" xr:uid="{CB79BFF3-B54E-4699-9AAD-96F27691A726}"/>
    <cellStyle name="20% - Accent3 2 3 7" xfId="4524" xr:uid="{00000000-0005-0000-0000-00007E010000}"/>
    <cellStyle name="20% - Accent3 2 3 7 2" xfId="13850" xr:uid="{DA089D16-A868-4881-8539-D2620762081E}"/>
    <cellStyle name="20% - Accent3 2 3 8" xfId="8999" xr:uid="{2B5D0148-B6EA-4DEA-92B1-644886C27051}"/>
    <cellStyle name="20% - Accent3 2 3 8 2" xfId="18323" xr:uid="{2137ED7E-AD26-4AA5-ADBB-6E1A0A2B1B49}"/>
    <cellStyle name="20% - Accent3 2 3 9" xfId="9633" xr:uid="{19F3C8FF-C749-40CF-BFB0-67CDC897A58F}"/>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075661A1-DE2F-4E83-B095-4918E733EAC9}"/>
    <cellStyle name="20% - Accent3 2 4 2 3" xfId="12189" xr:uid="{E86F59C4-903E-4C3F-9D88-DE68CE53DDCC}"/>
    <cellStyle name="20% - Accent3 2 4 3" xfId="4935" xr:uid="{00000000-0005-0000-0000-000082010000}"/>
    <cellStyle name="20% - Accent3 2 4 3 2" xfId="14261" xr:uid="{858CF60D-8101-4708-BB47-713BAE66536B}"/>
    <cellStyle name="20% - Accent3 2 4 4" xfId="9216" xr:uid="{A12C3877-5492-4CD3-AD22-81B3F0AB1EDD}"/>
    <cellStyle name="20% - Accent3 2 4 4 2" xfId="18532" xr:uid="{879ED803-CA85-4085-880F-198D679AE7A8}"/>
    <cellStyle name="20% - Accent3 2 4 5" xfId="10044" xr:uid="{BAE01B6F-FBB2-42C9-A1A9-A68C4381F056}"/>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2AFFDF07-6832-4F1A-9E72-9C85433544C2}"/>
    <cellStyle name="20% - Accent3 2 5 2 3" xfId="12602" xr:uid="{9D43E151-8933-4F56-9FAF-C433F466B7AD}"/>
    <cellStyle name="20% - Accent3 2 5 3" xfId="5348" xr:uid="{00000000-0005-0000-0000-000086010000}"/>
    <cellStyle name="20% - Accent3 2 5 3 2" xfId="14674" xr:uid="{C00E87AA-966A-4D6A-AA64-FD9F60093E74}"/>
    <cellStyle name="20% - Accent3 2 5 4" xfId="10457" xr:uid="{DCCA5CB4-5FFF-4644-9995-1436B5335EA4}"/>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4108A9B6-26DD-4B82-AC1D-071FE1CCB053}"/>
    <cellStyle name="20% - Accent3 2 6 2 3" xfId="13015" xr:uid="{402F0E26-DFFA-4FE2-9174-033B5F73A08C}"/>
    <cellStyle name="20% - Accent3 2 6 3" xfId="5761" xr:uid="{00000000-0005-0000-0000-00008A010000}"/>
    <cellStyle name="20% - Accent3 2 6 3 2" xfId="15087" xr:uid="{398F0703-9DCB-4908-97FC-996AA75A450B}"/>
    <cellStyle name="20% - Accent3 2 6 4" xfId="10870" xr:uid="{D8A6AFBD-29BA-48A3-A1D5-4FEF8CE55ED3}"/>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D9F8FEC0-91D2-4BA7-9D00-D569CF0B82AF}"/>
    <cellStyle name="20% - Accent3 2 7 2 3" xfId="13428" xr:uid="{5756ED08-F336-4C78-8709-FBAF0940FD8F}"/>
    <cellStyle name="20% - Accent3 2 7 3" xfId="6174" xr:uid="{00000000-0005-0000-0000-00008E010000}"/>
    <cellStyle name="20% - Accent3 2 7 3 2" xfId="15500" xr:uid="{E784BFC7-023C-4335-B27E-25D1E583FB71}"/>
    <cellStyle name="20% - Accent3 2 7 4" xfId="11283" xr:uid="{9E283FFA-6718-40E6-BF71-A12CDF5D05A0}"/>
    <cellStyle name="20% - Accent3 2 8" xfId="2281" xr:uid="{00000000-0005-0000-0000-00008F010000}"/>
    <cellStyle name="20% - Accent3 2 8 2" xfId="6587" xr:uid="{00000000-0005-0000-0000-000090010000}"/>
    <cellStyle name="20% - Accent3 2 8 2 2" xfId="15913" xr:uid="{573C9FA1-57D3-412A-B407-8DE83B203348}"/>
    <cellStyle name="20% - Accent3 2 8 3" xfId="11696" xr:uid="{07E6E774-FDCD-4BEB-BD64-91A4E0454686}"/>
    <cellStyle name="20% - Accent3 2 9" xfId="4521" xr:uid="{00000000-0005-0000-0000-000091010000}"/>
    <cellStyle name="20% - Accent3 2 9 2" xfId="13847" xr:uid="{47E2DBEB-5B31-4BEC-A431-588948EC6E18}"/>
    <cellStyle name="20% - Accent3 3" xfId="22" xr:uid="{00000000-0005-0000-0000-000092010000}"/>
    <cellStyle name="20% - Accent3 3 10" xfId="9634" xr:uid="{4E94A28C-FC0C-439F-856D-EB6DFFCD029B}"/>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C9D0E38F-F43C-4D63-8242-8F42CCBB11D9}"/>
    <cellStyle name="20% - Accent3 3 2 2 2 3" xfId="12194" xr:uid="{5811B029-19F3-4185-AB65-7042F01ACF8C}"/>
    <cellStyle name="20% - Accent3 3 2 2 3" xfId="4940" xr:uid="{00000000-0005-0000-0000-000097010000}"/>
    <cellStyle name="20% - Accent3 3 2 2 3 2" xfId="14266" xr:uid="{14CD02D1-FC1E-40C2-9926-F4D85DFFBCCA}"/>
    <cellStyle name="20% - Accent3 3 2 2 4" xfId="9497" xr:uid="{43A0E151-F418-49A1-AF18-121DEB02B6D4}"/>
    <cellStyle name="20% - Accent3 3 2 2 4 2" xfId="18812" xr:uid="{7A092B3F-9624-4B89-93FA-85B171491BF8}"/>
    <cellStyle name="20% - Accent3 3 2 2 5" xfId="10049" xr:uid="{D6F67EA0-8C86-4D9A-91FF-371BF501EDC5}"/>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3E3B7A7D-2A15-4623-8D89-DD8003A40824}"/>
    <cellStyle name="20% - Accent3 3 2 3 2 3" xfId="12607" xr:uid="{8C99AF96-A8E5-4359-A1D7-1A3E89964A0A}"/>
    <cellStyle name="20% - Accent3 3 2 3 3" xfId="5353" xr:uid="{00000000-0005-0000-0000-00009B010000}"/>
    <cellStyle name="20% - Accent3 3 2 3 3 2" xfId="14679" xr:uid="{750F91FE-4411-45D0-8AAC-D30C86606AB4}"/>
    <cellStyle name="20% - Accent3 3 2 3 4" xfId="10462" xr:uid="{586F201C-6705-41DA-B9DA-0C4918DC6075}"/>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F3F84727-EA06-4F6E-986A-B69A27B573E8}"/>
    <cellStyle name="20% - Accent3 3 2 4 2 3" xfId="13020" xr:uid="{01428D19-3199-4B59-B0C0-660B5932286A}"/>
    <cellStyle name="20% - Accent3 3 2 4 3" xfId="5766" xr:uid="{00000000-0005-0000-0000-00009F010000}"/>
    <cellStyle name="20% - Accent3 3 2 4 3 2" xfId="15092" xr:uid="{A77094CD-DA67-4009-AE5F-566847A8F85F}"/>
    <cellStyle name="20% - Accent3 3 2 4 4" xfId="10875" xr:uid="{CB46E9C4-5CB5-417A-A5B9-CCA798029F1F}"/>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0E4138DC-49F4-452A-BCB7-2056CA2BB3EB}"/>
    <cellStyle name="20% - Accent3 3 2 5 2 3" xfId="13433" xr:uid="{B6847FBE-F007-4FD9-AC21-A3995BD23F9D}"/>
    <cellStyle name="20% - Accent3 3 2 5 3" xfId="6179" xr:uid="{00000000-0005-0000-0000-0000A3010000}"/>
    <cellStyle name="20% - Accent3 3 2 5 3 2" xfId="15505" xr:uid="{B41EF270-756C-4E35-8A02-C39D6B3FB091}"/>
    <cellStyle name="20% - Accent3 3 2 5 4" xfId="11288" xr:uid="{7A24CDF7-8349-4558-834A-6A205503CB68}"/>
    <cellStyle name="20% - Accent3 3 2 6" xfId="2286" xr:uid="{00000000-0005-0000-0000-0000A4010000}"/>
    <cellStyle name="20% - Accent3 3 2 6 2" xfId="6592" xr:uid="{00000000-0005-0000-0000-0000A5010000}"/>
    <cellStyle name="20% - Accent3 3 2 6 2 2" xfId="15918" xr:uid="{6A246382-7A44-4963-94E8-CBEADFFCC678}"/>
    <cellStyle name="20% - Accent3 3 2 6 3" xfId="11701" xr:uid="{97EC94E1-E0B7-450C-B159-DDEF4F7E131B}"/>
    <cellStyle name="20% - Accent3 3 2 7" xfId="4526" xr:uid="{00000000-0005-0000-0000-0000A6010000}"/>
    <cellStyle name="20% - Accent3 3 2 7 2" xfId="13852" xr:uid="{80BF4C83-51C7-4DFC-982F-8F8B51293439}"/>
    <cellStyle name="20% - Accent3 3 2 8" xfId="9072" xr:uid="{422EC144-F6F8-460E-8B93-316BBF9707FB}"/>
    <cellStyle name="20% - Accent3 3 2 8 2" xfId="18396" xr:uid="{F7149760-1250-4F2B-80D5-4CE83A5823A5}"/>
    <cellStyle name="20% - Accent3 3 2 9" xfId="9635" xr:uid="{857A6CC2-38CD-4C48-89BE-CB9532D4819D}"/>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6CBAA8EB-3722-42B2-A6B6-22C70D8FB987}"/>
    <cellStyle name="20% - Accent3 3 3 2 3" xfId="12193" xr:uid="{B30D9BA0-2F9E-4BEA-A2CB-C72F1E68633E}"/>
    <cellStyle name="20% - Accent3 3 3 3" xfId="4939" xr:uid="{00000000-0005-0000-0000-0000AA010000}"/>
    <cellStyle name="20% - Accent3 3 3 3 2" xfId="14265" xr:uid="{FC6FFD28-5ECD-495E-85E2-2AFA5ABA1D6D}"/>
    <cellStyle name="20% - Accent3 3 3 4" xfId="9290" xr:uid="{8511D0A3-BAF4-4D49-BFEA-2ED828678819}"/>
    <cellStyle name="20% - Accent3 3 3 4 2" xfId="18605" xr:uid="{A7B8F026-1D51-481B-B652-AC70DD86CCA2}"/>
    <cellStyle name="20% - Accent3 3 3 5" xfId="10048" xr:uid="{A0BA9905-7832-4B56-88EB-C0C114E9239D}"/>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66C88484-2266-43D7-B9D6-3078C55EC2F6}"/>
    <cellStyle name="20% - Accent3 3 4 2 3" xfId="12606" xr:uid="{ED678512-331F-4BD7-A817-4FB6D924096F}"/>
    <cellStyle name="20% - Accent3 3 4 3" xfId="5352" xr:uid="{00000000-0005-0000-0000-0000AE010000}"/>
    <cellStyle name="20% - Accent3 3 4 3 2" xfId="14678" xr:uid="{1DA60CB9-F4F1-42C3-87BC-8FEE1995160B}"/>
    <cellStyle name="20% - Accent3 3 4 4" xfId="10461" xr:uid="{E16E6172-9095-45C7-9AE3-1576515A44BF}"/>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B4D8DB13-F3D1-4FBD-B34F-A785C55A780D}"/>
    <cellStyle name="20% - Accent3 3 5 2 3" xfId="13019" xr:uid="{4DFBABAF-0E2F-4947-BF88-A60D64D404FC}"/>
    <cellStyle name="20% - Accent3 3 5 3" xfId="5765" xr:uid="{00000000-0005-0000-0000-0000B2010000}"/>
    <cellStyle name="20% - Accent3 3 5 3 2" xfId="15091" xr:uid="{56BEB492-D783-4706-A834-F47852BA246A}"/>
    <cellStyle name="20% - Accent3 3 5 4" xfId="10874" xr:uid="{E0603697-2693-4A61-B026-5F619F6CA2F7}"/>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6E4632F8-6989-40AD-9288-50AFF6FE79A4}"/>
    <cellStyle name="20% - Accent3 3 6 2 3" xfId="13432" xr:uid="{0180FB3C-CF1A-43D4-98F9-F67329ADA2B5}"/>
    <cellStyle name="20% - Accent3 3 6 3" xfId="6178" xr:uid="{00000000-0005-0000-0000-0000B6010000}"/>
    <cellStyle name="20% - Accent3 3 6 3 2" xfId="15504" xr:uid="{50E9597D-F1E9-4EBD-9337-A326E7CE0EA0}"/>
    <cellStyle name="20% - Accent3 3 6 4" xfId="11287" xr:uid="{5CF72EB1-4968-4BD2-A96F-429CAC9C97EE}"/>
    <cellStyle name="20% - Accent3 3 7" xfId="2285" xr:uid="{00000000-0005-0000-0000-0000B7010000}"/>
    <cellStyle name="20% - Accent3 3 7 2" xfId="6591" xr:uid="{00000000-0005-0000-0000-0000B8010000}"/>
    <cellStyle name="20% - Accent3 3 7 2 2" xfId="15917" xr:uid="{FFAFE7AC-A30A-4EC6-A170-B15F0B737BFB}"/>
    <cellStyle name="20% - Accent3 3 7 3" xfId="11700" xr:uid="{C52FC392-F938-43BF-BD87-2ED314BAB487}"/>
    <cellStyle name="20% - Accent3 3 8" xfId="4525" xr:uid="{00000000-0005-0000-0000-0000B9010000}"/>
    <cellStyle name="20% - Accent3 3 8 2" xfId="13851" xr:uid="{D86A73B3-340F-496E-A9FE-E498F09CA4E9}"/>
    <cellStyle name="20% - Accent3 3 9" xfId="8865" xr:uid="{FFA3EBA3-F40D-47A2-8AA1-A3A9E7BB9A8E}"/>
    <cellStyle name="20% - Accent3 3 9 2" xfId="18189" xr:uid="{59044122-8BC3-4451-8B12-0D40019D2D5D}"/>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759139B7-AB9B-4060-9168-98E098FFB102}"/>
    <cellStyle name="20% - Accent3 4 2 2 3" xfId="12195" xr:uid="{EBCC7898-D113-496B-A56D-85BD3CDB9573}"/>
    <cellStyle name="20% - Accent3 4 2 3" xfId="4941" xr:uid="{00000000-0005-0000-0000-0000BE010000}"/>
    <cellStyle name="20% - Accent3 4 2 3 2" xfId="14267" xr:uid="{6B324245-2F12-457C-8FC9-6744170BF72B}"/>
    <cellStyle name="20% - Accent3 4 2 4" xfId="9376" xr:uid="{92AC27CA-0B0B-4AFE-8457-D3F19BE2837F}"/>
    <cellStyle name="20% - Accent3 4 2 4 2" xfId="18691" xr:uid="{7D6F38CF-5FF3-419A-B0A7-1FE789946CD7}"/>
    <cellStyle name="20% - Accent3 4 2 5" xfId="10050" xr:uid="{3BC715FA-B160-4648-AC90-7EDB6A2F6D1D}"/>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ECFA4A7C-C82E-4A2F-A02F-BB44A5345D9A}"/>
    <cellStyle name="20% - Accent3 4 3 2 3" xfId="12608" xr:uid="{323E3E43-BB6A-4E36-8362-3498334A6A8F}"/>
    <cellStyle name="20% - Accent3 4 3 3" xfId="5354" xr:uid="{00000000-0005-0000-0000-0000C2010000}"/>
    <cellStyle name="20% - Accent3 4 3 3 2" xfId="14680" xr:uid="{13F2B790-9077-4F70-AA01-D56A46779C53}"/>
    <cellStyle name="20% - Accent3 4 3 4" xfId="10463" xr:uid="{1E016E89-684C-4083-8AB4-51488F796080}"/>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2C0DF730-2D56-4D6E-836A-D323A4FC1A08}"/>
    <cellStyle name="20% - Accent3 4 4 2 3" xfId="13021" xr:uid="{F3163E42-DE2E-48AD-B6B0-4D40E9C306E0}"/>
    <cellStyle name="20% - Accent3 4 4 3" xfId="5767" xr:uid="{00000000-0005-0000-0000-0000C6010000}"/>
    <cellStyle name="20% - Accent3 4 4 3 2" xfId="15093" xr:uid="{74F29479-F8F1-4D48-97A6-3BC31AE2961F}"/>
    <cellStyle name="20% - Accent3 4 4 4" xfId="10876" xr:uid="{857CEBD8-F67B-4BC1-9B97-41C2FC60CE2C}"/>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9E19D2E3-F992-4175-A8EF-8FDB31D5C651}"/>
    <cellStyle name="20% - Accent3 4 5 2 3" xfId="13434" xr:uid="{C042AD44-1EFB-4B90-9362-A543F9A3222C}"/>
    <cellStyle name="20% - Accent3 4 5 3" xfId="6180" xr:uid="{00000000-0005-0000-0000-0000CA010000}"/>
    <cellStyle name="20% - Accent3 4 5 3 2" xfId="15506" xr:uid="{03A70234-3602-4D46-8BFD-7D4424A1B957}"/>
    <cellStyle name="20% - Accent3 4 5 4" xfId="11289" xr:uid="{18F5966B-9FFA-40BC-8127-9F3C0B5904B6}"/>
    <cellStyle name="20% - Accent3 4 6" xfId="2287" xr:uid="{00000000-0005-0000-0000-0000CB010000}"/>
    <cellStyle name="20% - Accent3 4 6 2" xfId="6593" xr:uid="{00000000-0005-0000-0000-0000CC010000}"/>
    <cellStyle name="20% - Accent3 4 6 2 2" xfId="15919" xr:uid="{311F9FB6-4471-43F8-92BE-16FF0AFEB1A8}"/>
    <cellStyle name="20% - Accent3 4 6 3" xfId="11702" xr:uid="{00C653AF-BF64-40DA-9D01-ED50CA5954E1}"/>
    <cellStyle name="20% - Accent3 4 7" xfId="4527" xr:uid="{00000000-0005-0000-0000-0000CD010000}"/>
    <cellStyle name="20% - Accent3 4 7 2" xfId="13853" xr:uid="{EFDB756B-C8A0-4E3F-9173-05A124D48E08}"/>
    <cellStyle name="20% - Accent3 4 8" xfId="8951" xr:uid="{3CB7770B-4F12-4C44-B65D-06C641FEE851}"/>
    <cellStyle name="20% - Accent3 4 8 2" xfId="18275" xr:uid="{C79065A4-9214-4C38-BEBE-4D684ECDFF18}"/>
    <cellStyle name="20% - Accent3 4 9" xfId="9636" xr:uid="{6C5234D7-8423-47B7-9016-A1A6533EECA6}"/>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37BC7946-F4EC-482F-8A70-008625F79743}"/>
    <cellStyle name="20% - Accent3 5 2 3" xfId="12188" xr:uid="{017182FC-3CA6-49ED-BDA5-83CF7636FEC2}"/>
    <cellStyle name="20% - Accent3 5 3" xfId="4934" xr:uid="{00000000-0005-0000-0000-0000D1010000}"/>
    <cellStyle name="20% - Accent3 5 3 2" xfId="14260" xr:uid="{24203198-30C1-4327-AE6D-7EE33F08A2C6}"/>
    <cellStyle name="20% - Accent3 5 4" xfId="9184" xr:uid="{F51B2D95-9593-4370-A6D2-AFEF087D7920}"/>
    <cellStyle name="20% - Accent3 5 4 2" xfId="18502" xr:uid="{5D8D1595-5544-49B7-B105-1719C55A2C85}"/>
    <cellStyle name="20% - Accent3 5 5" xfId="10043" xr:uid="{0221DE5A-8BF4-4B86-8B0F-85918327CCF8}"/>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5A2FA44F-5854-46E6-9F89-1D676BD186F3}"/>
    <cellStyle name="20% - Accent3 6 2 3" xfId="12601" xr:uid="{15D5CC4A-E151-4ED3-8F2C-4C6128FF6B04}"/>
    <cellStyle name="20% - Accent3 6 3" xfId="5347" xr:uid="{00000000-0005-0000-0000-0000D5010000}"/>
    <cellStyle name="20% - Accent3 6 3 2" xfId="14673" xr:uid="{6C9C746A-5488-4E67-981C-6A92BECC6F95}"/>
    <cellStyle name="20% - Accent3 6 4" xfId="10456" xr:uid="{E4182E9D-72A7-4E7B-B150-6DDCDF4CB540}"/>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7FB493FB-7303-42FF-8664-9D31F4941615}"/>
    <cellStyle name="20% - Accent3 7 2 3" xfId="13014" xr:uid="{6BEC5295-7D0D-40BF-8C26-121DC6187057}"/>
    <cellStyle name="20% - Accent3 7 3" xfId="5760" xr:uid="{00000000-0005-0000-0000-0000D9010000}"/>
    <cellStyle name="20% - Accent3 7 3 2" xfId="15086" xr:uid="{869530E0-B2D5-411B-927C-6D251B4100A5}"/>
    <cellStyle name="20% - Accent3 7 4" xfId="10869" xr:uid="{FC7C0E4E-2CBD-4AE9-ABF3-CED19B9D3C3D}"/>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2D5E9CDA-45FB-4D77-96C9-87BC2E231C2D}"/>
    <cellStyle name="20% - Accent3 8 2 3" xfId="13427" xr:uid="{529E50AE-345F-44BF-A361-19842A3CA244}"/>
    <cellStyle name="20% - Accent3 8 3" xfId="6173" xr:uid="{00000000-0005-0000-0000-0000DD010000}"/>
    <cellStyle name="20% - Accent3 8 3 2" xfId="15499" xr:uid="{9C1E5E69-4B33-408D-B360-29174EF9E27B}"/>
    <cellStyle name="20% - Accent3 8 4" xfId="11282" xr:uid="{2903CE8B-4319-4504-AD59-79ED636A7895}"/>
    <cellStyle name="20% - Accent3 9" xfId="2280" xr:uid="{00000000-0005-0000-0000-0000DE010000}"/>
    <cellStyle name="20% - Accent3 9 2" xfId="6586" xr:uid="{00000000-0005-0000-0000-0000DF010000}"/>
    <cellStyle name="20% - Accent3 9 2 2" xfId="15912" xr:uid="{047F44B4-EF02-4035-9C1A-7860073DE9B4}"/>
    <cellStyle name="20% - Accent3 9 3" xfId="11695" xr:uid="{55B17251-1BCF-4EB0-9E92-E1F35A07C13A}"/>
    <cellStyle name="20% - Accent4" xfId="25" builtinId="42" customBuiltin="1"/>
    <cellStyle name="20% - Accent4 10" xfId="4528" xr:uid="{00000000-0005-0000-0000-0000E1010000}"/>
    <cellStyle name="20% - Accent4 10 2" xfId="13854" xr:uid="{7AAFEB38-7C90-48DE-9731-CC1FCF457BF6}"/>
    <cellStyle name="20% - Accent4 11" xfId="8764" xr:uid="{4A9BF508-806C-496D-AEC5-5842E4A62892}"/>
    <cellStyle name="20% - Accent4 11 2" xfId="18088" xr:uid="{835E82F5-7FAF-47D4-B647-E3BAF7E2584D}"/>
    <cellStyle name="20% - Accent4 12" xfId="9637" xr:uid="{82710783-2AF9-4B1D-B013-E379DC06D660}"/>
    <cellStyle name="20% - Accent4 2" xfId="26" xr:uid="{00000000-0005-0000-0000-0000E2010000}"/>
    <cellStyle name="20% - Accent4 2 10" xfId="8794" xr:uid="{31A2F477-5237-45C2-B43F-25AC049A95FF}"/>
    <cellStyle name="20% - Accent4 2 10 2" xfId="18118" xr:uid="{B73A9442-A83C-44D1-ABE2-C33FA88975FE}"/>
    <cellStyle name="20% - Accent4 2 11" xfId="9638" xr:uid="{DC113B7A-A0AA-4245-94D5-96C4C6297CF6}"/>
    <cellStyle name="20% - Accent4 2 2" xfId="27" xr:uid="{00000000-0005-0000-0000-0000E3010000}"/>
    <cellStyle name="20% - Accent4 2 2 10" xfId="9639" xr:uid="{4B823259-C1C6-45D1-A138-47F013CC775F}"/>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5D5F9710-5954-4B2D-B0FD-3858DF1FE9B4}"/>
    <cellStyle name="20% - Accent4 2 2 2 2 2 3" xfId="12199" xr:uid="{6BFF661C-BA86-4940-A427-7E81B68008A5}"/>
    <cellStyle name="20% - Accent4 2 2 2 2 3" xfId="4945" xr:uid="{00000000-0005-0000-0000-0000E8010000}"/>
    <cellStyle name="20% - Accent4 2 2 2 2 3 2" xfId="14271" xr:uid="{1A933C23-5721-4C72-AE3A-6AB49AB3A7B5}"/>
    <cellStyle name="20% - Accent4 2 2 2 2 4" xfId="9529" xr:uid="{0C40CE19-1873-4316-818D-CC943AAFBB7B}"/>
    <cellStyle name="20% - Accent4 2 2 2 2 4 2" xfId="18844" xr:uid="{D5602753-3D6E-41D4-A4D9-1799A78E963C}"/>
    <cellStyle name="20% - Accent4 2 2 2 2 5" xfId="10054" xr:uid="{676FA1A9-9C8E-49A3-ABF5-0687B632F76F}"/>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7E5AF914-9D6E-4D19-87B3-59B26E1A42C3}"/>
    <cellStyle name="20% - Accent4 2 2 2 3 2 3" xfId="12612" xr:uid="{D47A245C-E2B8-4BED-A883-AF905D30FDA8}"/>
    <cellStyle name="20% - Accent4 2 2 2 3 3" xfId="5358" xr:uid="{00000000-0005-0000-0000-0000EC010000}"/>
    <cellStyle name="20% - Accent4 2 2 2 3 3 2" xfId="14684" xr:uid="{D00A6CEB-7DF7-4344-9C54-93169794C934}"/>
    <cellStyle name="20% - Accent4 2 2 2 3 4" xfId="10467" xr:uid="{64EC2995-2F4E-4AD7-A2E5-D34703A634F5}"/>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CE97FA8B-93BB-4CC5-AFBD-0ABBF4A559A3}"/>
    <cellStyle name="20% - Accent4 2 2 2 4 2 3" xfId="13025" xr:uid="{87011E6E-B004-40A8-B60A-0CB78F16BD7C}"/>
    <cellStyle name="20% - Accent4 2 2 2 4 3" xfId="5771" xr:uid="{00000000-0005-0000-0000-0000F0010000}"/>
    <cellStyle name="20% - Accent4 2 2 2 4 3 2" xfId="15097" xr:uid="{AEFF5F6C-9AA9-46A0-B414-887D635CFA7D}"/>
    <cellStyle name="20% - Accent4 2 2 2 4 4" xfId="10880" xr:uid="{120B6A33-57C9-406A-B2B8-28044763CFB8}"/>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2AFFA729-40D6-40C9-88DB-BE4BB8E0E0AD}"/>
    <cellStyle name="20% - Accent4 2 2 2 5 2 3" xfId="13438" xr:uid="{2627CA9C-C7B1-4B60-922F-81F399EE02D0}"/>
    <cellStyle name="20% - Accent4 2 2 2 5 3" xfId="6184" xr:uid="{00000000-0005-0000-0000-0000F4010000}"/>
    <cellStyle name="20% - Accent4 2 2 2 5 3 2" xfId="15510" xr:uid="{CD85A5D7-F653-437A-AF0F-2F2B19B3C05B}"/>
    <cellStyle name="20% - Accent4 2 2 2 5 4" xfId="11293" xr:uid="{397ACFCB-C2E5-4010-AE6B-895B871029DE}"/>
    <cellStyle name="20% - Accent4 2 2 2 6" xfId="2291" xr:uid="{00000000-0005-0000-0000-0000F5010000}"/>
    <cellStyle name="20% - Accent4 2 2 2 6 2" xfId="6597" xr:uid="{00000000-0005-0000-0000-0000F6010000}"/>
    <cellStyle name="20% - Accent4 2 2 2 6 2 2" xfId="15923" xr:uid="{7CFA2EAD-CFF6-473C-B2C4-D0B479F23E3A}"/>
    <cellStyle name="20% - Accent4 2 2 2 6 3" xfId="11706" xr:uid="{CDD4BEBC-DB79-4F4C-82B1-E0B7F4A23A11}"/>
    <cellStyle name="20% - Accent4 2 2 2 7" xfId="4531" xr:uid="{00000000-0005-0000-0000-0000F7010000}"/>
    <cellStyle name="20% - Accent4 2 2 2 7 2" xfId="13857" xr:uid="{821AEAD0-E30F-491D-A405-39004E50C0A0}"/>
    <cellStyle name="20% - Accent4 2 2 2 8" xfId="9104" xr:uid="{526BE306-22BA-4A85-81B2-34AEB56F0D90}"/>
    <cellStyle name="20% - Accent4 2 2 2 8 2" xfId="18428" xr:uid="{59E96A90-9687-41FE-82FA-D9C39D613564}"/>
    <cellStyle name="20% - Accent4 2 2 2 9" xfId="9640" xr:uid="{7C3BF690-CB82-49E8-A0DC-AFBCAD372827}"/>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2D263DEE-FD3C-4A04-A93B-F4149CCD4559}"/>
    <cellStyle name="20% - Accent4 2 2 3 2 3" xfId="12198" xr:uid="{D7A45718-7247-498F-A562-B1AC6F8A14FD}"/>
    <cellStyle name="20% - Accent4 2 2 3 3" xfId="4944" xr:uid="{00000000-0005-0000-0000-0000FB010000}"/>
    <cellStyle name="20% - Accent4 2 2 3 3 2" xfId="14270" xr:uid="{E0E1F677-F54E-4825-9A58-9DB502B574BB}"/>
    <cellStyle name="20% - Accent4 2 2 3 4" xfId="9322" xr:uid="{003BBE99-27AA-4036-A373-4475953A88F4}"/>
    <cellStyle name="20% - Accent4 2 2 3 4 2" xfId="18637" xr:uid="{81398DA0-8ED7-4803-9760-8D48F06C4CD6}"/>
    <cellStyle name="20% - Accent4 2 2 3 5" xfId="10053" xr:uid="{3696A1E2-2B69-4C12-8A9E-30ECD4E97582}"/>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B1E18138-B57A-4EAC-B842-3A2810522119}"/>
    <cellStyle name="20% - Accent4 2 2 4 2 3" xfId="12611" xr:uid="{762C2AA2-83AD-4B9B-A0CE-1007E17781DC}"/>
    <cellStyle name="20% - Accent4 2 2 4 3" xfId="5357" xr:uid="{00000000-0005-0000-0000-0000FF010000}"/>
    <cellStyle name="20% - Accent4 2 2 4 3 2" xfId="14683" xr:uid="{41613A7D-D635-4DAD-B12E-D9BCFC056C83}"/>
    <cellStyle name="20% - Accent4 2 2 4 4" xfId="10466" xr:uid="{26DD13A3-F628-46BF-9DE6-65E62507B466}"/>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60EE2583-51A3-4556-BBCB-80A620DB6A6C}"/>
    <cellStyle name="20% - Accent4 2 2 5 2 3" xfId="13024" xr:uid="{F543A8D6-2350-404C-B554-23D6A9B8EEC7}"/>
    <cellStyle name="20% - Accent4 2 2 5 3" xfId="5770" xr:uid="{00000000-0005-0000-0000-000003020000}"/>
    <cellStyle name="20% - Accent4 2 2 5 3 2" xfId="15096" xr:uid="{85B7835D-2993-4CAF-82C3-00E13B464121}"/>
    <cellStyle name="20% - Accent4 2 2 5 4" xfId="10879" xr:uid="{970DB251-592D-43FF-AB2B-5024CA25A868}"/>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CDD0EC62-4F7F-4516-AA90-658F8C3EE2C6}"/>
    <cellStyle name="20% - Accent4 2 2 6 2 3" xfId="13437" xr:uid="{E8512A07-D045-42E1-9594-38A78A48D26D}"/>
    <cellStyle name="20% - Accent4 2 2 6 3" xfId="6183" xr:uid="{00000000-0005-0000-0000-000007020000}"/>
    <cellStyle name="20% - Accent4 2 2 6 3 2" xfId="15509" xr:uid="{13E3C6B4-34E1-4389-B766-33AFC6D2F79F}"/>
    <cellStyle name="20% - Accent4 2 2 6 4" xfId="11292" xr:uid="{B843878B-F5E1-4423-92DF-3D98097E5B87}"/>
    <cellStyle name="20% - Accent4 2 2 7" xfId="2290" xr:uid="{00000000-0005-0000-0000-000008020000}"/>
    <cellStyle name="20% - Accent4 2 2 7 2" xfId="6596" xr:uid="{00000000-0005-0000-0000-000009020000}"/>
    <cellStyle name="20% - Accent4 2 2 7 2 2" xfId="15922" xr:uid="{4C0D2EC6-01EF-4C67-969D-9E5E06EE6A38}"/>
    <cellStyle name="20% - Accent4 2 2 7 3" xfId="11705" xr:uid="{E7AA2512-4F73-43D1-925A-D401DCB80765}"/>
    <cellStyle name="20% - Accent4 2 2 8" xfId="4530" xr:uid="{00000000-0005-0000-0000-00000A020000}"/>
    <cellStyle name="20% - Accent4 2 2 8 2" xfId="13856" xr:uid="{87E77556-7442-4698-8B3C-0832BDF5D7C6}"/>
    <cellStyle name="20% - Accent4 2 2 9" xfId="8897" xr:uid="{3A58A73C-0193-4EAC-8E12-5BF8743CE9BA}"/>
    <cellStyle name="20% - Accent4 2 2 9 2" xfId="18221" xr:uid="{DFBA4C83-AB77-468A-820E-2B446482AD84}"/>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13A9FB7D-C68A-4187-9181-6BF926F766CC}"/>
    <cellStyle name="20% - Accent4 2 3 2 2 3" xfId="12200" xr:uid="{B35B1805-CB81-4C31-AA95-E08E3C0BC394}"/>
    <cellStyle name="20% - Accent4 2 3 2 3" xfId="4946" xr:uid="{00000000-0005-0000-0000-00000F020000}"/>
    <cellStyle name="20% - Accent4 2 3 2 3 2" xfId="14272" xr:uid="{A008FDCD-0EC2-433C-BB85-3C565EEAA797}"/>
    <cellStyle name="20% - Accent4 2 3 2 4" xfId="9426" xr:uid="{5B247D51-FBFD-4799-8395-E3F1C04297B8}"/>
    <cellStyle name="20% - Accent4 2 3 2 4 2" xfId="18741" xr:uid="{8A831207-FB74-45D2-AE9D-DD3D9239EEFC}"/>
    <cellStyle name="20% - Accent4 2 3 2 5" xfId="10055" xr:uid="{BE72A2F8-276B-43F7-8BB6-25B08AF0237B}"/>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EB88C7DE-F701-457F-AFFA-6E8A6BFCCF59}"/>
    <cellStyle name="20% - Accent4 2 3 3 2 3" xfId="12613" xr:uid="{EB23F466-C2B7-49DA-BFD0-2BA8C8F28199}"/>
    <cellStyle name="20% - Accent4 2 3 3 3" xfId="5359" xr:uid="{00000000-0005-0000-0000-000013020000}"/>
    <cellStyle name="20% - Accent4 2 3 3 3 2" xfId="14685" xr:uid="{AEA582C5-5CC7-42BE-A193-111EB9A29AA1}"/>
    <cellStyle name="20% - Accent4 2 3 3 4" xfId="10468" xr:uid="{083AF713-E3AC-4906-AC4D-23790BC35968}"/>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D5DFA036-00B8-4ED0-BB64-BFE134FF2BB4}"/>
    <cellStyle name="20% - Accent4 2 3 4 2 3" xfId="13026" xr:uid="{8E872B8F-712A-4480-B57D-BC3F2A49DAD9}"/>
    <cellStyle name="20% - Accent4 2 3 4 3" xfId="5772" xr:uid="{00000000-0005-0000-0000-000017020000}"/>
    <cellStyle name="20% - Accent4 2 3 4 3 2" xfId="15098" xr:uid="{0123ECF2-AA6C-481D-AE2E-A4F0DBB757A1}"/>
    <cellStyle name="20% - Accent4 2 3 4 4" xfId="10881" xr:uid="{AA66F0EE-0E8E-40E0-AC3E-B1B3FF5497AC}"/>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A365DFF2-5830-4D47-9A3F-FF77A92DFE25}"/>
    <cellStyle name="20% - Accent4 2 3 5 2 3" xfId="13439" xr:uid="{2D408709-A737-4ED9-B420-8E114AB77CC5}"/>
    <cellStyle name="20% - Accent4 2 3 5 3" xfId="6185" xr:uid="{00000000-0005-0000-0000-00001B020000}"/>
    <cellStyle name="20% - Accent4 2 3 5 3 2" xfId="15511" xr:uid="{DA8B1D75-970B-439C-8C19-152F5CC72CAC}"/>
    <cellStyle name="20% - Accent4 2 3 5 4" xfId="11294" xr:uid="{A7ACAD71-59D6-4CB6-A17A-29C2126FB846}"/>
    <cellStyle name="20% - Accent4 2 3 6" xfId="2292" xr:uid="{00000000-0005-0000-0000-00001C020000}"/>
    <cellStyle name="20% - Accent4 2 3 6 2" xfId="6598" xr:uid="{00000000-0005-0000-0000-00001D020000}"/>
    <cellStyle name="20% - Accent4 2 3 6 2 2" xfId="15924" xr:uid="{E29AE794-EB4C-42E5-B445-D5C10F4F3ABE}"/>
    <cellStyle name="20% - Accent4 2 3 6 3" xfId="11707" xr:uid="{C1C5674B-E396-4E39-A9E1-594DD748AF2C}"/>
    <cellStyle name="20% - Accent4 2 3 7" xfId="4532" xr:uid="{00000000-0005-0000-0000-00001E020000}"/>
    <cellStyle name="20% - Accent4 2 3 7 2" xfId="13858" xr:uid="{A57DA4E4-A091-4FBE-918F-D7A32DBAD328}"/>
    <cellStyle name="20% - Accent4 2 3 8" xfId="9001" xr:uid="{B9DE6BBA-06E2-4FC8-B645-F20E60244072}"/>
    <cellStyle name="20% - Accent4 2 3 8 2" xfId="18325" xr:uid="{97BFC238-FCA2-4960-95A1-DB3D49AC9249}"/>
    <cellStyle name="20% - Accent4 2 3 9" xfId="9641" xr:uid="{6B706C08-1F34-4016-8222-9356300FC205}"/>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69AC01CA-A8C2-43E4-AD45-366D64917F4E}"/>
    <cellStyle name="20% - Accent4 2 4 2 3" xfId="12197" xr:uid="{6B77119D-92AF-424E-BC27-CF7358A009C6}"/>
    <cellStyle name="20% - Accent4 2 4 3" xfId="4943" xr:uid="{00000000-0005-0000-0000-000022020000}"/>
    <cellStyle name="20% - Accent4 2 4 3 2" xfId="14269" xr:uid="{44A8CC6B-70C2-42FD-B1B0-BE22CCF85D77}"/>
    <cellStyle name="20% - Accent4 2 4 4" xfId="9218" xr:uid="{EEA9CEE5-7B27-41EB-B571-13D0ADC44445}"/>
    <cellStyle name="20% - Accent4 2 4 4 2" xfId="18534" xr:uid="{C71087A1-B8F6-4511-82DD-97CB57D8CEF5}"/>
    <cellStyle name="20% - Accent4 2 4 5" xfId="10052" xr:uid="{7B9680E3-51A8-43D1-9AB5-5BCC2C0FCB56}"/>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3A57D17E-697A-4D23-81F0-8A651E32B34D}"/>
    <cellStyle name="20% - Accent4 2 5 2 3" xfId="12610" xr:uid="{0AE989EF-5C58-4F61-859E-B14FDA922BBA}"/>
    <cellStyle name="20% - Accent4 2 5 3" xfId="5356" xr:uid="{00000000-0005-0000-0000-000026020000}"/>
    <cellStyle name="20% - Accent4 2 5 3 2" xfId="14682" xr:uid="{3AB486CD-5810-4BA4-9236-AFED38CEE115}"/>
    <cellStyle name="20% - Accent4 2 5 4" xfId="10465" xr:uid="{0D511908-16F7-4C2E-9A99-D2F353BCE03A}"/>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B47CE481-360C-4EC1-836C-D06BF453DCAC}"/>
    <cellStyle name="20% - Accent4 2 6 2 3" xfId="13023" xr:uid="{EC93D1F1-D618-4CCE-A9B6-A24178030280}"/>
    <cellStyle name="20% - Accent4 2 6 3" xfId="5769" xr:uid="{00000000-0005-0000-0000-00002A020000}"/>
    <cellStyle name="20% - Accent4 2 6 3 2" xfId="15095" xr:uid="{B1C2F86F-5C75-454E-A914-302D30459676}"/>
    <cellStyle name="20% - Accent4 2 6 4" xfId="10878" xr:uid="{7F4D5BFD-371D-4762-A00C-7A5F49D47C1D}"/>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AB07DEC0-310B-43BF-9343-3FF5A38E4980}"/>
    <cellStyle name="20% - Accent4 2 7 2 3" xfId="13436" xr:uid="{60BDF0E2-22FA-49E0-82FE-617D39137F22}"/>
    <cellStyle name="20% - Accent4 2 7 3" xfId="6182" xr:uid="{00000000-0005-0000-0000-00002E020000}"/>
    <cellStyle name="20% - Accent4 2 7 3 2" xfId="15508" xr:uid="{57610AF8-6270-4F2A-B219-44175A802DF9}"/>
    <cellStyle name="20% - Accent4 2 7 4" xfId="11291" xr:uid="{0F678B43-B0BC-4A66-8C6E-6108EE9FFE9D}"/>
    <cellStyle name="20% - Accent4 2 8" xfId="2289" xr:uid="{00000000-0005-0000-0000-00002F020000}"/>
    <cellStyle name="20% - Accent4 2 8 2" xfId="6595" xr:uid="{00000000-0005-0000-0000-000030020000}"/>
    <cellStyle name="20% - Accent4 2 8 2 2" xfId="15921" xr:uid="{B5590083-EAA0-4D1E-BEBB-E44D2117CCB0}"/>
    <cellStyle name="20% - Accent4 2 8 3" xfId="11704" xr:uid="{9A08B2AB-97C2-4B6C-8933-C69FE5369F4C}"/>
    <cellStyle name="20% - Accent4 2 9" xfId="4529" xr:uid="{00000000-0005-0000-0000-000031020000}"/>
    <cellStyle name="20% - Accent4 2 9 2" xfId="13855" xr:uid="{9EA0D0C9-A229-421D-A26F-7B5223DF0B48}"/>
    <cellStyle name="20% - Accent4 3" xfId="30" xr:uid="{00000000-0005-0000-0000-000032020000}"/>
    <cellStyle name="20% - Accent4 3 10" xfId="9642" xr:uid="{D01504A1-39A1-4E7A-8EA1-5A8E99EA0A94}"/>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84BD036E-5463-4072-950F-1EF374FFF334}"/>
    <cellStyle name="20% - Accent4 3 2 2 2 3" xfId="12202" xr:uid="{8CB10629-A93A-4B34-8A6F-31F030DB8757}"/>
    <cellStyle name="20% - Accent4 3 2 2 3" xfId="4948" xr:uid="{00000000-0005-0000-0000-000037020000}"/>
    <cellStyle name="20% - Accent4 3 2 2 3 2" xfId="14274" xr:uid="{42E70305-3741-457F-B71E-9645C7020091}"/>
    <cellStyle name="20% - Accent4 3 2 2 4" xfId="9499" xr:uid="{019308F4-938B-408B-A627-483AF94276A0}"/>
    <cellStyle name="20% - Accent4 3 2 2 4 2" xfId="18814" xr:uid="{C96CE1EA-7BB8-489A-A27D-710E295B1771}"/>
    <cellStyle name="20% - Accent4 3 2 2 5" xfId="10057" xr:uid="{1EF32B02-E9A4-45D7-B116-15C8142FE13A}"/>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37025B4E-34F0-48D6-AD6C-63EFAE4F2D73}"/>
    <cellStyle name="20% - Accent4 3 2 3 2 3" xfId="12615" xr:uid="{437309F5-EA6C-4E3E-81A4-00939B3589B0}"/>
    <cellStyle name="20% - Accent4 3 2 3 3" xfId="5361" xr:uid="{00000000-0005-0000-0000-00003B020000}"/>
    <cellStyle name="20% - Accent4 3 2 3 3 2" xfId="14687" xr:uid="{5E1082CD-F0CD-47EB-980E-1F0D35C692A0}"/>
    <cellStyle name="20% - Accent4 3 2 3 4" xfId="10470" xr:uid="{ABDB4B9E-8651-4EB3-B5CE-0367BF18B252}"/>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82490C7C-1607-40E9-8BD9-825294C751D5}"/>
    <cellStyle name="20% - Accent4 3 2 4 2 3" xfId="13028" xr:uid="{D7E9827F-6122-46DA-9F85-575DC442E1F2}"/>
    <cellStyle name="20% - Accent4 3 2 4 3" xfId="5774" xr:uid="{00000000-0005-0000-0000-00003F020000}"/>
    <cellStyle name="20% - Accent4 3 2 4 3 2" xfId="15100" xr:uid="{7CEECE4B-A418-4605-99B1-A7155A974CA8}"/>
    <cellStyle name="20% - Accent4 3 2 4 4" xfId="10883" xr:uid="{00747224-F856-415A-B250-0D707EF663A8}"/>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055BA53C-7028-423A-9D1D-BFDDCC01F959}"/>
    <cellStyle name="20% - Accent4 3 2 5 2 3" xfId="13441" xr:uid="{8D202243-3C72-47D2-AB3E-5BFF0CA56E23}"/>
    <cellStyle name="20% - Accent4 3 2 5 3" xfId="6187" xr:uid="{00000000-0005-0000-0000-000043020000}"/>
    <cellStyle name="20% - Accent4 3 2 5 3 2" xfId="15513" xr:uid="{66B99D0F-248C-4C68-BBBF-A0858005BB5A}"/>
    <cellStyle name="20% - Accent4 3 2 5 4" xfId="11296" xr:uid="{BDE7E084-6E27-4517-BBDC-30C5E7D2C4A0}"/>
    <cellStyle name="20% - Accent4 3 2 6" xfId="2294" xr:uid="{00000000-0005-0000-0000-000044020000}"/>
    <cellStyle name="20% - Accent4 3 2 6 2" xfId="6600" xr:uid="{00000000-0005-0000-0000-000045020000}"/>
    <cellStyle name="20% - Accent4 3 2 6 2 2" xfId="15926" xr:uid="{0D67D14C-8FC9-46EE-A8DD-737B60A3BA5B}"/>
    <cellStyle name="20% - Accent4 3 2 6 3" xfId="11709" xr:uid="{34BDCD7D-3D6F-40F9-8780-AD6CD38F2926}"/>
    <cellStyle name="20% - Accent4 3 2 7" xfId="4534" xr:uid="{00000000-0005-0000-0000-000046020000}"/>
    <cellStyle name="20% - Accent4 3 2 7 2" xfId="13860" xr:uid="{EFC21915-81DA-41EE-A5B0-9E68CFBA7A56}"/>
    <cellStyle name="20% - Accent4 3 2 8" xfId="9074" xr:uid="{BA25EAA8-2B5F-4309-91A3-FC61FCEF209C}"/>
    <cellStyle name="20% - Accent4 3 2 8 2" xfId="18398" xr:uid="{F197E138-51DA-449F-9252-34B16B0EC386}"/>
    <cellStyle name="20% - Accent4 3 2 9" xfId="9643" xr:uid="{12E0B9DF-5603-4547-A7B1-54DD894615E9}"/>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C70EBD50-420E-443D-87D4-C6D001E8BC6D}"/>
    <cellStyle name="20% - Accent4 3 3 2 3" xfId="12201" xr:uid="{DB2AE0AF-B6EC-4C00-9AE1-C35A00FAB80E}"/>
    <cellStyle name="20% - Accent4 3 3 3" xfId="4947" xr:uid="{00000000-0005-0000-0000-00004A020000}"/>
    <cellStyle name="20% - Accent4 3 3 3 2" xfId="14273" xr:uid="{FC104E56-73A5-40A4-9BC0-D62AA7744327}"/>
    <cellStyle name="20% - Accent4 3 3 4" xfId="9292" xr:uid="{E33AB5E9-A8F9-45CB-AD95-0E461E901C30}"/>
    <cellStyle name="20% - Accent4 3 3 4 2" xfId="18607" xr:uid="{06F67181-BE6A-450B-A34D-DA0A2BFCAB01}"/>
    <cellStyle name="20% - Accent4 3 3 5" xfId="10056" xr:uid="{7A0F1EFC-524B-4835-8CC8-B75099492107}"/>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F1703374-C092-4A0A-96D4-8D3D58F155EA}"/>
    <cellStyle name="20% - Accent4 3 4 2 3" xfId="12614" xr:uid="{D31445E9-72DB-44CD-A30D-EE70E92C2CAF}"/>
    <cellStyle name="20% - Accent4 3 4 3" xfId="5360" xr:uid="{00000000-0005-0000-0000-00004E020000}"/>
    <cellStyle name="20% - Accent4 3 4 3 2" xfId="14686" xr:uid="{5A832C52-56D2-48D6-88EE-9C64FC690896}"/>
    <cellStyle name="20% - Accent4 3 4 4" xfId="10469" xr:uid="{8511BA10-B60B-4D08-A315-841B7BDDEA8B}"/>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3A97F54A-0965-44D8-B425-4028FCD78D88}"/>
    <cellStyle name="20% - Accent4 3 5 2 3" xfId="13027" xr:uid="{9B0AF153-A9DF-4968-A1B3-080B14B55931}"/>
    <cellStyle name="20% - Accent4 3 5 3" xfId="5773" xr:uid="{00000000-0005-0000-0000-000052020000}"/>
    <cellStyle name="20% - Accent4 3 5 3 2" xfId="15099" xr:uid="{B4C6B954-7832-42E9-BC02-CDBD98C435CC}"/>
    <cellStyle name="20% - Accent4 3 5 4" xfId="10882" xr:uid="{511CB1A3-4158-44A0-8B07-A84329EA644C}"/>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7D4B0D22-726D-429D-9AAE-DDE2F2CA0EC6}"/>
    <cellStyle name="20% - Accent4 3 6 2 3" xfId="13440" xr:uid="{56F862C5-4990-4B4E-B527-2A0A13358B93}"/>
    <cellStyle name="20% - Accent4 3 6 3" xfId="6186" xr:uid="{00000000-0005-0000-0000-000056020000}"/>
    <cellStyle name="20% - Accent4 3 6 3 2" xfId="15512" xr:uid="{72F25291-D850-4B02-8183-3F127D796FBB}"/>
    <cellStyle name="20% - Accent4 3 6 4" xfId="11295" xr:uid="{C037583C-ACF7-4D59-A048-2274DCE743EB}"/>
    <cellStyle name="20% - Accent4 3 7" xfId="2293" xr:uid="{00000000-0005-0000-0000-000057020000}"/>
    <cellStyle name="20% - Accent4 3 7 2" xfId="6599" xr:uid="{00000000-0005-0000-0000-000058020000}"/>
    <cellStyle name="20% - Accent4 3 7 2 2" xfId="15925" xr:uid="{6CE1FFF8-0934-46AC-8B4A-77AB285893DB}"/>
    <cellStyle name="20% - Accent4 3 7 3" xfId="11708" xr:uid="{7DE4EDC6-9D7C-4D80-A419-00913CAC5D01}"/>
    <cellStyle name="20% - Accent4 3 8" xfId="4533" xr:uid="{00000000-0005-0000-0000-000059020000}"/>
    <cellStyle name="20% - Accent4 3 8 2" xfId="13859" xr:uid="{4444D104-A0C0-48B2-8C53-C8FB3E61C61E}"/>
    <cellStyle name="20% - Accent4 3 9" xfId="8867" xr:uid="{27FB4CEF-7F56-4AEC-B5AC-6B6A1477FBD8}"/>
    <cellStyle name="20% - Accent4 3 9 2" xfId="18191" xr:uid="{7F0EB090-5CF7-48D7-A380-F601A55AD7E3}"/>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CF145E83-DB5A-4597-93FF-DDB68A7F0029}"/>
    <cellStyle name="20% - Accent4 4 2 2 3" xfId="12203" xr:uid="{B3D2141E-1F8D-49BB-93D1-75C3A2042D2C}"/>
    <cellStyle name="20% - Accent4 4 2 3" xfId="4949" xr:uid="{00000000-0005-0000-0000-00005E020000}"/>
    <cellStyle name="20% - Accent4 4 2 3 2" xfId="14275" xr:uid="{75782E19-DC38-43C3-8396-FBA185DA8CBC}"/>
    <cellStyle name="20% - Accent4 4 2 4" xfId="9378" xr:uid="{761B3D4A-2751-4646-8A50-05A0DD408525}"/>
    <cellStyle name="20% - Accent4 4 2 4 2" xfId="18693" xr:uid="{A1B7A335-3F37-4643-A566-6D193A76CFB7}"/>
    <cellStyle name="20% - Accent4 4 2 5" xfId="10058" xr:uid="{BD503AA0-FC0F-4D6B-BB36-4F9D1AA67DE8}"/>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D9964351-A42D-4B0B-8ECC-495EB3D6F0E6}"/>
    <cellStyle name="20% - Accent4 4 3 2 3" xfId="12616" xr:uid="{DA590C35-C534-46E6-8AC5-700F499F1683}"/>
    <cellStyle name="20% - Accent4 4 3 3" xfId="5362" xr:uid="{00000000-0005-0000-0000-000062020000}"/>
    <cellStyle name="20% - Accent4 4 3 3 2" xfId="14688" xr:uid="{49162048-699D-48B7-A3A5-301FC945D400}"/>
    <cellStyle name="20% - Accent4 4 3 4" xfId="10471" xr:uid="{16ED8E21-C553-4097-BAB9-AB47142142C2}"/>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006D99DC-C130-4D22-832C-B57B68DD3235}"/>
    <cellStyle name="20% - Accent4 4 4 2 3" xfId="13029" xr:uid="{1B2AC084-6B26-4946-91E0-4AF57782F71D}"/>
    <cellStyle name="20% - Accent4 4 4 3" xfId="5775" xr:uid="{00000000-0005-0000-0000-000066020000}"/>
    <cellStyle name="20% - Accent4 4 4 3 2" xfId="15101" xr:uid="{519DD5FC-DB9D-4A71-B905-345DEC9D004A}"/>
    <cellStyle name="20% - Accent4 4 4 4" xfId="10884" xr:uid="{A52DADC5-34B5-4DB3-8765-493FDAD1C1B2}"/>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4D857F37-4D38-4257-A63E-84C267B09398}"/>
    <cellStyle name="20% - Accent4 4 5 2 3" xfId="13442" xr:uid="{183701A8-5A19-4DD7-9730-A58CF733875C}"/>
    <cellStyle name="20% - Accent4 4 5 3" xfId="6188" xr:uid="{00000000-0005-0000-0000-00006A020000}"/>
    <cellStyle name="20% - Accent4 4 5 3 2" xfId="15514" xr:uid="{3BFF424D-89C6-45D3-8972-77C6D8EDBC32}"/>
    <cellStyle name="20% - Accent4 4 5 4" xfId="11297" xr:uid="{ABF8532E-D3B8-4A55-8631-1C29D429F5E6}"/>
    <cellStyle name="20% - Accent4 4 6" xfId="2295" xr:uid="{00000000-0005-0000-0000-00006B020000}"/>
    <cellStyle name="20% - Accent4 4 6 2" xfId="6601" xr:uid="{00000000-0005-0000-0000-00006C020000}"/>
    <cellStyle name="20% - Accent4 4 6 2 2" xfId="15927" xr:uid="{31014CEF-0F6F-4145-A904-8B2F02636A91}"/>
    <cellStyle name="20% - Accent4 4 6 3" xfId="11710" xr:uid="{490932DD-CB40-49B6-B3EB-0CBF74C141A2}"/>
    <cellStyle name="20% - Accent4 4 7" xfId="4535" xr:uid="{00000000-0005-0000-0000-00006D020000}"/>
    <cellStyle name="20% - Accent4 4 7 2" xfId="13861" xr:uid="{7A0960C4-CAF9-495D-92D1-833D7D46B15E}"/>
    <cellStyle name="20% - Accent4 4 8" xfId="8953" xr:uid="{66D1590A-BB3A-4B79-BA94-169F97E79370}"/>
    <cellStyle name="20% - Accent4 4 8 2" xfId="18277" xr:uid="{08E3C1D3-3D55-418B-8F96-E9E0C140FA62}"/>
    <cellStyle name="20% - Accent4 4 9" xfId="9644" xr:uid="{4D227236-A4AF-4C79-B6D8-8B8A5748E627}"/>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9DCA0296-0C44-43C3-8524-25442F0CC1C5}"/>
    <cellStyle name="20% - Accent4 5 2 3" xfId="12196" xr:uid="{C38357C5-CB3E-449C-A7C3-4149CE6834BF}"/>
    <cellStyle name="20% - Accent4 5 3" xfId="4942" xr:uid="{00000000-0005-0000-0000-000071020000}"/>
    <cellStyle name="20% - Accent4 5 3 2" xfId="14268" xr:uid="{3DC015CC-6E27-44DD-AF6F-8F02F022B503}"/>
    <cellStyle name="20% - Accent4 5 4" xfId="9186" xr:uid="{E62ED282-F767-404B-ADA1-4F8E5B4D01EB}"/>
    <cellStyle name="20% - Accent4 5 4 2" xfId="18504" xr:uid="{B15468FA-8282-4BA2-9E5C-8948BA3620DC}"/>
    <cellStyle name="20% - Accent4 5 5" xfId="10051" xr:uid="{BDABA16A-A2E4-479D-B9BD-92BA09E6B890}"/>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BD7D6A04-57C9-422F-A0AE-E857446BE466}"/>
    <cellStyle name="20% - Accent4 6 2 3" xfId="12609" xr:uid="{9506C0C8-9E92-4900-8370-52AC615962F2}"/>
    <cellStyle name="20% - Accent4 6 3" xfId="5355" xr:uid="{00000000-0005-0000-0000-000075020000}"/>
    <cellStyle name="20% - Accent4 6 3 2" xfId="14681" xr:uid="{63280704-4128-4F58-AC66-81AE20640600}"/>
    <cellStyle name="20% - Accent4 6 4" xfId="10464" xr:uid="{89709DB5-920C-462E-8374-3E3FFBB99844}"/>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DD148266-21F2-43B3-A422-10FCB0F73AF9}"/>
    <cellStyle name="20% - Accent4 7 2 3" xfId="13022" xr:uid="{CE0902BB-A468-4F0A-A2E9-0FCE46F66716}"/>
    <cellStyle name="20% - Accent4 7 3" xfId="5768" xr:uid="{00000000-0005-0000-0000-000079020000}"/>
    <cellStyle name="20% - Accent4 7 3 2" xfId="15094" xr:uid="{7A119B26-B851-40CD-AE53-47185611B87A}"/>
    <cellStyle name="20% - Accent4 7 4" xfId="10877" xr:uid="{7E1EFC48-2A33-44AA-9C4D-F62D93CE16AB}"/>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4E1BE022-C453-4ABE-97B8-9944A12EF3EF}"/>
    <cellStyle name="20% - Accent4 8 2 3" xfId="13435" xr:uid="{4124368C-9F33-4D24-96AD-251E3DB49B37}"/>
    <cellStyle name="20% - Accent4 8 3" xfId="6181" xr:uid="{00000000-0005-0000-0000-00007D020000}"/>
    <cellStyle name="20% - Accent4 8 3 2" xfId="15507" xr:uid="{E56F3988-EF58-4BB5-B035-18C2BBB9F135}"/>
    <cellStyle name="20% - Accent4 8 4" xfId="11290" xr:uid="{2D38DE34-EBD7-4D31-A021-BB1564A99FD8}"/>
    <cellStyle name="20% - Accent4 9" xfId="2288" xr:uid="{00000000-0005-0000-0000-00007E020000}"/>
    <cellStyle name="20% - Accent4 9 2" xfId="6594" xr:uid="{00000000-0005-0000-0000-00007F020000}"/>
    <cellStyle name="20% - Accent4 9 2 2" xfId="15920" xr:uid="{202B3B71-44C1-48E7-B2D6-7088B2E2D460}"/>
    <cellStyle name="20% - Accent4 9 3" xfId="11703" xr:uid="{F2037E23-C43B-4BB0-BB3F-D314A6C02A18}"/>
    <cellStyle name="20% - Accent5" xfId="33" builtinId="46" customBuiltin="1"/>
    <cellStyle name="20% - Accent5 10" xfId="4536" xr:uid="{00000000-0005-0000-0000-000081020000}"/>
    <cellStyle name="20% - Accent5 10 2" xfId="13862" xr:uid="{317AF61C-7922-4AE4-8CBA-27B78A320F34}"/>
    <cellStyle name="20% - Accent5 11" xfId="8766" xr:uid="{A87C980D-48BC-4AA3-98F7-53B2F02F228C}"/>
    <cellStyle name="20% - Accent5 11 2" xfId="18090" xr:uid="{9F65B38D-C274-4E48-AE6C-2D1DBA114F0C}"/>
    <cellStyle name="20% - Accent5 12" xfId="9645" xr:uid="{279F6672-A5DD-4EAE-B734-F60A1873B10E}"/>
    <cellStyle name="20% - Accent5 2" xfId="34" xr:uid="{00000000-0005-0000-0000-000082020000}"/>
    <cellStyle name="20% - Accent5 2 10" xfId="8796" xr:uid="{5BBF4372-A7B1-47A0-AC3D-4A60EDC1A5F8}"/>
    <cellStyle name="20% - Accent5 2 10 2" xfId="18120" xr:uid="{FDB52A87-35A4-464A-B0F6-D339FCCDA41F}"/>
    <cellStyle name="20% - Accent5 2 11" xfId="9646" xr:uid="{7CC129A2-2013-457D-B962-FC1E5FB23B54}"/>
    <cellStyle name="20% - Accent5 2 2" xfId="35" xr:uid="{00000000-0005-0000-0000-000083020000}"/>
    <cellStyle name="20% - Accent5 2 2 10" xfId="9647" xr:uid="{2A407132-24F1-427D-92B8-FACDBC3C9653}"/>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EC203210-6211-46CA-8368-5F3A70C42B6F}"/>
    <cellStyle name="20% - Accent5 2 2 2 2 2 3" xfId="12207" xr:uid="{11D4460C-A8EA-4A71-A442-68F1A5C5D089}"/>
    <cellStyle name="20% - Accent5 2 2 2 2 3" xfId="4953" xr:uid="{00000000-0005-0000-0000-000088020000}"/>
    <cellStyle name="20% - Accent5 2 2 2 2 3 2" xfId="14279" xr:uid="{0D296EF5-5E38-4752-9EB9-1486D760E400}"/>
    <cellStyle name="20% - Accent5 2 2 2 2 4" xfId="9531" xr:uid="{5DC5F027-F767-49FB-B9DE-2ACABCF8AC5A}"/>
    <cellStyle name="20% - Accent5 2 2 2 2 4 2" xfId="18846" xr:uid="{7FD20895-6BB5-4D24-9261-AA0DC0878C06}"/>
    <cellStyle name="20% - Accent5 2 2 2 2 5" xfId="10062" xr:uid="{336446AD-15C6-4748-BBE5-9A354952E63E}"/>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AD109C05-E821-470A-80B3-63584CEC5C85}"/>
    <cellStyle name="20% - Accent5 2 2 2 3 2 3" xfId="12620" xr:uid="{5A8EB46C-C35A-4F52-BD34-6104556436F9}"/>
    <cellStyle name="20% - Accent5 2 2 2 3 3" xfId="5366" xr:uid="{00000000-0005-0000-0000-00008C020000}"/>
    <cellStyle name="20% - Accent5 2 2 2 3 3 2" xfId="14692" xr:uid="{9BE1BC3E-C5E7-4D96-8345-A1FDCEB06CDC}"/>
    <cellStyle name="20% - Accent5 2 2 2 3 4" xfId="10475" xr:uid="{393CC89B-0730-49DF-BC0B-D0273E5A5676}"/>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A5F2F5D9-461C-483F-8556-10BDC31A0F90}"/>
    <cellStyle name="20% - Accent5 2 2 2 4 2 3" xfId="13033" xr:uid="{8A15848F-54E0-4160-891A-517B69C6868D}"/>
    <cellStyle name="20% - Accent5 2 2 2 4 3" xfId="5779" xr:uid="{00000000-0005-0000-0000-000090020000}"/>
    <cellStyle name="20% - Accent5 2 2 2 4 3 2" xfId="15105" xr:uid="{BF6A9A3A-63E6-4388-9054-647DE016EABF}"/>
    <cellStyle name="20% - Accent5 2 2 2 4 4" xfId="10888" xr:uid="{C9781AE8-DA61-4293-A55A-F4F208A49CAB}"/>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E8BEF065-B7D7-4CB1-B36F-7E021A5DB833}"/>
    <cellStyle name="20% - Accent5 2 2 2 5 2 3" xfId="13446" xr:uid="{55D2E13E-5B82-4DAB-A65C-F16930AD53C9}"/>
    <cellStyle name="20% - Accent5 2 2 2 5 3" xfId="6192" xr:uid="{00000000-0005-0000-0000-000094020000}"/>
    <cellStyle name="20% - Accent5 2 2 2 5 3 2" xfId="15518" xr:uid="{7350610A-9FCC-48E3-85FF-72B273A25BDF}"/>
    <cellStyle name="20% - Accent5 2 2 2 5 4" xfId="11301" xr:uid="{795AB884-193C-47F8-8D68-73325968F9F6}"/>
    <cellStyle name="20% - Accent5 2 2 2 6" xfId="2299" xr:uid="{00000000-0005-0000-0000-000095020000}"/>
    <cellStyle name="20% - Accent5 2 2 2 6 2" xfId="6605" xr:uid="{00000000-0005-0000-0000-000096020000}"/>
    <cellStyle name="20% - Accent5 2 2 2 6 2 2" xfId="15931" xr:uid="{290F1850-51DB-408C-A9DA-E21B892A944E}"/>
    <cellStyle name="20% - Accent5 2 2 2 6 3" xfId="11714" xr:uid="{857F59C6-77EC-49CE-8452-5E68D1E6C191}"/>
    <cellStyle name="20% - Accent5 2 2 2 7" xfId="4539" xr:uid="{00000000-0005-0000-0000-000097020000}"/>
    <cellStyle name="20% - Accent5 2 2 2 7 2" xfId="13865" xr:uid="{3D5B58BE-8D4A-4659-B838-8B268660667E}"/>
    <cellStyle name="20% - Accent5 2 2 2 8" xfId="9106" xr:uid="{E7B219CB-83A9-494A-83ED-783719A0F1D9}"/>
    <cellStyle name="20% - Accent5 2 2 2 8 2" xfId="18430" xr:uid="{4B083DFF-3B89-4C43-9645-AEDD48CD9613}"/>
    <cellStyle name="20% - Accent5 2 2 2 9" xfId="9648" xr:uid="{E5948703-8AC9-4361-8082-3294325C0650}"/>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F10921F9-1522-456C-BF03-1BCB18DE15AE}"/>
    <cellStyle name="20% - Accent5 2 2 3 2 3" xfId="12206" xr:uid="{7F3597A7-BADC-4E24-8643-06B880300EBB}"/>
    <cellStyle name="20% - Accent5 2 2 3 3" xfId="4952" xr:uid="{00000000-0005-0000-0000-00009B020000}"/>
    <cellStyle name="20% - Accent5 2 2 3 3 2" xfId="14278" xr:uid="{7BFAEE46-FF8B-4226-85CC-CF2E1197FA7D}"/>
    <cellStyle name="20% - Accent5 2 2 3 4" xfId="9324" xr:uid="{6094FEE1-8E2A-466F-9CDF-43EB9EE581FF}"/>
    <cellStyle name="20% - Accent5 2 2 3 4 2" xfId="18639" xr:uid="{23FDE4B2-286A-48C3-AD5C-AED3496B159E}"/>
    <cellStyle name="20% - Accent5 2 2 3 5" xfId="10061" xr:uid="{3D45A86F-1D08-4F3F-84AD-1B3AE33F5960}"/>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59BD1E79-1218-44A7-9D54-9D9EB88272F0}"/>
    <cellStyle name="20% - Accent5 2 2 4 2 3" xfId="12619" xr:uid="{CE266FE0-5D00-46B7-AAF0-03CF8D82EF11}"/>
    <cellStyle name="20% - Accent5 2 2 4 3" xfId="5365" xr:uid="{00000000-0005-0000-0000-00009F020000}"/>
    <cellStyle name="20% - Accent5 2 2 4 3 2" xfId="14691" xr:uid="{45BB0AC7-4D23-46EE-9D43-097BE21DF4A0}"/>
    <cellStyle name="20% - Accent5 2 2 4 4" xfId="10474" xr:uid="{D4BAF6D9-C276-4874-9C9F-C3C2CB52BD0D}"/>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602EAC4B-9186-4930-BA6D-1F16267486F2}"/>
    <cellStyle name="20% - Accent5 2 2 5 2 3" xfId="13032" xr:uid="{95485445-0C77-48B0-A550-3C8B66CAEC30}"/>
    <cellStyle name="20% - Accent5 2 2 5 3" xfId="5778" xr:uid="{00000000-0005-0000-0000-0000A3020000}"/>
    <cellStyle name="20% - Accent5 2 2 5 3 2" xfId="15104" xr:uid="{C136660C-29EA-42DC-AF6B-FAEEA2D86B29}"/>
    <cellStyle name="20% - Accent5 2 2 5 4" xfId="10887" xr:uid="{5A691696-D68C-4B42-A619-F399C9430662}"/>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D2862F4F-2162-420C-A6EB-11D87F15EDB4}"/>
    <cellStyle name="20% - Accent5 2 2 6 2 3" xfId="13445" xr:uid="{B1C0590C-E907-4AB4-909A-3C67C681CF29}"/>
    <cellStyle name="20% - Accent5 2 2 6 3" xfId="6191" xr:uid="{00000000-0005-0000-0000-0000A7020000}"/>
    <cellStyle name="20% - Accent5 2 2 6 3 2" xfId="15517" xr:uid="{C697D22F-1691-4DF8-81ED-84551FD9D078}"/>
    <cellStyle name="20% - Accent5 2 2 6 4" xfId="11300" xr:uid="{48832D73-3E65-4335-943D-E49494E2C5C6}"/>
    <cellStyle name="20% - Accent5 2 2 7" xfId="2298" xr:uid="{00000000-0005-0000-0000-0000A8020000}"/>
    <cellStyle name="20% - Accent5 2 2 7 2" xfId="6604" xr:uid="{00000000-0005-0000-0000-0000A9020000}"/>
    <cellStyle name="20% - Accent5 2 2 7 2 2" xfId="15930" xr:uid="{955D12B8-53F2-4940-8B9D-DEBED85953D2}"/>
    <cellStyle name="20% - Accent5 2 2 7 3" xfId="11713" xr:uid="{D717DA1A-0920-4056-A30A-FBC28AC63848}"/>
    <cellStyle name="20% - Accent5 2 2 8" xfId="4538" xr:uid="{00000000-0005-0000-0000-0000AA020000}"/>
    <cellStyle name="20% - Accent5 2 2 8 2" xfId="13864" xr:uid="{22365EE1-88B5-496A-8705-1F60AB5DCF00}"/>
    <cellStyle name="20% - Accent5 2 2 9" xfId="8899" xr:uid="{0E8F9EC8-D565-41C9-B716-FF597FFF35B9}"/>
    <cellStyle name="20% - Accent5 2 2 9 2" xfId="18223" xr:uid="{43AEBB2E-3A97-4745-BB94-8B88ED4FA5E3}"/>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B6F981B3-98F2-4BFE-9C11-9BD504A93ED0}"/>
    <cellStyle name="20% - Accent5 2 3 2 2 3" xfId="12208" xr:uid="{00395331-B141-4076-BB00-B56C75BFD345}"/>
    <cellStyle name="20% - Accent5 2 3 2 3" xfId="4954" xr:uid="{00000000-0005-0000-0000-0000AF020000}"/>
    <cellStyle name="20% - Accent5 2 3 2 3 2" xfId="14280" xr:uid="{44A1357B-C6CD-4F93-9B88-A25621A1CEE0}"/>
    <cellStyle name="20% - Accent5 2 3 2 4" xfId="9428" xr:uid="{B7820ACF-E1F3-4653-B5DD-FD829B169E84}"/>
    <cellStyle name="20% - Accent5 2 3 2 4 2" xfId="18743" xr:uid="{3A894FC9-0AF7-45D3-A641-694E2046E7DE}"/>
    <cellStyle name="20% - Accent5 2 3 2 5" xfId="10063" xr:uid="{3CED3CF4-8392-4B91-BA38-493A2158161C}"/>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7FCF328D-87FF-403B-93D9-966B15E0024F}"/>
    <cellStyle name="20% - Accent5 2 3 3 2 3" xfId="12621" xr:uid="{8EE846EC-128C-4B5C-92F2-5B3680BC5B63}"/>
    <cellStyle name="20% - Accent5 2 3 3 3" xfId="5367" xr:uid="{00000000-0005-0000-0000-0000B3020000}"/>
    <cellStyle name="20% - Accent5 2 3 3 3 2" xfId="14693" xr:uid="{F1CC4066-8A82-40AF-9205-2392E2537E20}"/>
    <cellStyle name="20% - Accent5 2 3 3 4" xfId="10476" xr:uid="{07B9D3FB-91AE-416F-ABBF-890B891F5B2F}"/>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2B17EB9B-1A50-43DD-9A1F-549516DF6DFA}"/>
    <cellStyle name="20% - Accent5 2 3 4 2 3" xfId="13034" xr:uid="{9086E754-DE7E-4C78-8810-2EE100464C8A}"/>
    <cellStyle name="20% - Accent5 2 3 4 3" xfId="5780" xr:uid="{00000000-0005-0000-0000-0000B7020000}"/>
    <cellStyle name="20% - Accent5 2 3 4 3 2" xfId="15106" xr:uid="{B7236A15-8349-47DA-BC8D-1D28D3361F49}"/>
    <cellStyle name="20% - Accent5 2 3 4 4" xfId="10889" xr:uid="{8A5C7C2B-75CA-440B-9FD7-EC8FF729BECC}"/>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AD469960-2855-412D-88BF-06C1F6C5C2D5}"/>
    <cellStyle name="20% - Accent5 2 3 5 2 3" xfId="13447" xr:uid="{C884AF44-1531-4ECE-A1BC-56B3D48C7A2A}"/>
    <cellStyle name="20% - Accent5 2 3 5 3" xfId="6193" xr:uid="{00000000-0005-0000-0000-0000BB020000}"/>
    <cellStyle name="20% - Accent5 2 3 5 3 2" xfId="15519" xr:uid="{DE39A3DB-4C64-4F68-AFF8-E964F117D2FA}"/>
    <cellStyle name="20% - Accent5 2 3 5 4" xfId="11302" xr:uid="{CEF99C7E-9F52-4EDD-A9C5-CB19B470CA00}"/>
    <cellStyle name="20% - Accent5 2 3 6" xfId="2300" xr:uid="{00000000-0005-0000-0000-0000BC020000}"/>
    <cellStyle name="20% - Accent5 2 3 6 2" xfId="6606" xr:uid="{00000000-0005-0000-0000-0000BD020000}"/>
    <cellStyle name="20% - Accent5 2 3 6 2 2" xfId="15932" xr:uid="{97800DC7-4ED4-4965-A69D-B1CC15E051D1}"/>
    <cellStyle name="20% - Accent5 2 3 6 3" xfId="11715" xr:uid="{EF37E812-958B-4BD1-A5F5-F73C9097330C}"/>
    <cellStyle name="20% - Accent5 2 3 7" xfId="4540" xr:uid="{00000000-0005-0000-0000-0000BE020000}"/>
    <cellStyle name="20% - Accent5 2 3 7 2" xfId="13866" xr:uid="{CA24953E-10B3-4B04-8A40-93666FCFEEBC}"/>
    <cellStyle name="20% - Accent5 2 3 8" xfId="9003" xr:uid="{9830E7D1-E361-4BA3-A986-3DCE647EEF8E}"/>
    <cellStyle name="20% - Accent5 2 3 8 2" xfId="18327" xr:uid="{76CEE29D-CBF6-4D49-9B79-BBA24986FC27}"/>
    <cellStyle name="20% - Accent5 2 3 9" xfId="9649" xr:uid="{6AC74EB8-04C2-48E8-BEDC-9791BE0AB137}"/>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5467043A-ECD3-4078-B33C-CBABA2F1B7A7}"/>
    <cellStyle name="20% - Accent5 2 4 2 3" xfId="12205" xr:uid="{95B2FA7A-25C9-45CD-95D2-0B8EB56A90EB}"/>
    <cellStyle name="20% - Accent5 2 4 3" xfId="4951" xr:uid="{00000000-0005-0000-0000-0000C2020000}"/>
    <cellStyle name="20% - Accent5 2 4 3 2" xfId="14277" xr:uid="{C2CC86FC-AC67-44E5-B84D-F227DD767013}"/>
    <cellStyle name="20% - Accent5 2 4 4" xfId="9220" xr:uid="{A7B88928-FE72-4C1B-B74E-3CA76DBA84CC}"/>
    <cellStyle name="20% - Accent5 2 4 4 2" xfId="18536" xr:uid="{3D99503F-3B58-4F10-8F67-67A37A808C87}"/>
    <cellStyle name="20% - Accent5 2 4 5" xfId="10060" xr:uid="{6F2757FE-926C-492D-8AB5-28BF0F294A75}"/>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6EB1908C-4E6A-451E-B09B-ADF5A5657BF7}"/>
    <cellStyle name="20% - Accent5 2 5 2 3" xfId="12618" xr:uid="{9EF95DB3-5BF9-4646-BFBD-843095DDB3E7}"/>
    <cellStyle name="20% - Accent5 2 5 3" xfId="5364" xr:uid="{00000000-0005-0000-0000-0000C6020000}"/>
    <cellStyle name="20% - Accent5 2 5 3 2" xfId="14690" xr:uid="{5C6088E5-91AE-449B-8E3F-98C35805CB90}"/>
    <cellStyle name="20% - Accent5 2 5 4" xfId="10473" xr:uid="{7030ABAC-8739-4C95-BC25-BFA2C0A4261A}"/>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CF42C3CA-7B57-4131-8BB0-6E998AE185E2}"/>
    <cellStyle name="20% - Accent5 2 6 2 3" xfId="13031" xr:uid="{211A7033-A088-420B-A412-A7D2CDF9D3B6}"/>
    <cellStyle name="20% - Accent5 2 6 3" xfId="5777" xr:uid="{00000000-0005-0000-0000-0000CA020000}"/>
    <cellStyle name="20% - Accent5 2 6 3 2" xfId="15103" xr:uid="{5F0B152D-57FC-49D6-8FD6-C445BFD8E029}"/>
    <cellStyle name="20% - Accent5 2 6 4" xfId="10886" xr:uid="{661C62DC-8AE6-461A-AE5E-B76E30E6B5EB}"/>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CD9B2A23-6B7C-498D-B8F8-A1AFB73A0498}"/>
    <cellStyle name="20% - Accent5 2 7 2 3" xfId="13444" xr:uid="{A334BB36-FF30-4EC6-A857-372DC9813D44}"/>
    <cellStyle name="20% - Accent5 2 7 3" xfId="6190" xr:uid="{00000000-0005-0000-0000-0000CE020000}"/>
    <cellStyle name="20% - Accent5 2 7 3 2" xfId="15516" xr:uid="{20592651-E4B8-4547-A433-B11DC8584F08}"/>
    <cellStyle name="20% - Accent5 2 7 4" xfId="11299" xr:uid="{2DE5B21B-4EBE-4168-946C-56F07CE28A22}"/>
    <cellStyle name="20% - Accent5 2 8" xfId="2297" xr:uid="{00000000-0005-0000-0000-0000CF020000}"/>
    <cellStyle name="20% - Accent5 2 8 2" xfId="6603" xr:uid="{00000000-0005-0000-0000-0000D0020000}"/>
    <cellStyle name="20% - Accent5 2 8 2 2" xfId="15929" xr:uid="{ED2985B5-DDFF-4848-9DEE-C14FA1D6C2EE}"/>
    <cellStyle name="20% - Accent5 2 8 3" xfId="11712" xr:uid="{EE9B0566-35E7-4BDF-8141-32E132CB0D79}"/>
    <cellStyle name="20% - Accent5 2 9" xfId="4537" xr:uid="{00000000-0005-0000-0000-0000D1020000}"/>
    <cellStyle name="20% - Accent5 2 9 2" xfId="13863" xr:uid="{1DAD1716-246A-481A-A66D-B846E631FDFB}"/>
    <cellStyle name="20% - Accent5 3" xfId="38" xr:uid="{00000000-0005-0000-0000-0000D2020000}"/>
    <cellStyle name="20% - Accent5 3 10" xfId="9650" xr:uid="{5FC5BC77-74EC-4D0C-A825-0115FD8FCDB6}"/>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64C10019-20A2-401C-A75D-82A6274A2A23}"/>
    <cellStyle name="20% - Accent5 3 2 2 2 3" xfId="12210" xr:uid="{B46E6A88-9821-4E7E-8440-97D641109A56}"/>
    <cellStyle name="20% - Accent5 3 2 2 3" xfId="4956" xr:uid="{00000000-0005-0000-0000-0000D7020000}"/>
    <cellStyle name="20% - Accent5 3 2 2 3 2" xfId="14282" xr:uid="{70CBC550-54FA-4B4E-B7AE-62FBC92A00A0}"/>
    <cellStyle name="20% - Accent5 3 2 2 4" xfId="9501" xr:uid="{82A590A5-96D4-476E-8E6F-D81EEE08C409}"/>
    <cellStyle name="20% - Accent5 3 2 2 4 2" xfId="18816" xr:uid="{3234C44A-E311-4A9D-A2B6-F533B467FCD2}"/>
    <cellStyle name="20% - Accent5 3 2 2 5" xfId="10065" xr:uid="{A43AA1C2-334C-470D-A333-EA37532EA30C}"/>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CED73888-0E98-4DA7-8B92-49862EA3925D}"/>
    <cellStyle name="20% - Accent5 3 2 3 2 3" xfId="12623" xr:uid="{010A7DD2-71AB-4ACA-A984-AAECF3FC7626}"/>
    <cellStyle name="20% - Accent5 3 2 3 3" xfId="5369" xr:uid="{00000000-0005-0000-0000-0000DB020000}"/>
    <cellStyle name="20% - Accent5 3 2 3 3 2" xfId="14695" xr:uid="{4092E5D9-F3F8-4FB3-8752-B43196DA412A}"/>
    <cellStyle name="20% - Accent5 3 2 3 4" xfId="10478" xr:uid="{FFF39FBC-BEB6-4F82-9BED-9E273D6F2115}"/>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6DBB6018-7519-4461-A73D-C2C3BCC1682A}"/>
    <cellStyle name="20% - Accent5 3 2 4 2 3" xfId="13036" xr:uid="{0168D44D-0ABA-4AD5-9D37-6A116E337E35}"/>
    <cellStyle name="20% - Accent5 3 2 4 3" xfId="5782" xr:uid="{00000000-0005-0000-0000-0000DF020000}"/>
    <cellStyle name="20% - Accent5 3 2 4 3 2" xfId="15108" xr:uid="{391B8F02-03C2-4540-9C60-1D399739F38F}"/>
    <cellStyle name="20% - Accent5 3 2 4 4" xfId="10891" xr:uid="{AF9E02F0-B9F0-4704-BC61-C7D862362D8A}"/>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376FCE3A-5E31-42EE-9103-1389CB330AF5}"/>
    <cellStyle name="20% - Accent5 3 2 5 2 3" xfId="13449" xr:uid="{B365408D-8C29-47B2-80DB-3F1D8C8096CD}"/>
    <cellStyle name="20% - Accent5 3 2 5 3" xfId="6195" xr:uid="{00000000-0005-0000-0000-0000E3020000}"/>
    <cellStyle name="20% - Accent5 3 2 5 3 2" xfId="15521" xr:uid="{32754ACC-D1F0-42C1-AD62-A34B4258D6E5}"/>
    <cellStyle name="20% - Accent5 3 2 5 4" xfId="11304" xr:uid="{3B67FBEA-2BD7-48B1-B6E5-2FE13531B8C3}"/>
    <cellStyle name="20% - Accent5 3 2 6" xfId="2302" xr:uid="{00000000-0005-0000-0000-0000E4020000}"/>
    <cellStyle name="20% - Accent5 3 2 6 2" xfId="6608" xr:uid="{00000000-0005-0000-0000-0000E5020000}"/>
    <cellStyle name="20% - Accent5 3 2 6 2 2" xfId="15934" xr:uid="{C7FAB97E-9569-4FEB-9CB4-E18546A6CDF1}"/>
    <cellStyle name="20% - Accent5 3 2 6 3" xfId="11717" xr:uid="{78BA7C3D-B4D5-43B3-A9A8-ED8C96AC09CE}"/>
    <cellStyle name="20% - Accent5 3 2 7" xfId="4542" xr:uid="{00000000-0005-0000-0000-0000E6020000}"/>
    <cellStyle name="20% - Accent5 3 2 7 2" xfId="13868" xr:uid="{61347501-1794-4597-A008-CAE2BDD1FA47}"/>
    <cellStyle name="20% - Accent5 3 2 8" xfId="9076" xr:uid="{BEDF1D01-35A3-4513-9363-9C1AFC748168}"/>
    <cellStyle name="20% - Accent5 3 2 8 2" xfId="18400" xr:uid="{4896D8E8-29C5-437B-B7D3-A9C67B0FB5C8}"/>
    <cellStyle name="20% - Accent5 3 2 9" xfId="9651" xr:uid="{FBD08F5C-0DD2-4751-BF2A-6B36988A82A8}"/>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C67DBF05-8BB7-4E75-B4F5-D6C55C0CE170}"/>
    <cellStyle name="20% - Accent5 3 3 2 3" xfId="12209" xr:uid="{72E088F5-0CCB-48E7-ABD8-15DF674155B4}"/>
    <cellStyle name="20% - Accent5 3 3 3" xfId="4955" xr:uid="{00000000-0005-0000-0000-0000EA020000}"/>
    <cellStyle name="20% - Accent5 3 3 3 2" xfId="14281" xr:uid="{C65E716C-198D-42FF-88E1-4FA5E8E46810}"/>
    <cellStyle name="20% - Accent5 3 3 4" xfId="9294" xr:uid="{124960EA-C7A4-4686-BF67-47D6C57F7EEB}"/>
    <cellStyle name="20% - Accent5 3 3 4 2" xfId="18609" xr:uid="{51632609-4ACD-45E3-8647-BAF83AD30C02}"/>
    <cellStyle name="20% - Accent5 3 3 5" xfId="10064" xr:uid="{D6123102-7FF8-42CF-B5D6-A1734DEA8067}"/>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6C162058-5C71-4F9D-A44A-620431197697}"/>
    <cellStyle name="20% - Accent5 3 4 2 3" xfId="12622" xr:uid="{EB4B6CBD-9B52-459A-A83B-8607EA5D1790}"/>
    <cellStyle name="20% - Accent5 3 4 3" xfId="5368" xr:uid="{00000000-0005-0000-0000-0000EE020000}"/>
    <cellStyle name="20% - Accent5 3 4 3 2" xfId="14694" xr:uid="{1F3BCF83-5E68-4AEF-9B2C-2F2651C62273}"/>
    <cellStyle name="20% - Accent5 3 4 4" xfId="10477" xr:uid="{30471E45-CAE9-474C-A174-E7B4F4D6957F}"/>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9CA0101D-A69D-46C6-80D1-077D907D1954}"/>
    <cellStyle name="20% - Accent5 3 5 2 3" xfId="13035" xr:uid="{F34F566A-607B-44B5-A1B8-032CD90DB4B3}"/>
    <cellStyle name="20% - Accent5 3 5 3" xfId="5781" xr:uid="{00000000-0005-0000-0000-0000F2020000}"/>
    <cellStyle name="20% - Accent5 3 5 3 2" xfId="15107" xr:uid="{288E5A15-083D-44C7-8AD9-095B5E7E516B}"/>
    <cellStyle name="20% - Accent5 3 5 4" xfId="10890" xr:uid="{AA1C3038-301D-492C-A390-3BE488DA0269}"/>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DFA8852D-4629-468B-A80B-49CA3356B73E}"/>
    <cellStyle name="20% - Accent5 3 6 2 3" xfId="13448" xr:uid="{F855AA03-2757-4D6E-A37C-DEBEAFF5342F}"/>
    <cellStyle name="20% - Accent5 3 6 3" xfId="6194" xr:uid="{00000000-0005-0000-0000-0000F6020000}"/>
    <cellStyle name="20% - Accent5 3 6 3 2" xfId="15520" xr:uid="{1141CCD6-319B-45AD-8CEB-7BD4DB69DF61}"/>
    <cellStyle name="20% - Accent5 3 6 4" xfId="11303" xr:uid="{7C3A8B0D-99FA-4F84-B2B4-F122BA6DE611}"/>
    <cellStyle name="20% - Accent5 3 7" xfId="2301" xr:uid="{00000000-0005-0000-0000-0000F7020000}"/>
    <cellStyle name="20% - Accent5 3 7 2" xfId="6607" xr:uid="{00000000-0005-0000-0000-0000F8020000}"/>
    <cellStyle name="20% - Accent5 3 7 2 2" xfId="15933" xr:uid="{E795DA4C-D86E-4E3A-AB89-393F85D5044D}"/>
    <cellStyle name="20% - Accent5 3 7 3" xfId="11716" xr:uid="{FD5C68C3-7D10-4951-B717-D578B06E6382}"/>
    <cellStyle name="20% - Accent5 3 8" xfId="4541" xr:uid="{00000000-0005-0000-0000-0000F9020000}"/>
    <cellStyle name="20% - Accent5 3 8 2" xfId="13867" xr:uid="{87BE60A1-1632-4B3B-A252-B1BB2D6C00F3}"/>
    <cellStyle name="20% - Accent5 3 9" xfId="8869" xr:uid="{43CC8A87-AEEB-4E51-98E7-F8AE8D86AD2B}"/>
    <cellStyle name="20% - Accent5 3 9 2" xfId="18193" xr:uid="{6ED9567E-F71F-4026-9AAC-0C612DFBE929}"/>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C7B27463-B210-40A9-B3C4-0EAB3F71EEAD}"/>
    <cellStyle name="20% - Accent5 4 2 2 3" xfId="12211" xr:uid="{E96C14C2-5C93-4947-A038-78F93209B9C5}"/>
    <cellStyle name="20% - Accent5 4 2 3" xfId="4957" xr:uid="{00000000-0005-0000-0000-0000FE020000}"/>
    <cellStyle name="20% - Accent5 4 2 3 2" xfId="14283" xr:uid="{B68D6968-70BB-484C-9B5A-ED3070ADF8F0}"/>
    <cellStyle name="20% - Accent5 4 2 4" xfId="9380" xr:uid="{1C764D65-D71C-4646-AD86-15F83BDBF498}"/>
    <cellStyle name="20% - Accent5 4 2 4 2" xfId="18695" xr:uid="{F287E5C2-5F20-4FB2-9D6C-4DC50E36FC34}"/>
    <cellStyle name="20% - Accent5 4 2 5" xfId="10066" xr:uid="{A341B999-BC8D-4215-AA2F-1B719C741935}"/>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57C09721-6E4E-4B50-A1D2-F9DEC12D0022}"/>
    <cellStyle name="20% - Accent5 4 3 2 3" xfId="12624" xr:uid="{E841DF62-AD35-4C90-B1AA-5CB53C8E4024}"/>
    <cellStyle name="20% - Accent5 4 3 3" xfId="5370" xr:uid="{00000000-0005-0000-0000-000002030000}"/>
    <cellStyle name="20% - Accent5 4 3 3 2" xfId="14696" xr:uid="{8F22F4C9-A7F7-4457-AAED-35388BFEC0EE}"/>
    <cellStyle name="20% - Accent5 4 3 4" xfId="10479" xr:uid="{2D32AF2D-DBCE-4ACB-9AFE-ACB86C946312}"/>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1FA025BC-A7AC-4D60-9119-F1FC23C2AB37}"/>
    <cellStyle name="20% - Accent5 4 4 2 3" xfId="13037" xr:uid="{A2739A4A-3AD0-4060-90AB-E3481597018D}"/>
    <cellStyle name="20% - Accent5 4 4 3" xfId="5783" xr:uid="{00000000-0005-0000-0000-000006030000}"/>
    <cellStyle name="20% - Accent5 4 4 3 2" xfId="15109" xr:uid="{A7904108-9BEE-4AAF-AC5A-80810F58D414}"/>
    <cellStyle name="20% - Accent5 4 4 4" xfId="10892" xr:uid="{00733481-CB7E-40E9-82D4-EA790BE84263}"/>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8D19A915-82DA-4D34-932E-ECD256A5A9EB}"/>
    <cellStyle name="20% - Accent5 4 5 2 3" xfId="13450" xr:uid="{E70345B5-080C-423A-89FE-737DE54DF9FF}"/>
    <cellStyle name="20% - Accent5 4 5 3" xfId="6196" xr:uid="{00000000-0005-0000-0000-00000A030000}"/>
    <cellStyle name="20% - Accent5 4 5 3 2" xfId="15522" xr:uid="{3F3A316B-70B1-474B-87E1-6B1D475DA16C}"/>
    <cellStyle name="20% - Accent5 4 5 4" xfId="11305" xr:uid="{DD60EBF4-0D1C-40F1-9860-DBD5D893CBE4}"/>
    <cellStyle name="20% - Accent5 4 6" xfId="2303" xr:uid="{00000000-0005-0000-0000-00000B030000}"/>
    <cellStyle name="20% - Accent5 4 6 2" xfId="6609" xr:uid="{00000000-0005-0000-0000-00000C030000}"/>
    <cellStyle name="20% - Accent5 4 6 2 2" xfId="15935" xr:uid="{5958931D-449A-43C7-A4E5-D2DE61C802FE}"/>
    <cellStyle name="20% - Accent5 4 6 3" xfId="11718" xr:uid="{26A4A04D-7DFB-4C75-B2F2-6E272F8434C7}"/>
    <cellStyle name="20% - Accent5 4 7" xfId="4543" xr:uid="{00000000-0005-0000-0000-00000D030000}"/>
    <cellStyle name="20% - Accent5 4 7 2" xfId="13869" xr:uid="{3C0EE472-9289-40DB-A065-C0187A19B596}"/>
    <cellStyle name="20% - Accent5 4 8" xfId="8955" xr:uid="{8AD43D76-8747-44EC-8D3B-2720ADF9D1B1}"/>
    <cellStyle name="20% - Accent5 4 8 2" xfId="18279" xr:uid="{F2375602-AB27-474F-9544-A924D5368333}"/>
    <cellStyle name="20% - Accent5 4 9" xfId="9652" xr:uid="{C988CF5F-7D82-4523-A518-F4256A915F8A}"/>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51FAD598-6E83-4A05-B227-3EE7B53EBF5C}"/>
    <cellStyle name="20% - Accent5 5 2 3" xfId="12204" xr:uid="{A759D4C7-15F8-48B5-B372-5875808D3F77}"/>
    <cellStyle name="20% - Accent5 5 3" xfId="4950" xr:uid="{00000000-0005-0000-0000-000011030000}"/>
    <cellStyle name="20% - Accent5 5 3 2" xfId="14276" xr:uid="{90B35DC4-3AC9-4A2A-82B6-12A67A99CD36}"/>
    <cellStyle name="20% - Accent5 5 4" xfId="9188" xr:uid="{164CF7CE-7706-426C-90AA-4867A06E28BD}"/>
    <cellStyle name="20% - Accent5 5 4 2" xfId="18506" xr:uid="{9328124A-582A-4EB8-A1D2-454883E3A71E}"/>
    <cellStyle name="20% - Accent5 5 5" xfId="10059" xr:uid="{A9AD1E2F-C42F-42A8-A032-89F37B4DCCBD}"/>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8A44238A-61E0-4304-9AA6-54A92A491342}"/>
    <cellStyle name="20% - Accent5 6 2 3" xfId="12617" xr:uid="{6610C936-CB4F-4319-A337-C672BF3395E0}"/>
    <cellStyle name="20% - Accent5 6 3" xfId="5363" xr:uid="{00000000-0005-0000-0000-000015030000}"/>
    <cellStyle name="20% - Accent5 6 3 2" xfId="14689" xr:uid="{2A6767EF-FF18-40D3-BBDC-B41F82D0265A}"/>
    <cellStyle name="20% - Accent5 6 4" xfId="10472" xr:uid="{90AE30C0-31B0-40BA-9228-5E00A936A5BE}"/>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AE165C21-F923-476B-BF11-4DA91601B057}"/>
    <cellStyle name="20% - Accent5 7 2 3" xfId="13030" xr:uid="{CA134D10-6825-409C-88D8-6302D139B67D}"/>
    <cellStyle name="20% - Accent5 7 3" xfId="5776" xr:uid="{00000000-0005-0000-0000-000019030000}"/>
    <cellStyle name="20% - Accent5 7 3 2" xfId="15102" xr:uid="{585D2AEE-B57B-4E95-83DC-E9D4C4892D76}"/>
    <cellStyle name="20% - Accent5 7 4" xfId="10885" xr:uid="{20642B69-B924-4E96-9637-885513F1EBD8}"/>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A5036C03-5E5E-49C9-8D3B-18C4B2AA536D}"/>
    <cellStyle name="20% - Accent5 8 2 3" xfId="13443" xr:uid="{B7284BF9-B488-4DF3-8BD5-C4FEA2896101}"/>
    <cellStyle name="20% - Accent5 8 3" xfId="6189" xr:uid="{00000000-0005-0000-0000-00001D030000}"/>
    <cellStyle name="20% - Accent5 8 3 2" xfId="15515" xr:uid="{48434263-1F30-452A-BDD1-40096B1D22A4}"/>
    <cellStyle name="20% - Accent5 8 4" xfId="11298" xr:uid="{6370F191-38B6-4283-9186-5B5CDB3EB0E9}"/>
    <cellStyle name="20% - Accent5 9" xfId="2296" xr:uid="{00000000-0005-0000-0000-00001E030000}"/>
    <cellStyle name="20% - Accent5 9 2" xfId="6602" xr:uid="{00000000-0005-0000-0000-00001F030000}"/>
    <cellStyle name="20% - Accent5 9 2 2" xfId="15928" xr:uid="{48C1D6A0-7EED-41E1-AB5B-CEFBDAA19EE6}"/>
    <cellStyle name="20% - Accent5 9 3" xfId="11711" xr:uid="{A6B4FB49-F968-459D-934F-487B5EFFC336}"/>
    <cellStyle name="20% - Accent6" xfId="41" builtinId="50" customBuiltin="1"/>
    <cellStyle name="20% - Accent6 10" xfId="4544" xr:uid="{00000000-0005-0000-0000-000021030000}"/>
    <cellStyle name="20% - Accent6 10 2" xfId="13870" xr:uid="{53DEB067-26EC-416B-A666-2EF175AF20BE}"/>
    <cellStyle name="20% - Accent6 11" xfId="8768" xr:uid="{5A1F1293-A19F-445F-908A-D9DBB6265CA0}"/>
    <cellStyle name="20% - Accent6 11 2" xfId="18092" xr:uid="{3736983C-9D23-407D-940D-3319A4ACE443}"/>
    <cellStyle name="20% - Accent6 12" xfId="9653" xr:uid="{3DBD8E85-BC4B-4027-AFFF-0052D29E6F6D}"/>
    <cellStyle name="20% - Accent6 2" xfId="42" xr:uid="{00000000-0005-0000-0000-000022030000}"/>
    <cellStyle name="20% - Accent6 2 10" xfId="8795" xr:uid="{9A35B19E-8802-437A-ABDC-7B06A4E07F58}"/>
    <cellStyle name="20% - Accent6 2 10 2" xfId="18119" xr:uid="{3755D075-544A-4D91-ACED-DDD8D5C99DCF}"/>
    <cellStyle name="20% - Accent6 2 11" xfId="9654" xr:uid="{08DD9042-D682-46E2-9FD3-765E466DCE15}"/>
    <cellStyle name="20% - Accent6 2 2" xfId="43" xr:uid="{00000000-0005-0000-0000-000023030000}"/>
    <cellStyle name="20% - Accent6 2 2 10" xfId="9655" xr:uid="{14511D47-6C31-47FE-B759-B8B90B6D304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37828349-80A4-47C9-9B3B-C5BAC258DD85}"/>
    <cellStyle name="20% - Accent6 2 2 2 2 2 3" xfId="12215" xr:uid="{4855903A-00FD-433C-A357-B08AF063C885}"/>
    <cellStyle name="20% - Accent6 2 2 2 2 3" xfId="4961" xr:uid="{00000000-0005-0000-0000-000028030000}"/>
    <cellStyle name="20% - Accent6 2 2 2 2 3 2" xfId="14287" xr:uid="{F15A2CA1-F339-43CF-9912-30FB2D0D0885}"/>
    <cellStyle name="20% - Accent6 2 2 2 2 4" xfId="9530" xr:uid="{AFD3EE0E-70EF-4C1B-B994-7B8E7E8187BC}"/>
    <cellStyle name="20% - Accent6 2 2 2 2 4 2" xfId="18845" xr:uid="{A0583D27-83E8-4D21-968E-43EDAD4801A3}"/>
    <cellStyle name="20% - Accent6 2 2 2 2 5" xfId="10070" xr:uid="{6CBF1685-DE3F-4074-B561-60ED3A28C8B5}"/>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31B6D2A0-CC0F-4AAC-816D-845BBF82F4CC}"/>
    <cellStyle name="20% - Accent6 2 2 2 3 2 3" xfId="12628" xr:uid="{3487C284-6307-4206-A91F-E692F92E6FA7}"/>
    <cellStyle name="20% - Accent6 2 2 2 3 3" xfId="5374" xr:uid="{00000000-0005-0000-0000-00002C030000}"/>
    <cellStyle name="20% - Accent6 2 2 2 3 3 2" xfId="14700" xr:uid="{F5725FD7-E8DD-4715-A110-DF04D8B3F69C}"/>
    <cellStyle name="20% - Accent6 2 2 2 3 4" xfId="10483" xr:uid="{09CAEB53-023D-4E52-B0C4-AFFD65760511}"/>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4C2CF6E8-8D78-4BC6-82CF-E4CDEAC3ABE0}"/>
    <cellStyle name="20% - Accent6 2 2 2 4 2 3" xfId="13041" xr:uid="{F368C6C4-0D06-4375-962A-874F8EFC068A}"/>
    <cellStyle name="20% - Accent6 2 2 2 4 3" xfId="5787" xr:uid="{00000000-0005-0000-0000-000030030000}"/>
    <cellStyle name="20% - Accent6 2 2 2 4 3 2" xfId="15113" xr:uid="{F64940E8-0C3B-4550-B0BB-98B9C4A8591B}"/>
    <cellStyle name="20% - Accent6 2 2 2 4 4" xfId="10896" xr:uid="{9668757A-B3A0-4DAE-94AE-51D2208618EE}"/>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0FCCF0C0-561F-4814-9E08-BFFF6013E344}"/>
    <cellStyle name="20% - Accent6 2 2 2 5 2 3" xfId="13454" xr:uid="{A46D2A31-0C7F-46E7-BDC4-5261E85766A1}"/>
    <cellStyle name="20% - Accent6 2 2 2 5 3" xfId="6200" xr:uid="{00000000-0005-0000-0000-000034030000}"/>
    <cellStyle name="20% - Accent6 2 2 2 5 3 2" xfId="15526" xr:uid="{904CCE71-5320-472F-99D8-65D3B2F5633C}"/>
    <cellStyle name="20% - Accent6 2 2 2 5 4" xfId="11309" xr:uid="{FC52CB0B-B286-490F-A550-30C1F435A01C}"/>
    <cellStyle name="20% - Accent6 2 2 2 6" xfId="2307" xr:uid="{00000000-0005-0000-0000-000035030000}"/>
    <cellStyle name="20% - Accent6 2 2 2 6 2" xfId="6613" xr:uid="{00000000-0005-0000-0000-000036030000}"/>
    <cellStyle name="20% - Accent6 2 2 2 6 2 2" xfId="15939" xr:uid="{E1BB13F4-DC0A-445B-8D66-C6012C593F30}"/>
    <cellStyle name="20% - Accent6 2 2 2 6 3" xfId="11722" xr:uid="{59738F71-9AAD-4A6A-82EB-ED48D852EB7E}"/>
    <cellStyle name="20% - Accent6 2 2 2 7" xfId="4547" xr:uid="{00000000-0005-0000-0000-000037030000}"/>
    <cellStyle name="20% - Accent6 2 2 2 7 2" xfId="13873" xr:uid="{0B9A5EFC-71A3-49EA-90B1-86D15C5B9373}"/>
    <cellStyle name="20% - Accent6 2 2 2 8" xfId="9105" xr:uid="{2D3B6B01-F2FB-4D08-A7F9-9902961EFB46}"/>
    <cellStyle name="20% - Accent6 2 2 2 8 2" xfId="18429" xr:uid="{DCEA14D1-11AE-4C61-800D-1E0FC39E12CE}"/>
    <cellStyle name="20% - Accent6 2 2 2 9" xfId="9656" xr:uid="{60D24783-C823-4632-AF70-6711141B70DC}"/>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B37B8804-A05B-4030-A079-A08D22F4A8CA}"/>
    <cellStyle name="20% - Accent6 2 2 3 2 3" xfId="12214" xr:uid="{A8FB9603-081A-4143-9BAE-81A05922D0FB}"/>
    <cellStyle name="20% - Accent6 2 2 3 3" xfId="4960" xr:uid="{00000000-0005-0000-0000-00003B030000}"/>
    <cellStyle name="20% - Accent6 2 2 3 3 2" xfId="14286" xr:uid="{5B2DCF39-3988-47F9-9FC0-84330C24B958}"/>
    <cellStyle name="20% - Accent6 2 2 3 4" xfId="9323" xr:uid="{93CC3C58-EC1C-4AC6-8D02-E00EFD80A494}"/>
    <cellStyle name="20% - Accent6 2 2 3 4 2" xfId="18638" xr:uid="{B9F85A0F-AA11-4211-97C2-E758B9718D9F}"/>
    <cellStyle name="20% - Accent6 2 2 3 5" xfId="10069" xr:uid="{8D4B62E9-115D-4D0B-AEA5-41F6C9D95C23}"/>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0C1BD982-4CA5-463F-99E1-485E156730BA}"/>
    <cellStyle name="20% - Accent6 2 2 4 2 3" xfId="12627" xr:uid="{6F8AA30B-D84A-46C6-AAC6-B7D718E06E91}"/>
    <cellStyle name="20% - Accent6 2 2 4 3" xfId="5373" xr:uid="{00000000-0005-0000-0000-00003F030000}"/>
    <cellStyle name="20% - Accent6 2 2 4 3 2" xfId="14699" xr:uid="{22F32F82-553B-4146-B9F5-C9CF3A58DEAF}"/>
    <cellStyle name="20% - Accent6 2 2 4 4" xfId="10482" xr:uid="{961DE4B8-C799-4476-96F5-D35170CBAAF4}"/>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8F6F250A-A815-4069-AF0F-53C7B76B0B57}"/>
    <cellStyle name="20% - Accent6 2 2 5 2 3" xfId="13040" xr:uid="{A75812CF-FFD6-4F11-93C7-FE4BC7AB158C}"/>
    <cellStyle name="20% - Accent6 2 2 5 3" xfId="5786" xr:uid="{00000000-0005-0000-0000-000043030000}"/>
    <cellStyle name="20% - Accent6 2 2 5 3 2" xfId="15112" xr:uid="{5CDEF248-A79B-4FCD-A2F1-F89FD5C2EC8C}"/>
    <cellStyle name="20% - Accent6 2 2 5 4" xfId="10895" xr:uid="{C88F26CA-DCDF-4062-A3A6-6623A6D5FCB4}"/>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14E4B559-4AE1-414E-9BA2-5C7CD87150C7}"/>
    <cellStyle name="20% - Accent6 2 2 6 2 3" xfId="13453" xr:uid="{4DB5DE49-F947-43E1-A5D5-B4FBAE16492C}"/>
    <cellStyle name="20% - Accent6 2 2 6 3" xfId="6199" xr:uid="{00000000-0005-0000-0000-000047030000}"/>
    <cellStyle name="20% - Accent6 2 2 6 3 2" xfId="15525" xr:uid="{C4F1EC11-9A5D-40DA-8EA4-43483E9758A0}"/>
    <cellStyle name="20% - Accent6 2 2 6 4" xfId="11308" xr:uid="{78D6BDD7-F2B6-4F1D-9831-DED91319868D}"/>
    <cellStyle name="20% - Accent6 2 2 7" xfId="2306" xr:uid="{00000000-0005-0000-0000-000048030000}"/>
    <cellStyle name="20% - Accent6 2 2 7 2" xfId="6612" xr:uid="{00000000-0005-0000-0000-000049030000}"/>
    <cellStyle name="20% - Accent6 2 2 7 2 2" xfId="15938" xr:uid="{CE568A99-C5B6-4544-98AB-3EA06B261C68}"/>
    <cellStyle name="20% - Accent6 2 2 7 3" xfId="11721" xr:uid="{DB867CE9-FC39-43D2-9E6B-E4301FC1340B}"/>
    <cellStyle name="20% - Accent6 2 2 8" xfId="4546" xr:uid="{00000000-0005-0000-0000-00004A030000}"/>
    <cellStyle name="20% - Accent6 2 2 8 2" xfId="13872" xr:uid="{12035E8F-9F41-4022-917A-BBB611B38163}"/>
    <cellStyle name="20% - Accent6 2 2 9" xfId="8898" xr:uid="{88686F75-037F-4072-9BDC-942546C51E8F}"/>
    <cellStyle name="20% - Accent6 2 2 9 2" xfId="18222" xr:uid="{A0E0D23D-F8FE-44F1-957B-A085F11238BC}"/>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72FFC99C-8BBF-4EF3-B03C-10BEB086D7F5}"/>
    <cellStyle name="20% - Accent6 2 3 2 2 3" xfId="12216" xr:uid="{67EBE189-6EB1-47F5-9A37-50DEC09C34EC}"/>
    <cellStyle name="20% - Accent6 2 3 2 3" xfId="4962" xr:uid="{00000000-0005-0000-0000-00004F030000}"/>
    <cellStyle name="20% - Accent6 2 3 2 3 2" xfId="14288" xr:uid="{6732B9A9-F996-4B50-8515-5D9FBCD0E0D8}"/>
    <cellStyle name="20% - Accent6 2 3 2 4" xfId="9427" xr:uid="{009378B6-C0A8-4C7C-A9A2-F91104842D93}"/>
    <cellStyle name="20% - Accent6 2 3 2 4 2" xfId="18742" xr:uid="{81658252-C5FD-4DD1-A8CC-5D2E23595C55}"/>
    <cellStyle name="20% - Accent6 2 3 2 5" xfId="10071" xr:uid="{5D15A209-FADE-402C-B3BF-D363F4636242}"/>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6BD3C83A-06AE-4F59-8EE0-9E8938B740FC}"/>
    <cellStyle name="20% - Accent6 2 3 3 2 3" xfId="12629" xr:uid="{E1F85211-70D9-4950-BA05-7C7FD47934DE}"/>
    <cellStyle name="20% - Accent6 2 3 3 3" xfId="5375" xr:uid="{00000000-0005-0000-0000-000053030000}"/>
    <cellStyle name="20% - Accent6 2 3 3 3 2" xfId="14701" xr:uid="{71E1D735-CFEE-4951-B5A3-D9E6794C11BC}"/>
    <cellStyle name="20% - Accent6 2 3 3 4" xfId="10484" xr:uid="{9BD0C025-772E-459A-B130-96313E33682B}"/>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78AB6C52-F685-4EF0-8579-0043A4AA7B2B}"/>
    <cellStyle name="20% - Accent6 2 3 4 2 3" xfId="13042" xr:uid="{0277AD21-AE18-4E26-A785-576B778892CD}"/>
    <cellStyle name="20% - Accent6 2 3 4 3" xfId="5788" xr:uid="{00000000-0005-0000-0000-000057030000}"/>
    <cellStyle name="20% - Accent6 2 3 4 3 2" xfId="15114" xr:uid="{CEE053EC-6BCB-4ECD-97FA-872E61A6C7E6}"/>
    <cellStyle name="20% - Accent6 2 3 4 4" xfId="10897" xr:uid="{35214D21-E553-4F43-80EB-A83187939900}"/>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A58F2BE7-FF79-4C13-BA1E-9E4136E412EF}"/>
    <cellStyle name="20% - Accent6 2 3 5 2 3" xfId="13455" xr:uid="{2027B36F-93A9-42CB-AE98-B4E919A9CD4B}"/>
    <cellStyle name="20% - Accent6 2 3 5 3" xfId="6201" xr:uid="{00000000-0005-0000-0000-00005B030000}"/>
    <cellStyle name="20% - Accent6 2 3 5 3 2" xfId="15527" xr:uid="{F0920916-ABC1-4DA9-B9C7-C98D6E7C451E}"/>
    <cellStyle name="20% - Accent6 2 3 5 4" xfId="11310" xr:uid="{2725F390-1229-4286-AB7F-83D202BCE571}"/>
    <cellStyle name="20% - Accent6 2 3 6" xfId="2308" xr:uid="{00000000-0005-0000-0000-00005C030000}"/>
    <cellStyle name="20% - Accent6 2 3 6 2" xfId="6614" xr:uid="{00000000-0005-0000-0000-00005D030000}"/>
    <cellStyle name="20% - Accent6 2 3 6 2 2" xfId="15940" xr:uid="{961FD9F1-9631-4413-92AD-F95305C9BB36}"/>
    <cellStyle name="20% - Accent6 2 3 6 3" xfId="11723" xr:uid="{AD8AC90D-DFDF-4B2F-A096-612D50581119}"/>
    <cellStyle name="20% - Accent6 2 3 7" xfId="4548" xr:uid="{00000000-0005-0000-0000-00005E030000}"/>
    <cellStyle name="20% - Accent6 2 3 7 2" xfId="13874" xr:uid="{EE36F030-104C-4371-82C9-C4632F5E04F1}"/>
    <cellStyle name="20% - Accent6 2 3 8" xfId="9002" xr:uid="{F69877AB-868C-474F-8F88-C5F2F1F2C041}"/>
    <cellStyle name="20% - Accent6 2 3 8 2" xfId="18326" xr:uid="{B6A810BE-E0AF-4BD2-8108-AE8080C39ED6}"/>
    <cellStyle name="20% - Accent6 2 3 9" xfId="9657" xr:uid="{35D50D34-8EB1-4134-B3FD-BF2BF3CF8F3B}"/>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F1AC30F9-4A4A-4383-A621-B430A094E63C}"/>
    <cellStyle name="20% - Accent6 2 4 2 3" xfId="12213" xr:uid="{BAC564E0-4DB1-4689-AF29-1F17BFAD9432}"/>
    <cellStyle name="20% - Accent6 2 4 3" xfId="4959" xr:uid="{00000000-0005-0000-0000-000062030000}"/>
    <cellStyle name="20% - Accent6 2 4 3 2" xfId="14285" xr:uid="{BC98AE55-8BFE-4E20-8BD9-9F3FDED4A1EB}"/>
    <cellStyle name="20% - Accent6 2 4 4" xfId="9219" xr:uid="{C8AD75F8-261B-45C4-93F0-0E0A49EEEF79}"/>
    <cellStyle name="20% - Accent6 2 4 4 2" xfId="18535" xr:uid="{702078FB-1B41-44C0-B124-DE9A75F51475}"/>
    <cellStyle name="20% - Accent6 2 4 5" xfId="10068" xr:uid="{8340C3A4-FD7B-445B-9A18-CA49BE8F4219}"/>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43F5DDDB-91A5-461B-99D0-753B09CC2CB7}"/>
    <cellStyle name="20% - Accent6 2 5 2 3" xfId="12626" xr:uid="{108FE561-4CD2-42DD-B7A7-B58F14DC8587}"/>
    <cellStyle name="20% - Accent6 2 5 3" xfId="5372" xr:uid="{00000000-0005-0000-0000-000066030000}"/>
    <cellStyle name="20% - Accent6 2 5 3 2" xfId="14698" xr:uid="{34FC457B-2B2B-4979-A695-E45C50493A0B}"/>
    <cellStyle name="20% - Accent6 2 5 4" xfId="10481" xr:uid="{986290C4-36EE-4F9F-8F7F-C1981E2BA5EB}"/>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B936DA58-1F5E-493B-B5BB-9AEC5686B358}"/>
    <cellStyle name="20% - Accent6 2 6 2 3" xfId="13039" xr:uid="{80676270-00BE-428F-846A-6125D35100C5}"/>
    <cellStyle name="20% - Accent6 2 6 3" xfId="5785" xr:uid="{00000000-0005-0000-0000-00006A030000}"/>
    <cellStyle name="20% - Accent6 2 6 3 2" xfId="15111" xr:uid="{1664C1DF-4DF3-44CA-BA1F-1AA9A41F4D98}"/>
    <cellStyle name="20% - Accent6 2 6 4" xfId="10894" xr:uid="{F4D93810-FD64-4CE4-9A0E-5DB21309673F}"/>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CB3A6F0F-C21D-4A7A-8ABF-FD0BCD8EBEC4}"/>
    <cellStyle name="20% - Accent6 2 7 2 3" xfId="13452" xr:uid="{035AC627-8F9B-47AC-9799-D5D7B216E39E}"/>
    <cellStyle name="20% - Accent6 2 7 3" xfId="6198" xr:uid="{00000000-0005-0000-0000-00006E030000}"/>
    <cellStyle name="20% - Accent6 2 7 3 2" xfId="15524" xr:uid="{E4EB4630-FA19-44F0-AAB5-C448A99E403B}"/>
    <cellStyle name="20% - Accent6 2 7 4" xfId="11307" xr:uid="{2178D143-C740-4D49-B7C4-D8FE1981E58F}"/>
    <cellStyle name="20% - Accent6 2 8" xfId="2305" xr:uid="{00000000-0005-0000-0000-00006F030000}"/>
    <cellStyle name="20% - Accent6 2 8 2" xfId="6611" xr:uid="{00000000-0005-0000-0000-000070030000}"/>
    <cellStyle name="20% - Accent6 2 8 2 2" xfId="15937" xr:uid="{87179B26-EC22-445C-A9B8-66167FD122E5}"/>
    <cellStyle name="20% - Accent6 2 8 3" xfId="11720" xr:uid="{CA05A5F7-1433-4336-8B40-641FF05B1D4F}"/>
    <cellStyle name="20% - Accent6 2 9" xfId="4545" xr:uid="{00000000-0005-0000-0000-000071030000}"/>
    <cellStyle name="20% - Accent6 2 9 2" xfId="13871" xr:uid="{557B7778-189C-442F-9340-8D57FC9454A0}"/>
    <cellStyle name="20% - Accent6 3" xfId="46" xr:uid="{00000000-0005-0000-0000-000072030000}"/>
    <cellStyle name="20% - Accent6 3 10" xfId="9658" xr:uid="{1057848A-BD6B-4306-9DCB-7DCD513891B3}"/>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BFE98F7C-62D7-4D54-BE4B-659F0BE95151}"/>
    <cellStyle name="20% - Accent6 3 2 2 2 3" xfId="12218" xr:uid="{8F3122DA-1278-49E5-BD35-AFBED85F4A78}"/>
    <cellStyle name="20% - Accent6 3 2 2 3" xfId="4964" xr:uid="{00000000-0005-0000-0000-000077030000}"/>
    <cellStyle name="20% - Accent6 3 2 2 3 2" xfId="14290" xr:uid="{39671095-506E-46ED-9C31-9331F992D79B}"/>
    <cellStyle name="20% - Accent6 3 2 2 4" xfId="9503" xr:uid="{A5A3EDF8-16EA-4A86-8795-C3BA46FE244A}"/>
    <cellStyle name="20% - Accent6 3 2 2 4 2" xfId="18818" xr:uid="{2BF93A28-0D0F-4D32-A3D7-86664E796D26}"/>
    <cellStyle name="20% - Accent6 3 2 2 5" xfId="10073" xr:uid="{2D730301-A3BF-4F9B-99F4-2DCC63FDFB20}"/>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8DA93CEE-03DF-48B3-8CF1-6C6DC6CCE570}"/>
    <cellStyle name="20% - Accent6 3 2 3 2 3" xfId="12631" xr:uid="{C9C03971-371E-4BEF-A58C-D3597D11BC86}"/>
    <cellStyle name="20% - Accent6 3 2 3 3" xfId="5377" xr:uid="{00000000-0005-0000-0000-00007B030000}"/>
    <cellStyle name="20% - Accent6 3 2 3 3 2" xfId="14703" xr:uid="{287B8C17-EAE3-4BA5-AB59-981367975AC2}"/>
    <cellStyle name="20% - Accent6 3 2 3 4" xfId="10486" xr:uid="{E0F40535-67CB-44C1-ACAA-B956665D9DBD}"/>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8EB5A239-022F-4496-AA45-4B6EF1DB8CF7}"/>
    <cellStyle name="20% - Accent6 3 2 4 2 3" xfId="13044" xr:uid="{A9C34C1E-88B7-461A-B364-F532C82689FF}"/>
    <cellStyle name="20% - Accent6 3 2 4 3" xfId="5790" xr:uid="{00000000-0005-0000-0000-00007F030000}"/>
    <cellStyle name="20% - Accent6 3 2 4 3 2" xfId="15116" xr:uid="{4E956877-57CC-4CE9-8760-3CBC6E2AA37D}"/>
    <cellStyle name="20% - Accent6 3 2 4 4" xfId="10899" xr:uid="{C9FC8F7A-AFCB-4B32-BC81-E0269DC348BD}"/>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DF781AF5-5E4A-4A43-9AD0-DECCD3F32F4F}"/>
    <cellStyle name="20% - Accent6 3 2 5 2 3" xfId="13457" xr:uid="{1D068D04-57D3-4E5D-9677-C757F61F05FC}"/>
    <cellStyle name="20% - Accent6 3 2 5 3" xfId="6203" xr:uid="{00000000-0005-0000-0000-000083030000}"/>
    <cellStyle name="20% - Accent6 3 2 5 3 2" xfId="15529" xr:uid="{B9E0A8AA-DC9A-41FC-910C-F9C54F0899B0}"/>
    <cellStyle name="20% - Accent6 3 2 5 4" xfId="11312" xr:uid="{7D1C1A5C-5B97-40DD-BE02-021FD76B4D2A}"/>
    <cellStyle name="20% - Accent6 3 2 6" xfId="2310" xr:uid="{00000000-0005-0000-0000-000084030000}"/>
    <cellStyle name="20% - Accent6 3 2 6 2" xfId="6616" xr:uid="{00000000-0005-0000-0000-000085030000}"/>
    <cellStyle name="20% - Accent6 3 2 6 2 2" xfId="15942" xr:uid="{14CEAE24-6EB6-4E7C-BF79-F11A8456FFC3}"/>
    <cellStyle name="20% - Accent6 3 2 6 3" xfId="11725" xr:uid="{C646711B-0E80-41FD-9A48-11EEE98D92FE}"/>
    <cellStyle name="20% - Accent6 3 2 7" xfId="4550" xr:uid="{00000000-0005-0000-0000-000086030000}"/>
    <cellStyle name="20% - Accent6 3 2 7 2" xfId="13876" xr:uid="{5CE5CC38-1A46-45A4-B3B8-61297417735A}"/>
    <cellStyle name="20% - Accent6 3 2 8" xfId="9078" xr:uid="{55C63253-C10A-44F0-A9A1-D3E9AD1B1E77}"/>
    <cellStyle name="20% - Accent6 3 2 8 2" xfId="18402" xr:uid="{F87632FD-6D28-4E66-BF76-34455AC85159}"/>
    <cellStyle name="20% - Accent6 3 2 9" xfId="9659" xr:uid="{55351FEF-CF1F-4100-959B-39F95149D40C}"/>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CEADD024-3A12-44FA-8943-2114BD0D70D6}"/>
    <cellStyle name="20% - Accent6 3 3 2 3" xfId="12217" xr:uid="{1B062883-7D21-4702-B902-F3F5F7D56772}"/>
    <cellStyle name="20% - Accent6 3 3 3" xfId="4963" xr:uid="{00000000-0005-0000-0000-00008A030000}"/>
    <cellStyle name="20% - Accent6 3 3 3 2" xfId="14289" xr:uid="{DF69B434-6D22-49BE-9B1D-A5525B81E580}"/>
    <cellStyle name="20% - Accent6 3 3 4" xfId="9296" xr:uid="{68DBDAD1-945F-459A-93CE-56D312D1EDE4}"/>
    <cellStyle name="20% - Accent6 3 3 4 2" xfId="18611" xr:uid="{E1AD3527-341A-4A6A-A45A-0E29DABAD16C}"/>
    <cellStyle name="20% - Accent6 3 3 5" xfId="10072" xr:uid="{848A1209-B775-4E9F-A7E8-62E6F0AE913B}"/>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90CD5D35-9A51-4828-844A-43ED6ED06311}"/>
    <cellStyle name="20% - Accent6 3 4 2 3" xfId="12630" xr:uid="{7F868C35-EED1-4A13-9E91-433EA0CD3FF0}"/>
    <cellStyle name="20% - Accent6 3 4 3" xfId="5376" xr:uid="{00000000-0005-0000-0000-00008E030000}"/>
    <cellStyle name="20% - Accent6 3 4 3 2" xfId="14702" xr:uid="{66F4893B-631F-4222-8EDE-E63AE7FB8820}"/>
    <cellStyle name="20% - Accent6 3 4 4" xfId="10485" xr:uid="{92E4EA07-BAB4-43E2-A6AC-A42F17810F53}"/>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1F59D842-002C-4A54-89B7-AD53C85205AD}"/>
    <cellStyle name="20% - Accent6 3 5 2 3" xfId="13043" xr:uid="{41E90017-9DDC-4EAB-A698-4CF2FB42CB5D}"/>
    <cellStyle name="20% - Accent6 3 5 3" xfId="5789" xr:uid="{00000000-0005-0000-0000-000092030000}"/>
    <cellStyle name="20% - Accent6 3 5 3 2" xfId="15115" xr:uid="{B991E8F5-3888-40C0-88F8-6E9DB398EB31}"/>
    <cellStyle name="20% - Accent6 3 5 4" xfId="10898" xr:uid="{5768E488-3972-4081-B5D3-E8A173500F43}"/>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0A6E49A1-9EC2-4C70-B7B3-78A61C857A89}"/>
    <cellStyle name="20% - Accent6 3 6 2 3" xfId="13456" xr:uid="{26EC1C10-91D0-4CBE-B375-AE66D395623F}"/>
    <cellStyle name="20% - Accent6 3 6 3" xfId="6202" xr:uid="{00000000-0005-0000-0000-000096030000}"/>
    <cellStyle name="20% - Accent6 3 6 3 2" xfId="15528" xr:uid="{5E0E5875-597E-46BF-85E1-0BBC5A566DF0}"/>
    <cellStyle name="20% - Accent6 3 6 4" xfId="11311" xr:uid="{8B0DA4F9-D5E1-4198-B106-20FF27B42431}"/>
    <cellStyle name="20% - Accent6 3 7" xfId="2309" xr:uid="{00000000-0005-0000-0000-000097030000}"/>
    <cellStyle name="20% - Accent6 3 7 2" xfId="6615" xr:uid="{00000000-0005-0000-0000-000098030000}"/>
    <cellStyle name="20% - Accent6 3 7 2 2" xfId="15941" xr:uid="{19512D89-F8FD-426B-BFBE-D1C072A28037}"/>
    <cellStyle name="20% - Accent6 3 7 3" xfId="11724" xr:uid="{36D6CF33-67E6-4D46-9DBA-8DA47FEC89E6}"/>
    <cellStyle name="20% - Accent6 3 8" xfId="4549" xr:uid="{00000000-0005-0000-0000-000099030000}"/>
    <cellStyle name="20% - Accent6 3 8 2" xfId="13875" xr:uid="{24685C43-0B00-4B1B-9A8D-8840900D0080}"/>
    <cellStyle name="20% - Accent6 3 9" xfId="8871" xr:uid="{6A653046-C3D6-46DC-9DAA-DA1241CBE9F0}"/>
    <cellStyle name="20% - Accent6 3 9 2" xfId="18195" xr:uid="{FF4EBA11-3F72-4AB7-975B-6B299BB4A606}"/>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861AB85B-2053-4156-B2C2-0C862BD9B501}"/>
    <cellStyle name="20% - Accent6 4 2 2 3" xfId="12219" xr:uid="{13C38441-934C-4BF7-AFD8-2BFDDFB0160C}"/>
    <cellStyle name="20% - Accent6 4 2 3" xfId="4965" xr:uid="{00000000-0005-0000-0000-00009E030000}"/>
    <cellStyle name="20% - Accent6 4 2 3 2" xfId="14291" xr:uid="{D029D309-CB91-4B24-A2CD-B21EE562604A}"/>
    <cellStyle name="20% - Accent6 4 2 4" xfId="9382" xr:uid="{704ED43C-A59A-4E80-A03F-B933767E3A55}"/>
    <cellStyle name="20% - Accent6 4 2 4 2" xfId="18697" xr:uid="{B3FD05BD-D4E7-4776-9B3E-CC0B7AA92A14}"/>
    <cellStyle name="20% - Accent6 4 2 5" xfId="10074" xr:uid="{1A1F8C27-4D3D-44FE-93D4-CF1AAF39DE1E}"/>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D182FD26-080E-44D4-A609-D7507948BDB9}"/>
    <cellStyle name="20% - Accent6 4 3 2 3" xfId="12632" xr:uid="{6954D5D2-EE51-457E-AB3A-0FEA99256C7C}"/>
    <cellStyle name="20% - Accent6 4 3 3" xfId="5378" xr:uid="{00000000-0005-0000-0000-0000A2030000}"/>
    <cellStyle name="20% - Accent6 4 3 3 2" xfId="14704" xr:uid="{A328DC5E-1BB8-479C-82B8-3230D0F8AD6D}"/>
    <cellStyle name="20% - Accent6 4 3 4" xfId="10487" xr:uid="{2C39BEC0-2FC8-4D93-93A1-FE5A4CE81A08}"/>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5288FB4C-F780-4424-AEF3-D3624082C5BE}"/>
    <cellStyle name="20% - Accent6 4 4 2 3" xfId="13045" xr:uid="{DEA2B6F8-97B4-4A7E-9940-74ACE8BF869C}"/>
    <cellStyle name="20% - Accent6 4 4 3" xfId="5791" xr:uid="{00000000-0005-0000-0000-0000A6030000}"/>
    <cellStyle name="20% - Accent6 4 4 3 2" xfId="15117" xr:uid="{6803D80A-F69C-4F8A-BB2D-C67E12BA0467}"/>
    <cellStyle name="20% - Accent6 4 4 4" xfId="10900" xr:uid="{9B89C981-CF9F-4D58-B415-79E41CBB25E0}"/>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A6D57E60-661D-4BD5-9B0F-8EC665EC3CDC}"/>
    <cellStyle name="20% - Accent6 4 5 2 3" xfId="13458" xr:uid="{63631A18-3D62-41F1-9BC8-8A1D84E4CADC}"/>
    <cellStyle name="20% - Accent6 4 5 3" xfId="6204" xr:uid="{00000000-0005-0000-0000-0000AA030000}"/>
    <cellStyle name="20% - Accent6 4 5 3 2" xfId="15530" xr:uid="{BA6BF20A-3972-4CAE-8D20-09927E0B974B}"/>
    <cellStyle name="20% - Accent6 4 5 4" xfId="11313" xr:uid="{EBCA371D-5D6D-462B-A651-25A3CA4BD497}"/>
    <cellStyle name="20% - Accent6 4 6" xfId="2311" xr:uid="{00000000-0005-0000-0000-0000AB030000}"/>
    <cellStyle name="20% - Accent6 4 6 2" xfId="6617" xr:uid="{00000000-0005-0000-0000-0000AC030000}"/>
    <cellStyle name="20% - Accent6 4 6 2 2" xfId="15943" xr:uid="{CA18D734-B6F4-465E-AB44-22C18D1B11BC}"/>
    <cellStyle name="20% - Accent6 4 6 3" xfId="11726" xr:uid="{0110F171-87FE-4314-8606-9D6F80C6A71E}"/>
    <cellStyle name="20% - Accent6 4 7" xfId="4551" xr:uid="{00000000-0005-0000-0000-0000AD030000}"/>
    <cellStyle name="20% - Accent6 4 7 2" xfId="13877" xr:uid="{2B314792-7A5B-4707-BE1A-8CEA801AD1DE}"/>
    <cellStyle name="20% - Accent6 4 8" xfId="8957" xr:uid="{03E1DA3A-6A3F-4C0D-9844-2D38E7BA13BC}"/>
    <cellStyle name="20% - Accent6 4 8 2" xfId="18281" xr:uid="{3DDEC211-F121-4F8A-9E28-6BB19A4F8FAA}"/>
    <cellStyle name="20% - Accent6 4 9" xfId="9660" xr:uid="{E5501F77-9491-44FE-88F6-8DC92EC7E469}"/>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E5A1EFDE-2A04-4470-B17F-A83C09F84A07}"/>
    <cellStyle name="20% - Accent6 5 2 3" xfId="12212" xr:uid="{2D095DC5-C89A-4183-AA13-76CA9A01BB35}"/>
    <cellStyle name="20% - Accent6 5 3" xfId="4958" xr:uid="{00000000-0005-0000-0000-0000B1030000}"/>
    <cellStyle name="20% - Accent6 5 3 2" xfId="14284" xr:uid="{6E6AFBF3-95C8-4EED-843A-DBAAD4835E04}"/>
    <cellStyle name="20% - Accent6 5 4" xfId="9191" xr:uid="{C812E2E5-5572-4E86-9CB6-C7C53792C044}"/>
    <cellStyle name="20% - Accent6 5 4 2" xfId="18508" xr:uid="{78F2FFF9-7F80-4E07-87EF-513C9541C298}"/>
    <cellStyle name="20% - Accent6 5 5" xfId="10067" xr:uid="{378D7CCB-CBF2-4397-A190-3F6BB05E716B}"/>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E9E3A93C-46DF-4506-B55E-F62D19A73617}"/>
    <cellStyle name="20% - Accent6 6 2 3" xfId="12625" xr:uid="{0AD024CA-674F-4FB8-B939-C861517154C6}"/>
    <cellStyle name="20% - Accent6 6 3" xfId="5371" xr:uid="{00000000-0005-0000-0000-0000B5030000}"/>
    <cellStyle name="20% - Accent6 6 3 2" xfId="14697" xr:uid="{815245B3-76EE-4BB9-85A9-955EAAB1210F}"/>
    <cellStyle name="20% - Accent6 6 4" xfId="10480" xr:uid="{2AD7A087-E4CC-473A-9EA8-03C88E8BA962}"/>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67B0A78E-2016-4283-A4E0-B04DEE91A6E2}"/>
    <cellStyle name="20% - Accent6 7 2 3" xfId="13038" xr:uid="{2DCB13E2-326C-4678-9C8B-5068A38E39B9}"/>
    <cellStyle name="20% - Accent6 7 3" xfId="5784" xr:uid="{00000000-0005-0000-0000-0000B9030000}"/>
    <cellStyle name="20% - Accent6 7 3 2" xfId="15110" xr:uid="{6DFD97E7-F63B-4A56-B908-EAF3CD6CC71E}"/>
    <cellStyle name="20% - Accent6 7 4" xfId="10893" xr:uid="{2DA981D3-B367-4A74-937A-E2680F9F7E70}"/>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9F456FD7-2AAC-45BB-94FB-EC69D0D7C485}"/>
    <cellStyle name="20% - Accent6 8 2 3" xfId="13451" xr:uid="{86ABA61F-7D08-4110-9F93-203DD8DBE6A6}"/>
    <cellStyle name="20% - Accent6 8 3" xfId="6197" xr:uid="{00000000-0005-0000-0000-0000BD030000}"/>
    <cellStyle name="20% - Accent6 8 3 2" xfId="15523" xr:uid="{A5577052-72C8-4C4B-924E-3FD1142B01E7}"/>
    <cellStyle name="20% - Accent6 8 4" xfId="11306" xr:uid="{BA651EF8-B3F0-4FE0-83CE-7A66AD59D3BC}"/>
    <cellStyle name="20% - Accent6 9" xfId="2304" xr:uid="{00000000-0005-0000-0000-0000BE030000}"/>
    <cellStyle name="20% - Accent6 9 2" xfId="6610" xr:uid="{00000000-0005-0000-0000-0000BF030000}"/>
    <cellStyle name="20% - Accent6 9 2 2" xfId="15936" xr:uid="{50AC9A41-8F19-4C8B-A0AC-F820EBE3AAB7}"/>
    <cellStyle name="20% - Accent6 9 3" xfId="11719" xr:uid="{51A6F844-EEAE-456B-8223-A0B59A4BA07E}"/>
    <cellStyle name="40% - Accent1" xfId="49" builtinId="31" customBuiltin="1"/>
    <cellStyle name="40% - Accent1 10" xfId="4552" xr:uid="{00000000-0005-0000-0000-0000C1030000}"/>
    <cellStyle name="40% - Accent1 10 2" xfId="13878" xr:uid="{5B4DCF05-11F1-482B-861C-E60D3F93377A}"/>
    <cellStyle name="40% - Accent1 11" xfId="8759" xr:uid="{E0AA4078-00FF-4C00-81ED-1F048AC6C533}"/>
    <cellStyle name="40% - Accent1 11 2" xfId="18083" xr:uid="{B36B2C21-7E46-4228-B2D3-AB431783DC87}"/>
    <cellStyle name="40% - Accent1 12" xfId="9661" xr:uid="{3EB7CC9A-231C-4C40-97F9-6A9329A0B3F8}"/>
    <cellStyle name="40% - Accent1 2" xfId="50" xr:uid="{00000000-0005-0000-0000-0000C2030000}"/>
    <cellStyle name="40% - Accent1 2 10" xfId="8798" xr:uid="{82026451-631C-40CA-BC49-BE5DA2EA921A}"/>
    <cellStyle name="40% - Accent1 2 10 2" xfId="18122" xr:uid="{29FA537D-4619-4777-8301-2D80B9BC8EF1}"/>
    <cellStyle name="40% - Accent1 2 11" xfId="9662" xr:uid="{B8984359-B4C1-4FE3-9E27-EE88D8E3D38C}"/>
    <cellStyle name="40% - Accent1 2 2" xfId="51" xr:uid="{00000000-0005-0000-0000-0000C3030000}"/>
    <cellStyle name="40% - Accent1 2 2 10" xfId="9663" xr:uid="{A45EDFFC-F8A4-452F-9E1E-9CAD906083AD}"/>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32AD9624-A7A3-456A-BB3E-F7A32ECD1B0F}"/>
    <cellStyle name="40% - Accent1 2 2 2 2 2 3" xfId="12223" xr:uid="{25EC94AE-05CF-4CAF-B353-5EF0E82A6EF2}"/>
    <cellStyle name="40% - Accent1 2 2 2 2 3" xfId="4969" xr:uid="{00000000-0005-0000-0000-0000C8030000}"/>
    <cellStyle name="40% - Accent1 2 2 2 2 3 2" xfId="14295" xr:uid="{F9D42A96-B562-43E5-8809-361C704F940F}"/>
    <cellStyle name="40% - Accent1 2 2 2 2 4" xfId="9533" xr:uid="{757B5AC4-115E-4B90-B4EA-505C31F9B178}"/>
    <cellStyle name="40% - Accent1 2 2 2 2 4 2" xfId="18848" xr:uid="{34E17071-C2E8-41C7-8365-9EF2753AFC8A}"/>
    <cellStyle name="40% - Accent1 2 2 2 2 5" xfId="10078" xr:uid="{106380D9-39A6-47E9-9C1A-D6CAA0B3BCC9}"/>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1E42A2F0-1572-48F5-B789-D98B1A1FD190}"/>
    <cellStyle name="40% - Accent1 2 2 2 3 2 3" xfId="12636" xr:uid="{B66C9A47-342B-41B1-86C9-CA5260C80AE5}"/>
    <cellStyle name="40% - Accent1 2 2 2 3 3" xfId="5382" xr:uid="{00000000-0005-0000-0000-0000CC030000}"/>
    <cellStyle name="40% - Accent1 2 2 2 3 3 2" xfId="14708" xr:uid="{8E8EF745-2A8C-4EF5-BE31-006C9ED2B4A2}"/>
    <cellStyle name="40% - Accent1 2 2 2 3 4" xfId="10491" xr:uid="{6D84F8A6-9DA6-437B-8CA7-5961E7801281}"/>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C02F63AA-83C5-4CA5-B458-72CA6CD09DFB}"/>
    <cellStyle name="40% - Accent1 2 2 2 4 2 3" xfId="13049" xr:uid="{629FE2BF-DEB0-40E7-BB20-448E76ABEF8E}"/>
    <cellStyle name="40% - Accent1 2 2 2 4 3" xfId="5795" xr:uid="{00000000-0005-0000-0000-0000D0030000}"/>
    <cellStyle name="40% - Accent1 2 2 2 4 3 2" xfId="15121" xr:uid="{22A6ACE2-19EA-42F5-B853-A0BE718D0C33}"/>
    <cellStyle name="40% - Accent1 2 2 2 4 4" xfId="10904" xr:uid="{270EE6D0-7AFC-4446-BC8A-1CF3B0532B2B}"/>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86F684CB-5BA4-4B12-B7E1-85B7CB04285E}"/>
    <cellStyle name="40% - Accent1 2 2 2 5 2 3" xfId="13462" xr:uid="{6523141D-1508-4EF8-A0BF-F88757E79681}"/>
    <cellStyle name="40% - Accent1 2 2 2 5 3" xfId="6208" xr:uid="{00000000-0005-0000-0000-0000D4030000}"/>
    <cellStyle name="40% - Accent1 2 2 2 5 3 2" xfId="15534" xr:uid="{7696FC89-14D9-425E-8840-63667310235A}"/>
    <cellStyle name="40% - Accent1 2 2 2 5 4" xfId="11317" xr:uid="{88FC28B9-B024-495B-A4BE-0ACF72B936D3}"/>
    <cellStyle name="40% - Accent1 2 2 2 6" xfId="2315" xr:uid="{00000000-0005-0000-0000-0000D5030000}"/>
    <cellStyle name="40% - Accent1 2 2 2 6 2" xfId="6621" xr:uid="{00000000-0005-0000-0000-0000D6030000}"/>
    <cellStyle name="40% - Accent1 2 2 2 6 2 2" xfId="15947" xr:uid="{72409269-4C53-40D8-8FE8-E2FFF1D1D0B7}"/>
    <cellStyle name="40% - Accent1 2 2 2 6 3" xfId="11730" xr:uid="{4524329B-398B-4BB1-813B-52710A1C4753}"/>
    <cellStyle name="40% - Accent1 2 2 2 7" xfId="4555" xr:uid="{00000000-0005-0000-0000-0000D7030000}"/>
    <cellStyle name="40% - Accent1 2 2 2 7 2" xfId="13881" xr:uid="{7F87B6EC-7F7D-4391-BFBD-7707B2FCDB84}"/>
    <cellStyle name="40% - Accent1 2 2 2 8" xfId="9108" xr:uid="{1189B5E8-DD3C-4F9A-ACD3-DB853C0AC60B}"/>
    <cellStyle name="40% - Accent1 2 2 2 8 2" xfId="18432" xr:uid="{6AF4444C-FEB1-47EE-A8B9-FC68038E2B99}"/>
    <cellStyle name="40% - Accent1 2 2 2 9" xfId="9664" xr:uid="{58249DA1-0F2C-4450-AA4A-BA5B5BF51A29}"/>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E31E6722-E75D-4B5F-9AE9-76B638981FAA}"/>
    <cellStyle name="40% - Accent1 2 2 3 2 3" xfId="12222" xr:uid="{95874450-12DD-4EE5-AD26-24F446961965}"/>
    <cellStyle name="40% - Accent1 2 2 3 3" xfId="4968" xr:uid="{00000000-0005-0000-0000-0000DB030000}"/>
    <cellStyle name="40% - Accent1 2 2 3 3 2" xfId="14294" xr:uid="{3804C8A7-7386-46A7-BDBB-D1F9740A8AAD}"/>
    <cellStyle name="40% - Accent1 2 2 3 4" xfId="9326" xr:uid="{6D693950-F4D3-4A82-8C01-49E2379281D4}"/>
    <cellStyle name="40% - Accent1 2 2 3 4 2" xfId="18641" xr:uid="{46565374-2F75-4E1D-A59E-C3C0843B0DAB}"/>
    <cellStyle name="40% - Accent1 2 2 3 5" xfId="10077" xr:uid="{4760871F-91F2-4EEC-B1D6-1D6260E730A4}"/>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8DEF55A0-B4E6-489A-A328-F10F260BF23A}"/>
    <cellStyle name="40% - Accent1 2 2 4 2 3" xfId="12635" xr:uid="{58E1B026-FD46-4F29-A9DD-230A10FD1EDE}"/>
    <cellStyle name="40% - Accent1 2 2 4 3" xfId="5381" xr:uid="{00000000-0005-0000-0000-0000DF030000}"/>
    <cellStyle name="40% - Accent1 2 2 4 3 2" xfId="14707" xr:uid="{35EA0C54-3285-4AFD-849B-3FBCE6532C10}"/>
    <cellStyle name="40% - Accent1 2 2 4 4" xfId="10490" xr:uid="{8143D792-2449-4AA4-B4A1-9AD6623F6DB2}"/>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0041F77E-4D73-4E7A-9AF7-98501F0D3878}"/>
    <cellStyle name="40% - Accent1 2 2 5 2 3" xfId="13048" xr:uid="{DC0457B2-A895-4B79-BFB7-F4230F9D7E25}"/>
    <cellStyle name="40% - Accent1 2 2 5 3" xfId="5794" xr:uid="{00000000-0005-0000-0000-0000E3030000}"/>
    <cellStyle name="40% - Accent1 2 2 5 3 2" xfId="15120" xr:uid="{3774526C-EACD-4241-B539-894E98394DB7}"/>
    <cellStyle name="40% - Accent1 2 2 5 4" xfId="10903" xr:uid="{D3B7A52D-B757-4694-B93A-50B730FB8F07}"/>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B196974A-270C-4E84-A7A3-2A31F242B58B}"/>
    <cellStyle name="40% - Accent1 2 2 6 2 3" xfId="13461" xr:uid="{05689D1B-D54E-450A-BB94-F2EEFD777EB4}"/>
    <cellStyle name="40% - Accent1 2 2 6 3" xfId="6207" xr:uid="{00000000-0005-0000-0000-0000E7030000}"/>
    <cellStyle name="40% - Accent1 2 2 6 3 2" xfId="15533" xr:uid="{D1D7AB6E-AD9F-4E8C-9487-8C1C7F220877}"/>
    <cellStyle name="40% - Accent1 2 2 6 4" xfId="11316" xr:uid="{2694B719-C081-4DCC-B69C-997A5E13C2B8}"/>
    <cellStyle name="40% - Accent1 2 2 7" xfId="2314" xr:uid="{00000000-0005-0000-0000-0000E8030000}"/>
    <cellStyle name="40% - Accent1 2 2 7 2" xfId="6620" xr:uid="{00000000-0005-0000-0000-0000E9030000}"/>
    <cellStyle name="40% - Accent1 2 2 7 2 2" xfId="15946" xr:uid="{47318D25-A312-4895-BB25-8510729CA139}"/>
    <cellStyle name="40% - Accent1 2 2 7 3" xfId="11729" xr:uid="{979F7A3E-3B60-437F-9610-8B7B71E1CF57}"/>
    <cellStyle name="40% - Accent1 2 2 8" xfId="4554" xr:uid="{00000000-0005-0000-0000-0000EA030000}"/>
    <cellStyle name="40% - Accent1 2 2 8 2" xfId="13880" xr:uid="{085333A9-916E-4532-B0C8-B9946248D0F0}"/>
    <cellStyle name="40% - Accent1 2 2 9" xfId="8901" xr:uid="{10130317-AF31-4351-8201-FD8BD447EA3C}"/>
    <cellStyle name="40% - Accent1 2 2 9 2" xfId="18225" xr:uid="{8F93B2AB-14C1-44F9-BAA1-FCFF279FD445}"/>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E008372A-DF40-490F-B63C-5FBC18172ADF}"/>
    <cellStyle name="40% - Accent1 2 3 2 2 3" xfId="12224" xr:uid="{19CB527E-FB06-4044-821E-4B78DDB5BAF7}"/>
    <cellStyle name="40% - Accent1 2 3 2 3" xfId="4970" xr:uid="{00000000-0005-0000-0000-0000EF030000}"/>
    <cellStyle name="40% - Accent1 2 3 2 3 2" xfId="14296" xr:uid="{E8C05571-949C-4B7A-8190-FF8FB687C005}"/>
    <cellStyle name="40% - Accent1 2 3 2 4" xfId="9430" xr:uid="{C79D1FB2-141C-4301-8F37-B3B9643C0550}"/>
    <cellStyle name="40% - Accent1 2 3 2 4 2" xfId="18745" xr:uid="{B6440D32-76B6-45AC-B9FC-33583CB59018}"/>
    <cellStyle name="40% - Accent1 2 3 2 5" xfId="10079" xr:uid="{938BE396-A2F0-4806-B3E2-BDB236A9F011}"/>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7962DF87-D75A-4C2B-9B6C-8BA836523CB7}"/>
    <cellStyle name="40% - Accent1 2 3 3 2 3" xfId="12637" xr:uid="{A131A5D0-B86B-483C-B7D0-1EB0390A6F64}"/>
    <cellStyle name="40% - Accent1 2 3 3 3" xfId="5383" xr:uid="{00000000-0005-0000-0000-0000F3030000}"/>
    <cellStyle name="40% - Accent1 2 3 3 3 2" xfId="14709" xr:uid="{669F05E8-4167-4E5B-B657-E7D4D6266E03}"/>
    <cellStyle name="40% - Accent1 2 3 3 4" xfId="10492" xr:uid="{3E0373F7-AE25-4BDF-8382-A958EBC7EAD4}"/>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03DD551F-CE05-4F78-8E6D-760319F365FD}"/>
    <cellStyle name="40% - Accent1 2 3 4 2 3" xfId="13050" xr:uid="{793D0640-44DC-4FF7-A68D-D3ED4FBB96B3}"/>
    <cellStyle name="40% - Accent1 2 3 4 3" xfId="5796" xr:uid="{00000000-0005-0000-0000-0000F7030000}"/>
    <cellStyle name="40% - Accent1 2 3 4 3 2" xfId="15122" xr:uid="{FCEB84C4-F4FE-48B2-AC5B-74CCF6FF84CD}"/>
    <cellStyle name="40% - Accent1 2 3 4 4" xfId="10905" xr:uid="{3B99A65D-0D60-402A-8F50-F7E1529E94F0}"/>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D1A4AEF6-C40E-42B6-818A-BFA77689F08A}"/>
    <cellStyle name="40% - Accent1 2 3 5 2 3" xfId="13463" xr:uid="{E4D9C8A7-3A0F-4A47-87F8-4985A0D463B7}"/>
    <cellStyle name="40% - Accent1 2 3 5 3" xfId="6209" xr:uid="{00000000-0005-0000-0000-0000FB030000}"/>
    <cellStyle name="40% - Accent1 2 3 5 3 2" xfId="15535" xr:uid="{569F661F-3D70-4D09-BDF5-37ED0BC683AC}"/>
    <cellStyle name="40% - Accent1 2 3 5 4" xfId="11318" xr:uid="{FADEC76F-2476-42E8-8C53-1D7AEBBF9256}"/>
    <cellStyle name="40% - Accent1 2 3 6" xfId="2316" xr:uid="{00000000-0005-0000-0000-0000FC030000}"/>
    <cellStyle name="40% - Accent1 2 3 6 2" xfId="6622" xr:uid="{00000000-0005-0000-0000-0000FD030000}"/>
    <cellStyle name="40% - Accent1 2 3 6 2 2" xfId="15948" xr:uid="{FF39B274-1EBD-47B8-8281-7F79B14510AF}"/>
    <cellStyle name="40% - Accent1 2 3 6 3" xfId="11731" xr:uid="{81D2A228-90C1-45AE-88BB-9D6AC132B058}"/>
    <cellStyle name="40% - Accent1 2 3 7" xfId="4556" xr:uid="{00000000-0005-0000-0000-0000FE030000}"/>
    <cellStyle name="40% - Accent1 2 3 7 2" xfId="13882" xr:uid="{43171FAA-1231-438C-8B6C-515FC91AC8AC}"/>
    <cellStyle name="40% - Accent1 2 3 8" xfId="9005" xr:uid="{83AF69B9-664F-4E19-B721-7989C2FEBC0C}"/>
    <cellStyle name="40% - Accent1 2 3 8 2" xfId="18329" xr:uid="{F4196397-CED6-431A-BF40-36B2B707688D}"/>
    <cellStyle name="40% - Accent1 2 3 9" xfId="9665" xr:uid="{B672322A-6069-44AB-84F4-F42A8B1BBFFB}"/>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ACC0D345-4D0F-4F5E-ACE2-3C41F7111BCD}"/>
    <cellStyle name="40% - Accent1 2 4 2 3" xfId="12221" xr:uid="{94DDAEB8-F239-403A-A10B-692A4A36F61D}"/>
    <cellStyle name="40% - Accent1 2 4 3" xfId="4967" xr:uid="{00000000-0005-0000-0000-000002040000}"/>
    <cellStyle name="40% - Accent1 2 4 3 2" xfId="14293" xr:uid="{BC0CB924-B712-4AB0-BF83-88C864FE8A25}"/>
    <cellStyle name="40% - Accent1 2 4 4" xfId="9222" xr:uid="{A6B83122-AC98-4E58-AA4D-EC5ECC38FC6B}"/>
    <cellStyle name="40% - Accent1 2 4 4 2" xfId="18538" xr:uid="{42BAB1C7-CB64-471F-8939-C9FC71D6E357}"/>
    <cellStyle name="40% - Accent1 2 4 5" xfId="10076" xr:uid="{FFAD4FA7-4476-450A-A3D7-7055DD4E1C0D}"/>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E89C27C9-376D-4F43-A5F4-694C183B2848}"/>
    <cellStyle name="40% - Accent1 2 5 2 3" xfId="12634" xr:uid="{329DCB4D-D3D0-41E5-AEEA-B9A940576643}"/>
    <cellStyle name="40% - Accent1 2 5 3" xfId="5380" xr:uid="{00000000-0005-0000-0000-000006040000}"/>
    <cellStyle name="40% - Accent1 2 5 3 2" xfId="14706" xr:uid="{29AC0492-7900-4244-8269-4680A50C4FE2}"/>
    <cellStyle name="40% - Accent1 2 5 4" xfId="10489" xr:uid="{0BF615E2-48E2-4A6B-BB0F-339DADC47465}"/>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41793C09-0C66-4047-9C20-F24515F86E06}"/>
    <cellStyle name="40% - Accent1 2 6 2 3" xfId="13047" xr:uid="{708F2311-829E-4884-A33F-C260C0471ECF}"/>
    <cellStyle name="40% - Accent1 2 6 3" xfId="5793" xr:uid="{00000000-0005-0000-0000-00000A040000}"/>
    <cellStyle name="40% - Accent1 2 6 3 2" xfId="15119" xr:uid="{A1077349-ECC1-46EA-A8A1-C42924C78789}"/>
    <cellStyle name="40% - Accent1 2 6 4" xfId="10902" xr:uid="{7FCC0A5F-BF09-4A45-8E93-A429B9BA8B03}"/>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849F0028-CF13-46EC-B6F1-771A5EC43B70}"/>
    <cellStyle name="40% - Accent1 2 7 2 3" xfId="13460" xr:uid="{CE0C7A55-EBEB-45DE-9DA7-383CBFAA303D}"/>
    <cellStyle name="40% - Accent1 2 7 3" xfId="6206" xr:uid="{00000000-0005-0000-0000-00000E040000}"/>
    <cellStyle name="40% - Accent1 2 7 3 2" xfId="15532" xr:uid="{011DF72D-D896-42F9-9BA6-404BE59B8AC0}"/>
    <cellStyle name="40% - Accent1 2 7 4" xfId="11315" xr:uid="{DBAE2A89-05DD-4BBB-9F8B-7E9DD9F7E477}"/>
    <cellStyle name="40% - Accent1 2 8" xfId="2313" xr:uid="{00000000-0005-0000-0000-00000F040000}"/>
    <cellStyle name="40% - Accent1 2 8 2" xfId="6619" xr:uid="{00000000-0005-0000-0000-000010040000}"/>
    <cellStyle name="40% - Accent1 2 8 2 2" xfId="15945" xr:uid="{569AFF6B-73AB-4BBD-891E-6BF064291D55}"/>
    <cellStyle name="40% - Accent1 2 8 3" xfId="11728" xr:uid="{80DF4F74-F29B-4F24-8ECB-4B7F9507E40A}"/>
    <cellStyle name="40% - Accent1 2 9" xfId="4553" xr:uid="{00000000-0005-0000-0000-000011040000}"/>
    <cellStyle name="40% - Accent1 2 9 2" xfId="13879" xr:uid="{F3D10524-A876-474E-AC78-27D061B0AFC3}"/>
    <cellStyle name="40% - Accent1 3" xfId="54" xr:uid="{00000000-0005-0000-0000-000012040000}"/>
    <cellStyle name="40% - Accent1 3 10" xfId="9666" xr:uid="{9EB4A8AE-AC48-47D8-945D-49C96084AA67}"/>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33822F10-ED90-4E9E-93EF-303CE7214648}"/>
    <cellStyle name="40% - Accent1 3 2 2 2 3" xfId="12226" xr:uid="{E3E5063C-E22A-4CD4-A9D3-658C1A38A2BE}"/>
    <cellStyle name="40% - Accent1 3 2 2 3" xfId="4972" xr:uid="{00000000-0005-0000-0000-000017040000}"/>
    <cellStyle name="40% - Accent1 3 2 2 3 2" xfId="14298" xr:uid="{785F07C6-AAAA-40CC-B628-CBD17D29AB07}"/>
    <cellStyle name="40% - Accent1 3 2 2 4" xfId="9494" xr:uid="{49092FA9-F337-44E8-98C8-15711B1C1558}"/>
    <cellStyle name="40% - Accent1 3 2 2 4 2" xfId="18809" xr:uid="{674E609F-FFE0-400A-A7F7-9A374545F42B}"/>
    <cellStyle name="40% - Accent1 3 2 2 5" xfId="10081" xr:uid="{E5601B76-85BB-4277-9DA5-96E0499965DF}"/>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467B9C98-F44B-45D1-AA39-056425A49127}"/>
    <cellStyle name="40% - Accent1 3 2 3 2 3" xfId="12639" xr:uid="{C1B01037-F985-4D30-A304-BFD343036AD4}"/>
    <cellStyle name="40% - Accent1 3 2 3 3" xfId="5385" xr:uid="{00000000-0005-0000-0000-00001B040000}"/>
    <cellStyle name="40% - Accent1 3 2 3 3 2" xfId="14711" xr:uid="{20698297-9458-436C-8A5F-77CCDB1E4BB6}"/>
    <cellStyle name="40% - Accent1 3 2 3 4" xfId="10494" xr:uid="{BE69E897-C50F-4514-A30B-C437767F7FF9}"/>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5C65DF1B-F642-46EC-9448-97312F44ACBB}"/>
    <cellStyle name="40% - Accent1 3 2 4 2 3" xfId="13052" xr:uid="{A94B25FE-6888-4527-B0B0-A5B96E2838D9}"/>
    <cellStyle name="40% - Accent1 3 2 4 3" xfId="5798" xr:uid="{00000000-0005-0000-0000-00001F040000}"/>
    <cellStyle name="40% - Accent1 3 2 4 3 2" xfId="15124" xr:uid="{A9B3BCBB-F961-4CCD-9598-9A0C946493DD}"/>
    <cellStyle name="40% - Accent1 3 2 4 4" xfId="10907" xr:uid="{1122A18B-9290-476B-AA7D-B7F2644A0FB8}"/>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CE3F632B-A4BA-41FA-8593-B069B4C23436}"/>
    <cellStyle name="40% - Accent1 3 2 5 2 3" xfId="13465" xr:uid="{86623C1B-EB52-451B-B1FA-4EC6EEFA7613}"/>
    <cellStyle name="40% - Accent1 3 2 5 3" xfId="6211" xr:uid="{00000000-0005-0000-0000-000023040000}"/>
    <cellStyle name="40% - Accent1 3 2 5 3 2" xfId="15537" xr:uid="{E8D00EE7-721A-448F-ACA1-0A66F3A35EAA}"/>
    <cellStyle name="40% - Accent1 3 2 5 4" xfId="11320" xr:uid="{48F6DD5B-F3D7-47A5-A87F-E55DDA57F76D}"/>
    <cellStyle name="40% - Accent1 3 2 6" xfId="2318" xr:uid="{00000000-0005-0000-0000-000024040000}"/>
    <cellStyle name="40% - Accent1 3 2 6 2" xfId="6624" xr:uid="{00000000-0005-0000-0000-000025040000}"/>
    <cellStyle name="40% - Accent1 3 2 6 2 2" xfId="15950" xr:uid="{EAE1466B-24B8-4E30-A782-ACD5D22F0C9D}"/>
    <cellStyle name="40% - Accent1 3 2 6 3" xfId="11733" xr:uid="{F149B108-1830-4A8C-B8AD-9D94722C891F}"/>
    <cellStyle name="40% - Accent1 3 2 7" xfId="4558" xr:uid="{00000000-0005-0000-0000-000026040000}"/>
    <cellStyle name="40% - Accent1 3 2 7 2" xfId="13884" xr:uid="{6714704C-41C2-4BAB-95C7-2AD6E81AC420}"/>
    <cellStyle name="40% - Accent1 3 2 8" xfId="9069" xr:uid="{F3D9FD63-8946-4492-B81A-42936E8B246D}"/>
    <cellStyle name="40% - Accent1 3 2 8 2" xfId="18393" xr:uid="{FBF7F107-77BD-422F-817F-1FE19E3B77D4}"/>
    <cellStyle name="40% - Accent1 3 2 9" xfId="9667" xr:uid="{985CAD8D-51A6-417F-B83A-C69419E1F8A6}"/>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27CA5F5A-4BB7-424F-89F9-B2E1B61CD04E}"/>
    <cellStyle name="40% - Accent1 3 3 2 3" xfId="12225" xr:uid="{707942E9-A533-41A3-BE1B-732BF9414F6E}"/>
    <cellStyle name="40% - Accent1 3 3 3" xfId="4971" xr:uid="{00000000-0005-0000-0000-00002A040000}"/>
    <cellStyle name="40% - Accent1 3 3 3 2" xfId="14297" xr:uid="{1E772754-B950-4C43-84C9-787F51D665C7}"/>
    <cellStyle name="40% - Accent1 3 3 4" xfId="9287" xr:uid="{8C21B573-3D31-49DA-ACD8-D3EC7CC3A858}"/>
    <cellStyle name="40% - Accent1 3 3 4 2" xfId="18602" xr:uid="{E084DDB9-AD76-4289-93C8-45D3830984E0}"/>
    <cellStyle name="40% - Accent1 3 3 5" xfId="10080" xr:uid="{C75AD9D9-8BE5-463E-849B-C1EB595392A0}"/>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F449EB28-47D4-42F7-990F-45F5D52D0FB2}"/>
    <cellStyle name="40% - Accent1 3 4 2 3" xfId="12638" xr:uid="{36C9B801-0E42-429E-A23E-35A5F9DCA9FE}"/>
    <cellStyle name="40% - Accent1 3 4 3" xfId="5384" xr:uid="{00000000-0005-0000-0000-00002E040000}"/>
    <cellStyle name="40% - Accent1 3 4 3 2" xfId="14710" xr:uid="{1397F53F-6C66-46A1-9F1F-2740A9E03453}"/>
    <cellStyle name="40% - Accent1 3 4 4" xfId="10493" xr:uid="{694846DC-B94B-4E46-9AA5-93116C5305B5}"/>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A675DD9A-3D3B-49A2-9828-5169CF92679F}"/>
    <cellStyle name="40% - Accent1 3 5 2 3" xfId="13051" xr:uid="{FC311C2E-6971-4C2F-8226-EAA1E1C33C02}"/>
    <cellStyle name="40% - Accent1 3 5 3" xfId="5797" xr:uid="{00000000-0005-0000-0000-000032040000}"/>
    <cellStyle name="40% - Accent1 3 5 3 2" xfId="15123" xr:uid="{EB85A137-C4BA-4CCA-A4B9-7E6CBAA60995}"/>
    <cellStyle name="40% - Accent1 3 5 4" xfId="10906" xr:uid="{7FC0E958-2221-498E-A241-D36346D34145}"/>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D829DE05-739D-4DA6-83AE-3505B6EB92E7}"/>
    <cellStyle name="40% - Accent1 3 6 2 3" xfId="13464" xr:uid="{A7FEEF5D-5AAD-4AEF-8908-EE02BB821C11}"/>
    <cellStyle name="40% - Accent1 3 6 3" xfId="6210" xr:uid="{00000000-0005-0000-0000-000036040000}"/>
    <cellStyle name="40% - Accent1 3 6 3 2" xfId="15536" xr:uid="{E233D8E9-C67A-461D-9706-C1B32EA2915B}"/>
    <cellStyle name="40% - Accent1 3 6 4" xfId="11319" xr:uid="{6EEE3095-291A-40D3-9208-CFA7C64B51A4}"/>
    <cellStyle name="40% - Accent1 3 7" xfId="2317" xr:uid="{00000000-0005-0000-0000-000037040000}"/>
    <cellStyle name="40% - Accent1 3 7 2" xfId="6623" xr:uid="{00000000-0005-0000-0000-000038040000}"/>
    <cellStyle name="40% - Accent1 3 7 2 2" xfId="15949" xr:uid="{8EBED44F-4D83-44FF-8E6E-BAAED37D83DB}"/>
    <cellStyle name="40% - Accent1 3 7 3" xfId="11732" xr:uid="{9A0B43F9-DC0A-4CCD-8E61-9B6BFD80A516}"/>
    <cellStyle name="40% - Accent1 3 8" xfId="4557" xr:uid="{00000000-0005-0000-0000-000039040000}"/>
    <cellStyle name="40% - Accent1 3 8 2" xfId="13883" xr:uid="{1A34481B-A5D4-43D9-99EF-6D6E938D8F32}"/>
    <cellStyle name="40% - Accent1 3 9" xfId="8862" xr:uid="{2CC30516-31CA-485E-88BE-FCC7F9756A95}"/>
    <cellStyle name="40% - Accent1 3 9 2" xfId="18186" xr:uid="{B6B5090C-E397-49DB-BFD5-EF405ABE649D}"/>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7713881A-4C75-410A-A04F-D66E6A5470FC}"/>
    <cellStyle name="40% - Accent1 4 2 2 3" xfId="12227" xr:uid="{76ABDBBA-DED7-4332-B298-D52FF4444C3A}"/>
    <cellStyle name="40% - Accent1 4 2 3" xfId="4973" xr:uid="{00000000-0005-0000-0000-00003E040000}"/>
    <cellStyle name="40% - Accent1 4 2 3 2" xfId="14299" xr:uid="{469F74C2-0240-41AC-A7C0-33501D73AD0F}"/>
    <cellStyle name="40% - Accent1 4 2 4" xfId="9373" xr:uid="{3BC949C7-8F86-44EA-9F10-CF277586B131}"/>
    <cellStyle name="40% - Accent1 4 2 4 2" xfId="18688" xr:uid="{009620C5-CF1D-46BB-A8EB-234FE6D280AD}"/>
    <cellStyle name="40% - Accent1 4 2 5" xfId="10082" xr:uid="{5AB5C827-0177-4B89-9B0B-B6FCFBC00920}"/>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AA41A799-F75F-4CF5-95D3-78BFBF178A60}"/>
    <cellStyle name="40% - Accent1 4 3 2 3" xfId="12640" xr:uid="{F26F670F-9BBB-47AA-938F-B608B5BA4B33}"/>
    <cellStyle name="40% - Accent1 4 3 3" xfId="5386" xr:uid="{00000000-0005-0000-0000-000042040000}"/>
    <cellStyle name="40% - Accent1 4 3 3 2" xfId="14712" xr:uid="{285D386D-785E-4838-8642-46A2C3A19140}"/>
    <cellStyle name="40% - Accent1 4 3 4" xfId="10495" xr:uid="{C166F328-48D1-4076-BD64-8834A3DC3B95}"/>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F702B5BB-E423-4F9A-8D4E-2753AC7FCB64}"/>
    <cellStyle name="40% - Accent1 4 4 2 3" xfId="13053" xr:uid="{3ABF27F7-6FEE-452D-BB3B-FF10FCCF81DB}"/>
    <cellStyle name="40% - Accent1 4 4 3" xfId="5799" xr:uid="{00000000-0005-0000-0000-000046040000}"/>
    <cellStyle name="40% - Accent1 4 4 3 2" xfId="15125" xr:uid="{12C28644-A037-4D57-BE50-85401EADEEE9}"/>
    <cellStyle name="40% - Accent1 4 4 4" xfId="10908" xr:uid="{F691B8E6-61B6-4689-836F-60995670902F}"/>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E8182579-4836-4E90-97E1-DC504A3E9E2E}"/>
    <cellStyle name="40% - Accent1 4 5 2 3" xfId="13466" xr:uid="{25C665B5-B55A-46DF-AB40-B1E38C477EFB}"/>
    <cellStyle name="40% - Accent1 4 5 3" xfId="6212" xr:uid="{00000000-0005-0000-0000-00004A040000}"/>
    <cellStyle name="40% - Accent1 4 5 3 2" xfId="15538" xr:uid="{89E5BAF7-88A7-4461-8160-73481A506192}"/>
    <cellStyle name="40% - Accent1 4 5 4" xfId="11321" xr:uid="{EAF155F5-95BB-4CB3-9EEE-78DC19E84932}"/>
    <cellStyle name="40% - Accent1 4 6" xfId="2319" xr:uid="{00000000-0005-0000-0000-00004B040000}"/>
    <cellStyle name="40% - Accent1 4 6 2" xfId="6625" xr:uid="{00000000-0005-0000-0000-00004C040000}"/>
    <cellStyle name="40% - Accent1 4 6 2 2" xfId="15951" xr:uid="{45600567-40D4-45AF-9298-E4078766C012}"/>
    <cellStyle name="40% - Accent1 4 6 3" xfId="11734" xr:uid="{ECB1A0F3-62B1-4795-B416-28F3383A8AC6}"/>
    <cellStyle name="40% - Accent1 4 7" xfId="4559" xr:uid="{00000000-0005-0000-0000-00004D040000}"/>
    <cellStyle name="40% - Accent1 4 7 2" xfId="13885" xr:uid="{4F2DF1A4-42CD-4494-BCAC-64ACD88C6077}"/>
    <cellStyle name="40% - Accent1 4 8" xfId="8948" xr:uid="{7BCBB449-71B8-4468-A700-0125C7659C3D}"/>
    <cellStyle name="40% - Accent1 4 8 2" xfId="18272" xr:uid="{20105344-27DC-4775-8B6E-08B39DCDA1A4}"/>
    <cellStyle name="40% - Accent1 4 9" xfId="9668" xr:uid="{5975B2FF-A9A4-40B2-B929-709D5BBE6E53}"/>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28596A78-786E-45FE-9086-66E82D15B8DD}"/>
    <cellStyle name="40% - Accent1 5 2 3" xfId="12220" xr:uid="{13C55CD2-70D1-40CC-86A4-F9DD3FCA8746}"/>
    <cellStyle name="40% - Accent1 5 3" xfId="4966" xr:uid="{00000000-0005-0000-0000-000051040000}"/>
    <cellStyle name="40% - Accent1 5 3 2" xfId="14292" xr:uid="{ACAE6ABB-04C4-4712-AE18-2C6B38E4DE5B}"/>
    <cellStyle name="40% - Accent1 5 4" xfId="9181" xr:uid="{332DA761-F1AA-4FF3-9BBB-9ECEE19D2DFF}"/>
    <cellStyle name="40% - Accent1 5 4 2" xfId="18499" xr:uid="{6C815F94-4323-494F-B3D1-CC91A5FEE15F}"/>
    <cellStyle name="40% - Accent1 5 5" xfId="10075" xr:uid="{AB908F56-CE84-40D4-8BA1-13779BA1E9DB}"/>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75C16771-4F29-4C5E-ACAB-7E770FB2BDA7}"/>
    <cellStyle name="40% - Accent1 6 2 3" xfId="12633" xr:uid="{DF6C41C9-37AB-4EAD-BBEF-3EEF913A36CE}"/>
    <cellStyle name="40% - Accent1 6 3" xfId="5379" xr:uid="{00000000-0005-0000-0000-000055040000}"/>
    <cellStyle name="40% - Accent1 6 3 2" xfId="14705" xr:uid="{F7B01F1D-52E1-4A61-8883-64D172073E9A}"/>
    <cellStyle name="40% - Accent1 6 4" xfId="10488" xr:uid="{637E6EA2-14FB-499B-BF96-E9112D687C9E}"/>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B11A3D5F-392D-4977-9996-359A1AC06484}"/>
    <cellStyle name="40% - Accent1 7 2 3" xfId="13046" xr:uid="{25013241-3ACA-470D-8214-80AE5607C16D}"/>
    <cellStyle name="40% - Accent1 7 3" xfId="5792" xr:uid="{00000000-0005-0000-0000-000059040000}"/>
    <cellStyle name="40% - Accent1 7 3 2" xfId="15118" xr:uid="{ECFD4FC3-8619-48C3-826A-297E0233B844}"/>
    <cellStyle name="40% - Accent1 7 4" xfId="10901" xr:uid="{07102FA1-62D4-48EC-9289-33E387D80FC1}"/>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E8F508DB-ABEE-4BFC-95C3-23B8A72C608F}"/>
    <cellStyle name="40% - Accent1 8 2 3" xfId="13459" xr:uid="{49181171-8701-41AD-B43C-05EF67F9587A}"/>
    <cellStyle name="40% - Accent1 8 3" xfId="6205" xr:uid="{00000000-0005-0000-0000-00005D040000}"/>
    <cellStyle name="40% - Accent1 8 3 2" xfId="15531" xr:uid="{0ACFAA23-BE24-4063-A398-6D5BBA56E2A5}"/>
    <cellStyle name="40% - Accent1 8 4" xfId="11314" xr:uid="{880C54FE-ADBA-4930-B56A-D4CB01E66C47}"/>
    <cellStyle name="40% - Accent1 9" xfId="2312" xr:uid="{00000000-0005-0000-0000-00005E040000}"/>
    <cellStyle name="40% - Accent1 9 2" xfId="6618" xr:uid="{00000000-0005-0000-0000-00005F040000}"/>
    <cellStyle name="40% - Accent1 9 2 2" xfId="15944" xr:uid="{42ADB0A6-79A8-4C73-8040-D0A2B190F6AA}"/>
    <cellStyle name="40% - Accent1 9 3" xfId="11727" xr:uid="{57168E05-0823-46DA-BEE6-929FE58CCAF9}"/>
    <cellStyle name="40% - Accent2" xfId="57" builtinId="35" customBuiltin="1"/>
    <cellStyle name="40% - Accent2 10" xfId="4560" xr:uid="{00000000-0005-0000-0000-000061040000}"/>
    <cellStyle name="40% - Accent2 10 2" xfId="13886" xr:uid="{944950C0-7449-4B1F-A61B-76045D41A56E}"/>
    <cellStyle name="40% - Accent2 11" xfId="8761" xr:uid="{8631D9D1-53DA-4958-8F7C-AD68B7B91D61}"/>
    <cellStyle name="40% - Accent2 11 2" xfId="18085" xr:uid="{EC1C3DFB-C824-43E7-A5E5-E7D0DD0A0FDA}"/>
    <cellStyle name="40% - Accent2 12" xfId="9669" xr:uid="{78B3B63C-FED2-4743-973A-B2C25EE01975}"/>
    <cellStyle name="40% - Accent2 2" xfId="58" xr:uid="{00000000-0005-0000-0000-000062040000}"/>
    <cellStyle name="40% - Accent2 2 10" xfId="8799" xr:uid="{E3EEC046-6E76-44A5-8D1B-64621A8F0AC5}"/>
    <cellStyle name="40% - Accent2 2 10 2" xfId="18123" xr:uid="{DE9E2D9E-0AB3-4BE8-A90E-82440176F5BE}"/>
    <cellStyle name="40% - Accent2 2 11" xfId="9670" xr:uid="{D441A594-9390-4614-AFB2-058B7A59FD42}"/>
    <cellStyle name="40% - Accent2 2 2" xfId="59" xr:uid="{00000000-0005-0000-0000-000063040000}"/>
    <cellStyle name="40% - Accent2 2 2 10" xfId="9671" xr:uid="{5F2F3693-715E-42D1-8CB7-620A31FAA27D}"/>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DF4245DB-D56E-46A1-B9D6-A1C63A7350FD}"/>
    <cellStyle name="40% - Accent2 2 2 2 2 2 3" xfId="12231" xr:uid="{DE3D754C-CAD9-4F01-84B2-E22B35556804}"/>
    <cellStyle name="40% - Accent2 2 2 2 2 3" xfId="4977" xr:uid="{00000000-0005-0000-0000-000068040000}"/>
    <cellStyle name="40% - Accent2 2 2 2 2 3 2" xfId="14303" xr:uid="{A314DBA9-0E2E-4CF8-80DB-26BF33253207}"/>
    <cellStyle name="40% - Accent2 2 2 2 2 4" xfId="9534" xr:uid="{9F53A086-33FC-422E-9DFF-72D04AC43949}"/>
    <cellStyle name="40% - Accent2 2 2 2 2 4 2" xfId="18849" xr:uid="{0AEDEEA9-CA30-4988-B01E-3D7F66B42A42}"/>
    <cellStyle name="40% - Accent2 2 2 2 2 5" xfId="10086" xr:uid="{66C7FCD6-F99B-421D-9C14-25D99AAAEFD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675B2CBD-829C-4547-B5B3-427F04753BCE}"/>
    <cellStyle name="40% - Accent2 2 2 2 3 2 3" xfId="12644" xr:uid="{5C23ED6B-B944-4FE4-9F27-6635075937F8}"/>
    <cellStyle name="40% - Accent2 2 2 2 3 3" xfId="5390" xr:uid="{00000000-0005-0000-0000-00006C040000}"/>
    <cellStyle name="40% - Accent2 2 2 2 3 3 2" xfId="14716" xr:uid="{C395548A-7566-40BE-8E28-AF3E62559E75}"/>
    <cellStyle name="40% - Accent2 2 2 2 3 4" xfId="10499" xr:uid="{CBAAE399-96E9-4CA0-BEAF-1994EBE2529A}"/>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445F66C9-1FF6-4B27-92CC-6901352D4FCF}"/>
    <cellStyle name="40% - Accent2 2 2 2 4 2 3" xfId="13057" xr:uid="{45D14DF4-B2E1-47D1-A015-D1B4C05D3A9D}"/>
    <cellStyle name="40% - Accent2 2 2 2 4 3" xfId="5803" xr:uid="{00000000-0005-0000-0000-000070040000}"/>
    <cellStyle name="40% - Accent2 2 2 2 4 3 2" xfId="15129" xr:uid="{5795AA44-588A-4036-96DD-50F526427835}"/>
    <cellStyle name="40% - Accent2 2 2 2 4 4" xfId="10912" xr:uid="{198AE42C-39BB-45AE-B90D-75203C5022F3}"/>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C523D6A9-26FA-41AC-AEC6-18E623B75E6D}"/>
    <cellStyle name="40% - Accent2 2 2 2 5 2 3" xfId="13470" xr:uid="{02147BB6-B0B1-4595-9300-D54F8F2C650F}"/>
    <cellStyle name="40% - Accent2 2 2 2 5 3" xfId="6216" xr:uid="{00000000-0005-0000-0000-000074040000}"/>
    <cellStyle name="40% - Accent2 2 2 2 5 3 2" xfId="15542" xr:uid="{BB7ED071-B106-42E5-99B8-96B7C880FBA6}"/>
    <cellStyle name="40% - Accent2 2 2 2 5 4" xfId="11325" xr:uid="{892E312B-0AFD-433F-ACD6-BA411429D04E}"/>
    <cellStyle name="40% - Accent2 2 2 2 6" xfId="2323" xr:uid="{00000000-0005-0000-0000-000075040000}"/>
    <cellStyle name="40% - Accent2 2 2 2 6 2" xfId="6629" xr:uid="{00000000-0005-0000-0000-000076040000}"/>
    <cellStyle name="40% - Accent2 2 2 2 6 2 2" xfId="15955" xr:uid="{FD610832-DD7A-4656-B94A-4DAB7C6D2A90}"/>
    <cellStyle name="40% - Accent2 2 2 2 6 3" xfId="11738" xr:uid="{9BB8A100-63AD-406F-8F2B-14D2C7C6E832}"/>
    <cellStyle name="40% - Accent2 2 2 2 7" xfId="4563" xr:uid="{00000000-0005-0000-0000-000077040000}"/>
    <cellStyle name="40% - Accent2 2 2 2 7 2" xfId="13889" xr:uid="{1B8A98DE-963A-4E87-AA3D-8C5B4F346932}"/>
    <cellStyle name="40% - Accent2 2 2 2 8" xfId="9109" xr:uid="{73F0012D-4386-4224-BFB0-7DB1C0E98822}"/>
    <cellStyle name="40% - Accent2 2 2 2 8 2" xfId="18433" xr:uid="{BCAE211F-223F-41C9-82D9-FC2206E39066}"/>
    <cellStyle name="40% - Accent2 2 2 2 9" xfId="9672" xr:uid="{837E3966-2D86-4E55-82E7-3CAEF4F919D7}"/>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F08DA46B-2B58-4C0F-BF3E-2DC122F19CB5}"/>
    <cellStyle name="40% - Accent2 2 2 3 2 3" xfId="12230" xr:uid="{B78542AC-AF0D-4454-A2F3-E23CED146F7E}"/>
    <cellStyle name="40% - Accent2 2 2 3 3" xfId="4976" xr:uid="{00000000-0005-0000-0000-00007B040000}"/>
    <cellStyle name="40% - Accent2 2 2 3 3 2" xfId="14302" xr:uid="{9BD6B141-7B6E-4F05-850A-DBA9207F211B}"/>
    <cellStyle name="40% - Accent2 2 2 3 4" xfId="9327" xr:uid="{F2BC9A12-B689-4B73-B71E-77A9F0BC7FE4}"/>
    <cellStyle name="40% - Accent2 2 2 3 4 2" xfId="18642" xr:uid="{65F666F7-948A-4060-BF28-68DE3DBE04FB}"/>
    <cellStyle name="40% - Accent2 2 2 3 5" xfId="10085" xr:uid="{41ADA562-A6B9-470F-A6E4-FFE7AAD99CF7}"/>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E1B96BA6-2263-4E32-BB14-65105B3565F0}"/>
    <cellStyle name="40% - Accent2 2 2 4 2 3" xfId="12643" xr:uid="{E5F960DA-A662-4AA7-8BBE-3B0D5731B7D0}"/>
    <cellStyle name="40% - Accent2 2 2 4 3" xfId="5389" xr:uid="{00000000-0005-0000-0000-00007F040000}"/>
    <cellStyle name="40% - Accent2 2 2 4 3 2" xfId="14715" xr:uid="{C3795886-CA0D-4EAC-95A5-674C93630AEB}"/>
    <cellStyle name="40% - Accent2 2 2 4 4" xfId="10498" xr:uid="{12C2E70C-BE41-4F02-939A-DEFF1372CCF9}"/>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46035A96-8E2E-417D-B6A4-4C536427970F}"/>
    <cellStyle name="40% - Accent2 2 2 5 2 3" xfId="13056" xr:uid="{FF1F095F-DA57-4432-9EDF-E6AF80B27770}"/>
    <cellStyle name="40% - Accent2 2 2 5 3" xfId="5802" xr:uid="{00000000-0005-0000-0000-000083040000}"/>
    <cellStyle name="40% - Accent2 2 2 5 3 2" xfId="15128" xr:uid="{883F1810-B469-4DD8-B426-BEE82A04B5CD}"/>
    <cellStyle name="40% - Accent2 2 2 5 4" xfId="10911" xr:uid="{7F882C2B-E007-45DA-9C1D-5AE6B5F37D89}"/>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BA788DEA-9C16-4050-9BEA-052AB3604127}"/>
    <cellStyle name="40% - Accent2 2 2 6 2 3" xfId="13469" xr:uid="{3BFE4E72-B8A6-49B6-86B3-FD77FEA26D43}"/>
    <cellStyle name="40% - Accent2 2 2 6 3" xfId="6215" xr:uid="{00000000-0005-0000-0000-000087040000}"/>
    <cellStyle name="40% - Accent2 2 2 6 3 2" xfId="15541" xr:uid="{D4EC1951-01D2-4A87-8088-D4F1AEDC6B0C}"/>
    <cellStyle name="40% - Accent2 2 2 6 4" xfId="11324" xr:uid="{3124E934-5D59-42B6-97B2-6E4C40EAD899}"/>
    <cellStyle name="40% - Accent2 2 2 7" xfId="2322" xr:uid="{00000000-0005-0000-0000-000088040000}"/>
    <cellStyle name="40% - Accent2 2 2 7 2" xfId="6628" xr:uid="{00000000-0005-0000-0000-000089040000}"/>
    <cellStyle name="40% - Accent2 2 2 7 2 2" xfId="15954" xr:uid="{8B64232A-31D2-4758-BE66-5B64D3AD6AA9}"/>
    <cellStyle name="40% - Accent2 2 2 7 3" xfId="11737" xr:uid="{A1F8A3F3-1F6B-4835-BF60-5D6F01DD7B43}"/>
    <cellStyle name="40% - Accent2 2 2 8" xfId="4562" xr:uid="{00000000-0005-0000-0000-00008A040000}"/>
    <cellStyle name="40% - Accent2 2 2 8 2" xfId="13888" xr:uid="{EE723C05-20CA-44B5-9BC5-9459CCF66EAA}"/>
    <cellStyle name="40% - Accent2 2 2 9" xfId="8902" xr:uid="{5D0C2022-B7A4-4DE2-895F-9E4BE510A7B9}"/>
    <cellStyle name="40% - Accent2 2 2 9 2" xfId="18226" xr:uid="{D5ABC7C6-93E6-44EC-88AA-CEC5471D14A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128F943A-174D-450C-89C5-E2C578689208}"/>
    <cellStyle name="40% - Accent2 2 3 2 2 3" xfId="12232" xr:uid="{686C7184-97F0-4C63-AE8F-87D65E693968}"/>
    <cellStyle name="40% - Accent2 2 3 2 3" xfId="4978" xr:uid="{00000000-0005-0000-0000-00008F040000}"/>
    <cellStyle name="40% - Accent2 2 3 2 3 2" xfId="14304" xr:uid="{A567638D-EE99-4EAE-A32C-96592287DAB4}"/>
    <cellStyle name="40% - Accent2 2 3 2 4" xfId="9431" xr:uid="{BD4E3561-302E-4359-AAF3-4F2E007BC697}"/>
    <cellStyle name="40% - Accent2 2 3 2 4 2" xfId="18746" xr:uid="{6C2AB9DF-35B4-49EA-B6BF-727828156DC8}"/>
    <cellStyle name="40% - Accent2 2 3 2 5" xfId="10087" xr:uid="{DFBE2DF6-4049-4679-AFFD-AA83C89C6486}"/>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C3096170-80C2-4E8F-85A8-6A76C227D07D}"/>
    <cellStyle name="40% - Accent2 2 3 3 2 3" xfId="12645" xr:uid="{147C7D7E-D95A-4C13-89CF-AA96F03416A8}"/>
    <cellStyle name="40% - Accent2 2 3 3 3" xfId="5391" xr:uid="{00000000-0005-0000-0000-000093040000}"/>
    <cellStyle name="40% - Accent2 2 3 3 3 2" xfId="14717" xr:uid="{0309587C-EF82-4585-B95E-35F9B61B37FF}"/>
    <cellStyle name="40% - Accent2 2 3 3 4" xfId="10500" xr:uid="{CC243BA7-7D19-42F2-AE73-3E9150831F5C}"/>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EA29F3FA-22A2-49B1-9D25-ABBFFE77EC64}"/>
    <cellStyle name="40% - Accent2 2 3 4 2 3" xfId="13058" xr:uid="{CAAC9E4E-D8B0-414F-9898-E5F49988E423}"/>
    <cellStyle name="40% - Accent2 2 3 4 3" xfId="5804" xr:uid="{00000000-0005-0000-0000-000097040000}"/>
    <cellStyle name="40% - Accent2 2 3 4 3 2" xfId="15130" xr:uid="{5EB4F292-D0CF-46DE-9718-C3CBBD134139}"/>
    <cellStyle name="40% - Accent2 2 3 4 4" xfId="10913" xr:uid="{F4CDB6F4-BBE1-461F-9A06-79CF51ED14D9}"/>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3CDEA71A-5764-4271-A795-1B464A0C2945}"/>
    <cellStyle name="40% - Accent2 2 3 5 2 3" xfId="13471" xr:uid="{96596B93-FE6E-472A-A87C-6E81A4750737}"/>
    <cellStyle name="40% - Accent2 2 3 5 3" xfId="6217" xr:uid="{00000000-0005-0000-0000-00009B040000}"/>
    <cellStyle name="40% - Accent2 2 3 5 3 2" xfId="15543" xr:uid="{0A26130F-0C1A-4490-9787-DB87FE725461}"/>
    <cellStyle name="40% - Accent2 2 3 5 4" xfId="11326" xr:uid="{A962C2BC-CA18-470C-9FE3-9B6F8F5F1032}"/>
    <cellStyle name="40% - Accent2 2 3 6" xfId="2324" xr:uid="{00000000-0005-0000-0000-00009C040000}"/>
    <cellStyle name="40% - Accent2 2 3 6 2" xfId="6630" xr:uid="{00000000-0005-0000-0000-00009D040000}"/>
    <cellStyle name="40% - Accent2 2 3 6 2 2" xfId="15956" xr:uid="{3F2F1108-6376-410F-A720-B5FDFF5C886A}"/>
    <cellStyle name="40% - Accent2 2 3 6 3" xfId="11739" xr:uid="{F271EDE5-845C-423A-9BA3-CA39DCF0E104}"/>
    <cellStyle name="40% - Accent2 2 3 7" xfId="4564" xr:uid="{00000000-0005-0000-0000-00009E040000}"/>
    <cellStyle name="40% - Accent2 2 3 7 2" xfId="13890" xr:uid="{CAC8E4DB-F7F4-4D6F-8BEF-9308BEF405E9}"/>
    <cellStyle name="40% - Accent2 2 3 8" xfId="9006" xr:uid="{E6E89EA5-B76F-4FCC-89B9-DD4135B6364B}"/>
    <cellStyle name="40% - Accent2 2 3 8 2" xfId="18330" xr:uid="{75B5912B-0AD0-4FD0-B56C-2FDC5792EC08}"/>
    <cellStyle name="40% - Accent2 2 3 9" xfId="9673" xr:uid="{5E4395BE-32E4-49A0-BE2A-0824E643E367}"/>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2A17A94C-BBFD-44E2-9851-F7B455FF2D50}"/>
    <cellStyle name="40% - Accent2 2 4 2 3" xfId="12229" xr:uid="{6E469B8D-293C-4719-9271-E055BD48B330}"/>
    <cellStyle name="40% - Accent2 2 4 3" xfId="4975" xr:uid="{00000000-0005-0000-0000-0000A2040000}"/>
    <cellStyle name="40% - Accent2 2 4 3 2" xfId="14301" xr:uid="{A2302E9E-24AC-4937-A171-A91519D5FDD5}"/>
    <cellStyle name="40% - Accent2 2 4 4" xfId="9223" xr:uid="{FA9890B4-781A-4E4C-81EE-BC7448559828}"/>
    <cellStyle name="40% - Accent2 2 4 4 2" xfId="18539" xr:uid="{9F3217B9-8B06-437C-B183-C13AC71800A6}"/>
    <cellStyle name="40% - Accent2 2 4 5" xfId="10084" xr:uid="{39D8057E-D953-437A-8803-E00635D09230}"/>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218E7366-9CFF-488B-A422-BFD2005B505D}"/>
    <cellStyle name="40% - Accent2 2 5 2 3" xfId="12642" xr:uid="{A24BF5F8-E884-4518-868D-7BF78A70DDE6}"/>
    <cellStyle name="40% - Accent2 2 5 3" xfId="5388" xr:uid="{00000000-0005-0000-0000-0000A6040000}"/>
    <cellStyle name="40% - Accent2 2 5 3 2" xfId="14714" xr:uid="{49033610-C021-4390-B384-1FAACD8C3B5E}"/>
    <cellStyle name="40% - Accent2 2 5 4" xfId="10497" xr:uid="{D06E72FA-8505-45E0-B921-3A55E490219D}"/>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7B71130A-D9EC-42DC-B685-49ABB967B31D}"/>
    <cellStyle name="40% - Accent2 2 6 2 3" xfId="13055" xr:uid="{FE6EFBE4-BA3A-466A-A7EA-82E9CBB9FCBE}"/>
    <cellStyle name="40% - Accent2 2 6 3" xfId="5801" xr:uid="{00000000-0005-0000-0000-0000AA040000}"/>
    <cellStyle name="40% - Accent2 2 6 3 2" xfId="15127" xr:uid="{DB93301B-EB1C-4023-90F3-B644A42401C6}"/>
    <cellStyle name="40% - Accent2 2 6 4" xfId="10910" xr:uid="{96986FB9-5B03-498F-AA82-7F98C5FCF03C}"/>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422E0BB3-36BC-4082-B6BE-17177DE0AC47}"/>
    <cellStyle name="40% - Accent2 2 7 2 3" xfId="13468" xr:uid="{65E15BB7-C9F7-48AC-B204-B118372079A4}"/>
    <cellStyle name="40% - Accent2 2 7 3" xfId="6214" xr:uid="{00000000-0005-0000-0000-0000AE040000}"/>
    <cellStyle name="40% - Accent2 2 7 3 2" xfId="15540" xr:uid="{1E52F1F8-999E-4100-8CB0-77911F96D3AD}"/>
    <cellStyle name="40% - Accent2 2 7 4" xfId="11323" xr:uid="{84ED4372-2EE2-47FF-8AD5-A26CB204FEE2}"/>
    <cellStyle name="40% - Accent2 2 8" xfId="2321" xr:uid="{00000000-0005-0000-0000-0000AF040000}"/>
    <cellStyle name="40% - Accent2 2 8 2" xfId="6627" xr:uid="{00000000-0005-0000-0000-0000B0040000}"/>
    <cellStyle name="40% - Accent2 2 8 2 2" xfId="15953" xr:uid="{252CB612-E9D7-4445-8131-AEB360035226}"/>
    <cellStyle name="40% - Accent2 2 8 3" xfId="11736" xr:uid="{D1472A67-8ECA-4F07-B71C-D32E82EF4C1B}"/>
    <cellStyle name="40% - Accent2 2 9" xfId="4561" xr:uid="{00000000-0005-0000-0000-0000B1040000}"/>
    <cellStyle name="40% - Accent2 2 9 2" xfId="13887" xr:uid="{BEB7BE4D-DD2F-4678-91C0-20CCEEE8C2A9}"/>
    <cellStyle name="40% - Accent2 3" xfId="62" xr:uid="{00000000-0005-0000-0000-0000B2040000}"/>
    <cellStyle name="40% - Accent2 3 10" xfId="9674" xr:uid="{1AB3D7C8-4B4A-4FF1-9722-8125F7216D48}"/>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910DD694-1B76-4D91-BAFB-8B5305A8CA12}"/>
    <cellStyle name="40% - Accent2 3 2 2 2 3" xfId="12234" xr:uid="{14F95C50-71C4-4D75-8648-A98E3E99401D}"/>
    <cellStyle name="40% - Accent2 3 2 2 3" xfId="4980" xr:uid="{00000000-0005-0000-0000-0000B7040000}"/>
    <cellStyle name="40% - Accent2 3 2 2 3 2" xfId="14306" xr:uid="{B6CCCFA8-D910-470C-8EDE-E3C3C7CC5DBF}"/>
    <cellStyle name="40% - Accent2 3 2 2 4" xfId="9496" xr:uid="{700FA1AF-D943-4FDB-BFB1-F903AD1F731A}"/>
    <cellStyle name="40% - Accent2 3 2 2 4 2" xfId="18811" xr:uid="{9B3699CC-7E94-4A86-9870-2EE272F2F0EA}"/>
    <cellStyle name="40% - Accent2 3 2 2 5" xfId="10089" xr:uid="{7D575320-671E-4285-8A40-ADA09D8839BD}"/>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13F7EF35-564C-4D2A-B3AF-DBB0D434C140}"/>
    <cellStyle name="40% - Accent2 3 2 3 2 3" xfId="12647" xr:uid="{D0C11ECC-3DE2-419C-B113-D00DC0F2DF2F}"/>
    <cellStyle name="40% - Accent2 3 2 3 3" xfId="5393" xr:uid="{00000000-0005-0000-0000-0000BB040000}"/>
    <cellStyle name="40% - Accent2 3 2 3 3 2" xfId="14719" xr:uid="{B77D120E-7A1C-4419-86B3-F3539EC71490}"/>
    <cellStyle name="40% - Accent2 3 2 3 4" xfId="10502" xr:uid="{0C3DC975-73A7-496C-98B2-0D72968D6D61}"/>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E94145F1-12E4-4E6F-8C09-4FDCE56B1918}"/>
    <cellStyle name="40% - Accent2 3 2 4 2 3" xfId="13060" xr:uid="{BA950636-7B66-481D-9C59-44EA9E9AF000}"/>
    <cellStyle name="40% - Accent2 3 2 4 3" xfId="5806" xr:uid="{00000000-0005-0000-0000-0000BF040000}"/>
    <cellStyle name="40% - Accent2 3 2 4 3 2" xfId="15132" xr:uid="{515D8D6C-959D-4AA7-BDE4-CD08A44E540D}"/>
    <cellStyle name="40% - Accent2 3 2 4 4" xfId="10915" xr:uid="{DE08DB77-164E-45AA-A6D5-BACA424FF901}"/>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01511646-173A-4554-8352-F710B68C6584}"/>
    <cellStyle name="40% - Accent2 3 2 5 2 3" xfId="13473" xr:uid="{BF7146F1-BDCF-45C1-A124-E668D836891A}"/>
    <cellStyle name="40% - Accent2 3 2 5 3" xfId="6219" xr:uid="{00000000-0005-0000-0000-0000C3040000}"/>
    <cellStyle name="40% - Accent2 3 2 5 3 2" xfId="15545" xr:uid="{CF07E798-5112-4778-88A8-D2551CE86BC8}"/>
    <cellStyle name="40% - Accent2 3 2 5 4" xfId="11328" xr:uid="{EFB4C847-A9E7-4B39-973E-1D696D1204F6}"/>
    <cellStyle name="40% - Accent2 3 2 6" xfId="2326" xr:uid="{00000000-0005-0000-0000-0000C4040000}"/>
    <cellStyle name="40% - Accent2 3 2 6 2" xfId="6632" xr:uid="{00000000-0005-0000-0000-0000C5040000}"/>
    <cellStyle name="40% - Accent2 3 2 6 2 2" xfId="15958" xr:uid="{A12D562A-E517-4218-B6E4-7CC270D60CA0}"/>
    <cellStyle name="40% - Accent2 3 2 6 3" xfId="11741" xr:uid="{10767B89-E6D2-4113-BE05-3D5EB7ACEA65}"/>
    <cellStyle name="40% - Accent2 3 2 7" xfId="4566" xr:uid="{00000000-0005-0000-0000-0000C6040000}"/>
    <cellStyle name="40% - Accent2 3 2 7 2" xfId="13892" xr:uid="{1ED2E7D0-6C6E-41A9-93E0-1C0CE73F761B}"/>
    <cellStyle name="40% - Accent2 3 2 8" xfId="9071" xr:uid="{B5463F05-11FC-4377-B380-DDB549C63AA9}"/>
    <cellStyle name="40% - Accent2 3 2 8 2" xfId="18395" xr:uid="{9ABB85FB-B91A-4719-9D99-74515CD17350}"/>
    <cellStyle name="40% - Accent2 3 2 9" xfId="9675" xr:uid="{E5FA12E4-06D4-44E2-B676-FFC5907FD59C}"/>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0C06EE91-A5CD-4728-A1A1-B3865EAE5C31}"/>
    <cellStyle name="40% - Accent2 3 3 2 3" xfId="12233" xr:uid="{E66E7EFF-3C2F-4B66-B680-32ECF6D2EA8C}"/>
    <cellStyle name="40% - Accent2 3 3 3" xfId="4979" xr:uid="{00000000-0005-0000-0000-0000CA040000}"/>
    <cellStyle name="40% - Accent2 3 3 3 2" xfId="14305" xr:uid="{2A3EC1D4-BD1B-4678-8989-A27C1191B33E}"/>
    <cellStyle name="40% - Accent2 3 3 4" xfId="9289" xr:uid="{B234EB9F-4AFE-41A2-A17D-ABC1D0F80875}"/>
    <cellStyle name="40% - Accent2 3 3 4 2" xfId="18604" xr:uid="{205AD5DF-2CBA-42C2-9DD1-DE218EF36894}"/>
    <cellStyle name="40% - Accent2 3 3 5" xfId="10088" xr:uid="{955F6785-7071-4DD7-B4F9-329CD8292A02}"/>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5CF21D8F-BBDC-4952-B03B-ED7FB502CDB4}"/>
    <cellStyle name="40% - Accent2 3 4 2 3" xfId="12646" xr:uid="{3FD497C9-3251-4E59-B020-CD4C3CCFD135}"/>
    <cellStyle name="40% - Accent2 3 4 3" xfId="5392" xr:uid="{00000000-0005-0000-0000-0000CE040000}"/>
    <cellStyle name="40% - Accent2 3 4 3 2" xfId="14718" xr:uid="{0ADCB14E-B659-420A-A552-3E2826A3433F}"/>
    <cellStyle name="40% - Accent2 3 4 4" xfId="10501" xr:uid="{C01C50C1-8590-4C6D-B712-DCFCD8492972}"/>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648D77EF-383D-4E9B-B3EE-FE323448F0C1}"/>
    <cellStyle name="40% - Accent2 3 5 2 3" xfId="13059" xr:uid="{7B55B2A0-AC1D-4C63-8C10-F584D28C3F3A}"/>
    <cellStyle name="40% - Accent2 3 5 3" xfId="5805" xr:uid="{00000000-0005-0000-0000-0000D2040000}"/>
    <cellStyle name="40% - Accent2 3 5 3 2" xfId="15131" xr:uid="{2DAF7860-2C5C-47D3-8443-5CEEE0151EF1}"/>
    <cellStyle name="40% - Accent2 3 5 4" xfId="10914" xr:uid="{23D1963B-BF94-4538-A5D8-0097FF83F3F5}"/>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77818441-0928-43ED-9309-881001FBCBAC}"/>
    <cellStyle name="40% - Accent2 3 6 2 3" xfId="13472" xr:uid="{E0BC6F8F-DDD9-4CB6-96DB-46879F32C4B6}"/>
    <cellStyle name="40% - Accent2 3 6 3" xfId="6218" xr:uid="{00000000-0005-0000-0000-0000D6040000}"/>
    <cellStyle name="40% - Accent2 3 6 3 2" xfId="15544" xr:uid="{CF5BE2A7-3A57-4B54-A456-F0CBBE08BB7A}"/>
    <cellStyle name="40% - Accent2 3 6 4" xfId="11327" xr:uid="{32E1D0CA-FE2A-4C75-A009-3B7CFBDD0680}"/>
    <cellStyle name="40% - Accent2 3 7" xfId="2325" xr:uid="{00000000-0005-0000-0000-0000D7040000}"/>
    <cellStyle name="40% - Accent2 3 7 2" xfId="6631" xr:uid="{00000000-0005-0000-0000-0000D8040000}"/>
    <cellStyle name="40% - Accent2 3 7 2 2" xfId="15957" xr:uid="{B9BC364F-F492-48A5-B78C-03800C2EA152}"/>
    <cellStyle name="40% - Accent2 3 7 3" xfId="11740" xr:uid="{A9CBAB9D-44EA-4115-ABDE-562178E25AE3}"/>
    <cellStyle name="40% - Accent2 3 8" xfId="4565" xr:uid="{00000000-0005-0000-0000-0000D9040000}"/>
    <cellStyle name="40% - Accent2 3 8 2" xfId="13891" xr:uid="{4587A160-5BE5-41F8-A477-2F9B8C2F415D}"/>
    <cellStyle name="40% - Accent2 3 9" xfId="8864" xr:uid="{311EF031-8CA9-4ACC-8705-6D408E1B50DB}"/>
    <cellStyle name="40% - Accent2 3 9 2" xfId="18188" xr:uid="{A40CB02B-8860-43A5-9AAB-3D61A469F366}"/>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6D035E30-8FC0-41BF-891C-E2AF5AAEA66C}"/>
    <cellStyle name="40% - Accent2 4 2 2 3" xfId="12235" xr:uid="{6C41162A-27F8-40BD-943F-15BAFFACCC03}"/>
    <cellStyle name="40% - Accent2 4 2 3" xfId="4981" xr:uid="{00000000-0005-0000-0000-0000DE040000}"/>
    <cellStyle name="40% - Accent2 4 2 3 2" xfId="14307" xr:uid="{AA772CC1-60F0-421E-BB0E-B38AF9E4BEA3}"/>
    <cellStyle name="40% - Accent2 4 2 4" xfId="9375" xr:uid="{E0F8B4F7-419E-40A5-89E1-F3F0DF6ADFF8}"/>
    <cellStyle name="40% - Accent2 4 2 4 2" xfId="18690" xr:uid="{53A595B5-F5E6-4743-AFE4-3814AFD2877B}"/>
    <cellStyle name="40% - Accent2 4 2 5" xfId="10090" xr:uid="{A3D1F2FB-F5AA-47A4-B56A-FC471220316A}"/>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E3DDD090-1056-4FFC-B6AE-4D5759854CD1}"/>
    <cellStyle name="40% - Accent2 4 3 2 3" xfId="12648" xr:uid="{1AE295AD-9FD9-4860-B311-1A119AF98D35}"/>
    <cellStyle name="40% - Accent2 4 3 3" xfId="5394" xr:uid="{00000000-0005-0000-0000-0000E2040000}"/>
    <cellStyle name="40% - Accent2 4 3 3 2" xfId="14720" xr:uid="{6E3C1064-B1C9-46B3-9AF1-A59605EE4AED}"/>
    <cellStyle name="40% - Accent2 4 3 4" xfId="10503" xr:uid="{06422761-0854-4EB8-A369-94DCFEF32996}"/>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5216F2B0-CF33-4B2F-B611-56035E912B16}"/>
    <cellStyle name="40% - Accent2 4 4 2 3" xfId="13061" xr:uid="{A3EAC5E3-534D-4B29-A6CB-26C87FD1AFC9}"/>
    <cellStyle name="40% - Accent2 4 4 3" xfId="5807" xr:uid="{00000000-0005-0000-0000-0000E6040000}"/>
    <cellStyle name="40% - Accent2 4 4 3 2" xfId="15133" xr:uid="{44A39654-02D0-4F1C-85FB-6E42B0DD307C}"/>
    <cellStyle name="40% - Accent2 4 4 4" xfId="10916" xr:uid="{78B1AECC-2765-4ADD-967C-4CD40C8A6A1B}"/>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8F918091-F017-4CCE-ABDA-DB161230621A}"/>
    <cellStyle name="40% - Accent2 4 5 2 3" xfId="13474" xr:uid="{DDB1BC0B-A178-48AA-A8B6-3E5B1922A636}"/>
    <cellStyle name="40% - Accent2 4 5 3" xfId="6220" xr:uid="{00000000-0005-0000-0000-0000EA040000}"/>
    <cellStyle name="40% - Accent2 4 5 3 2" xfId="15546" xr:uid="{B6C73D74-6D6A-4838-910F-00FFCDB7A51D}"/>
    <cellStyle name="40% - Accent2 4 5 4" xfId="11329" xr:uid="{B8C9C063-E1D9-4287-B729-FCF0171F8AD3}"/>
    <cellStyle name="40% - Accent2 4 6" xfId="2327" xr:uid="{00000000-0005-0000-0000-0000EB040000}"/>
    <cellStyle name="40% - Accent2 4 6 2" xfId="6633" xr:uid="{00000000-0005-0000-0000-0000EC040000}"/>
    <cellStyle name="40% - Accent2 4 6 2 2" xfId="15959" xr:uid="{BB034F85-DC66-44AD-88F9-16D3761D3616}"/>
    <cellStyle name="40% - Accent2 4 6 3" xfId="11742" xr:uid="{B28CEBD6-FDD8-4EB1-B4DF-A992777AE4CE}"/>
    <cellStyle name="40% - Accent2 4 7" xfId="4567" xr:uid="{00000000-0005-0000-0000-0000ED040000}"/>
    <cellStyle name="40% - Accent2 4 7 2" xfId="13893" xr:uid="{C50BFA7A-36B6-40A7-B8B9-0477C8D7103B}"/>
    <cellStyle name="40% - Accent2 4 8" xfId="8950" xr:uid="{02FCA414-0598-4779-8636-7B176A3552C0}"/>
    <cellStyle name="40% - Accent2 4 8 2" xfId="18274" xr:uid="{0D477F80-B0C2-477F-BE47-334909D5CE2C}"/>
    <cellStyle name="40% - Accent2 4 9" xfId="9676" xr:uid="{84548B3D-B943-4A1E-AF4D-CCDBBA6549AF}"/>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FEED5335-B7FB-42D7-8EF2-479BDA377DA8}"/>
    <cellStyle name="40% - Accent2 5 2 3" xfId="12228" xr:uid="{7D2200BE-7C47-483B-9CDD-B00DC184E037}"/>
    <cellStyle name="40% - Accent2 5 3" xfId="4974" xr:uid="{00000000-0005-0000-0000-0000F1040000}"/>
    <cellStyle name="40% - Accent2 5 3 2" xfId="14300" xr:uid="{F2B8EF93-727D-4676-8263-59653EAEF6C0}"/>
    <cellStyle name="40% - Accent2 5 4" xfId="9183" xr:uid="{071EDB8E-9FD1-4063-BCEF-70B734E5ECF1}"/>
    <cellStyle name="40% - Accent2 5 4 2" xfId="18501" xr:uid="{30DAD5F3-0972-4FAA-AFAA-21EF9CE752CB}"/>
    <cellStyle name="40% - Accent2 5 5" xfId="10083" xr:uid="{70752E30-768C-4E4F-B0A8-E2E9CB322902}"/>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DB480BCA-87BF-4F91-935A-831ED89D7841}"/>
    <cellStyle name="40% - Accent2 6 2 3" xfId="12641" xr:uid="{9C7BC920-2E56-4D27-B1E1-330890A66632}"/>
    <cellStyle name="40% - Accent2 6 3" xfId="5387" xr:uid="{00000000-0005-0000-0000-0000F5040000}"/>
    <cellStyle name="40% - Accent2 6 3 2" xfId="14713" xr:uid="{16DB9F22-31AF-424D-A2FB-0F43B169AAA7}"/>
    <cellStyle name="40% - Accent2 6 4" xfId="10496" xr:uid="{9BD8C0B2-A8F0-4E92-80D6-D29BF5339588}"/>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5C63675B-1DF6-42FF-BC42-95ABCE0324F1}"/>
    <cellStyle name="40% - Accent2 7 2 3" xfId="13054" xr:uid="{46B50908-9F36-4A7B-910C-6393842C2672}"/>
    <cellStyle name="40% - Accent2 7 3" xfId="5800" xr:uid="{00000000-0005-0000-0000-0000F9040000}"/>
    <cellStyle name="40% - Accent2 7 3 2" xfId="15126" xr:uid="{11E9A527-47E2-40CA-AC09-6716AAF83C77}"/>
    <cellStyle name="40% - Accent2 7 4" xfId="10909" xr:uid="{D0FEC613-4D8A-4438-B159-9380C93F0574}"/>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71DC76DF-B367-45B0-B5F8-28F4EAB054A5}"/>
    <cellStyle name="40% - Accent2 8 2 3" xfId="13467" xr:uid="{7953395D-807E-4921-B400-10DE20F20357}"/>
    <cellStyle name="40% - Accent2 8 3" xfId="6213" xr:uid="{00000000-0005-0000-0000-0000FD040000}"/>
    <cellStyle name="40% - Accent2 8 3 2" xfId="15539" xr:uid="{8AC743EA-DB46-4117-A7B9-22D0D193C368}"/>
    <cellStyle name="40% - Accent2 8 4" xfId="11322" xr:uid="{388C791A-4592-4130-AD0C-0E6432A525E3}"/>
    <cellStyle name="40% - Accent2 9" xfId="2320" xr:uid="{00000000-0005-0000-0000-0000FE040000}"/>
    <cellStyle name="40% - Accent2 9 2" xfId="6626" xr:uid="{00000000-0005-0000-0000-0000FF040000}"/>
    <cellStyle name="40% - Accent2 9 2 2" xfId="15952" xr:uid="{E26E498B-A144-444B-A42A-63708A310C9E}"/>
    <cellStyle name="40% - Accent2 9 3" xfId="11735" xr:uid="{E9234A7B-5826-45B6-9A18-0444B2F9EDCF}"/>
    <cellStyle name="40% - Accent3" xfId="65" builtinId="39" customBuiltin="1"/>
    <cellStyle name="40% - Accent3 10" xfId="4568" xr:uid="{00000000-0005-0000-0000-000001050000}"/>
    <cellStyle name="40% - Accent3 10 2" xfId="13894" xr:uid="{E876FE83-181F-4211-9228-29A72D4869BF}"/>
    <cellStyle name="40% - Accent3 11" xfId="8763" xr:uid="{CEFBFA85-5B68-4AEB-BF0D-8E604938B05F}"/>
    <cellStyle name="40% - Accent3 11 2" xfId="18087" xr:uid="{351FF44E-E5EB-4426-80E6-9EAEE8BA6811}"/>
    <cellStyle name="40% - Accent3 12" xfId="9677" xr:uid="{0B3721FE-553B-4463-ABAF-7E3DD3A2EA73}"/>
    <cellStyle name="40% - Accent3 2" xfId="66" xr:uid="{00000000-0005-0000-0000-000002050000}"/>
    <cellStyle name="40% - Accent3 2 10" xfId="8800" xr:uid="{00FF2AAD-7D96-45B5-8981-0BB923A3505B}"/>
    <cellStyle name="40% - Accent3 2 10 2" xfId="18124" xr:uid="{7E33288F-49C7-4D34-9D2D-80C1D61A220D}"/>
    <cellStyle name="40% - Accent3 2 11" xfId="9678" xr:uid="{AB378AFE-495C-4775-854F-6F7E407B3554}"/>
    <cellStyle name="40% - Accent3 2 2" xfId="67" xr:uid="{00000000-0005-0000-0000-000003050000}"/>
    <cellStyle name="40% - Accent3 2 2 10" xfId="9679" xr:uid="{30A9198D-5E97-4108-B84D-DC97E97D0071}"/>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34130C52-962D-48BB-9C93-8790B1B4FD16}"/>
    <cellStyle name="40% - Accent3 2 2 2 2 2 3" xfId="12239" xr:uid="{8F44165B-17D2-44BA-BE8E-55123BBDAD17}"/>
    <cellStyle name="40% - Accent3 2 2 2 2 3" xfId="4985" xr:uid="{00000000-0005-0000-0000-000008050000}"/>
    <cellStyle name="40% - Accent3 2 2 2 2 3 2" xfId="14311" xr:uid="{90E60145-12F4-463D-AB3D-F10B7683239C}"/>
    <cellStyle name="40% - Accent3 2 2 2 2 4" xfId="9535" xr:uid="{3AC66435-D4C7-42EF-A799-3DC81A57BDF4}"/>
    <cellStyle name="40% - Accent3 2 2 2 2 4 2" xfId="18850" xr:uid="{94124173-527F-463D-BE24-484083E91ECE}"/>
    <cellStyle name="40% - Accent3 2 2 2 2 5" xfId="10094" xr:uid="{1F8A1045-4B99-4C49-BA80-56958BD0C3EF}"/>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FAC0B740-EBB6-4267-9EBE-3EAD7BCEE610}"/>
    <cellStyle name="40% - Accent3 2 2 2 3 2 3" xfId="12652" xr:uid="{EF82D5CD-F01E-425A-9372-207F042680FE}"/>
    <cellStyle name="40% - Accent3 2 2 2 3 3" xfId="5398" xr:uid="{00000000-0005-0000-0000-00000C050000}"/>
    <cellStyle name="40% - Accent3 2 2 2 3 3 2" xfId="14724" xr:uid="{83C87D57-EF2C-44C5-8668-995D227E4B78}"/>
    <cellStyle name="40% - Accent3 2 2 2 3 4" xfId="10507" xr:uid="{747355D3-BF56-4805-9FCC-C81AAE605B32}"/>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8C623DCB-B269-4661-AEF3-56FCC9F4E616}"/>
    <cellStyle name="40% - Accent3 2 2 2 4 2 3" xfId="13065" xr:uid="{A7A138B3-1A82-4A12-AE43-84F29F913E96}"/>
    <cellStyle name="40% - Accent3 2 2 2 4 3" xfId="5811" xr:uid="{00000000-0005-0000-0000-000010050000}"/>
    <cellStyle name="40% - Accent3 2 2 2 4 3 2" xfId="15137" xr:uid="{A45309B1-7E6D-406D-8158-22727EC759F0}"/>
    <cellStyle name="40% - Accent3 2 2 2 4 4" xfId="10920" xr:uid="{9D4ACAF3-ADBD-4252-8D2F-2478444DED0E}"/>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D0D0B0EA-E24C-4FBD-B158-38C96FC8F363}"/>
    <cellStyle name="40% - Accent3 2 2 2 5 2 3" xfId="13478" xr:uid="{CF4808B8-D01C-42E6-A0EF-2574744E4724}"/>
    <cellStyle name="40% - Accent3 2 2 2 5 3" xfId="6224" xr:uid="{00000000-0005-0000-0000-000014050000}"/>
    <cellStyle name="40% - Accent3 2 2 2 5 3 2" xfId="15550" xr:uid="{3A545B16-9728-480A-8141-F6EAEE0C0C1F}"/>
    <cellStyle name="40% - Accent3 2 2 2 5 4" xfId="11333" xr:uid="{8CBEF2AA-4B09-41CE-BDA9-613C02464499}"/>
    <cellStyle name="40% - Accent3 2 2 2 6" xfId="2331" xr:uid="{00000000-0005-0000-0000-000015050000}"/>
    <cellStyle name="40% - Accent3 2 2 2 6 2" xfId="6637" xr:uid="{00000000-0005-0000-0000-000016050000}"/>
    <cellStyle name="40% - Accent3 2 2 2 6 2 2" xfId="15963" xr:uid="{8FA8C836-66DC-47EB-91F2-7BBD27F7C3F4}"/>
    <cellStyle name="40% - Accent3 2 2 2 6 3" xfId="11746" xr:uid="{1F4E0976-267E-4C6E-9597-17B43687ED56}"/>
    <cellStyle name="40% - Accent3 2 2 2 7" xfId="4571" xr:uid="{00000000-0005-0000-0000-000017050000}"/>
    <cellStyle name="40% - Accent3 2 2 2 7 2" xfId="13897" xr:uid="{7A12FB1D-F03D-4D6D-B2C2-502227CC0557}"/>
    <cellStyle name="40% - Accent3 2 2 2 8" xfId="9110" xr:uid="{E41CBEF9-86F8-44B9-895F-532A7BDC9A2A}"/>
    <cellStyle name="40% - Accent3 2 2 2 8 2" xfId="18434" xr:uid="{D28B3377-1B69-4833-91A6-91AA8A3C1DBB}"/>
    <cellStyle name="40% - Accent3 2 2 2 9" xfId="9680" xr:uid="{F6996297-43A4-4881-A6D0-C370057EC0CE}"/>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DF0746BB-1CDB-4220-9DB8-56457603B85F}"/>
    <cellStyle name="40% - Accent3 2 2 3 2 3" xfId="12238" xr:uid="{DBACB509-4038-4F56-90F4-396623B73155}"/>
    <cellStyle name="40% - Accent3 2 2 3 3" xfId="4984" xr:uid="{00000000-0005-0000-0000-00001B050000}"/>
    <cellStyle name="40% - Accent3 2 2 3 3 2" xfId="14310" xr:uid="{4138C5E9-B3F7-44CD-B7D3-B5FA68A69426}"/>
    <cellStyle name="40% - Accent3 2 2 3 4" xfId="9328" xr:uid="{1DAEB9B9-01CE-426D-A8F1-CE08999D7264}"/>
    <cellStyle name="40% - Accent3 2 2 3 4 2" xfId="18643" xr:uid="{07B8C675-D22C-4D89-942A-320FDB30F4B9}"/>
    <cellStyle name="40% - Accent3 2 2 3 5" xfId="10093" xr:uid="{4DD51880-E47E-48D5-8E8C-0DFCE756BF51}"/>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0E3BD919-0A2A-4579-A232-EA433E54FFF0}"/>
    <cellStyle name="40% - Accent3 2 2 4 2 3" xfId="12651" xr:uid="{F24C85CC-E233-4CB9-BDF5-6815B7ADEDFA}"/>
    <cellStyle name="40% - Accent3 2 2 4 3" xfId="5397" xr:uid="{00000000-0005-0000-0000-00001F050000}"/>
    <cellStyle name="40% - Accent3 2 2 4 3 2" xfId="14723" xr:uid="{AFD20FEF-C3FD-4263-962F-918529BA2D6D}"/>
    <cellStyle name="40% - Accent3 2 2 4 4" xfId="10506" xr:uid="{C2500902-6E9E-43AB-BFDF-B63ADCE52D97}"/>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538DAAEC-CA96-4E5D-9B06-659A7EB05CAC}"/>
    <cellStyle name="40% - Accent3 2 2 5 2 3" xfId="13064" xr:uid="{5C82C828-7C80-4C62-B7F8-65CBDFDA33B1}"/>
    <cellStyle name="40% - Accent3 2 2 5 3" xfId="5810" xr:uid="{00000000-0005-0000-0000-000023050000}"/>
    <cellStyle name="40% - Accent3 2 2 5 3 2" xfId="15136" xr:uid="{66E299A3-B1EA-4FDF-830F-0BF661814638}"/>
    <cellStyle name="40% - Accent3 2 2 5 4" xfId="10919" xr:uid="{01DE18CC-C5EB-4ADE-AE35-D8C205E7C71E}"/>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DC9F9C92-22A0-4593-B3FA-0B920F92683A}"/>
    <cellStyle name="40% - Accent3 2 2 6 2 3" xfId="13477" xr:uid="{2F663A99-4513-414C-9242-AD4ED28DAEFD}"/>
    <cellStyle name="40% - Accent3 2 2 6 3" xfId="6223" xr:uid="{00000000-0005-0000-0000-000027050000}"/>
    <cellStyle name="40% - Accent3 2 2 6 3 2" xfId="15549" xr:uid="{5AD6CC25-871A-4455-A080-E40405AFD43E}"/>
    <cellStyle name="40% - Accent3 2 2 6 4" xfId="11332" xr:uid="{C66C067B-4E74-4C34-9E80-B993DBFB4348}"/>
    <cellStyle name="40% - Accent3 2 2 7" xfId="2330" xr:uid="{00000000-0005-0000-0000-000028050000}"/>
    <cellStyle name="40% - Accent3 2 2 7 2" xfId="6636" xr:uid="{00000000-0005-0000-0000-000029050000}"/>
    <cellStyle name="40% - Accent3 2 2 7 2 2" xfId="15962" xr:uid="{996F7BFC-A05A-4E28-A308-8C60935ABA62}"/>
    <cellStyle name="40% - Accent3 2 2 7 3" xfId="11745" xr:uid="{9BAA71AC-D4B3-4F4B-B988-8357486BEAAC}"/>
    <cellStyle name="40% - Accent3 2 2 8" xfId="4570" xr:uid="{00000000-0005-0000-0000-00002A050000}"/>
    <cellStyle name="40% - Accent3 2 2 8 2" xfId="13896" xr:uid="{D769AD78-AF49-4E4C-9EC7-6CC96B2891DB}"/>
    <cellStyle name="40% - Accent3 2 2 9" xfId="8903" xr:uid="{D9C85917-26AE-466C-8B98-905BCDA9E329}"/>
    <cellStyle name="40% - Accent3 2 2 9 2" xfId="18227" xr:uid="{952EB359-B73F-493A-9EAE-336105EE995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4423B132-F636-4203-81A1-36010E23C9B3}"/>
    <cellStyle name="40% - Accent3 2 3 2 2 3" xfId="12240" xr:uid="{C87CD938-6F09-4F6B-81C9-2594B581A2EB}"/>
    <cellStyle name="40% - Accent3 2 3 2 3" xfId="4986" xr:uid="{00000000-0005-0000-0000-00002F050000}"/>
    <cellStyle name="40% - Accent3 2 3 2 3 2" xfId="14312" xr:uid="{235C8DDA-CE90-4004-A6DE-36CC9FDF8CCF}"/>
    <cellStyle name="40% - Accent3 2 3 2 4" xfId="9432" xr:uid="{54D6848B-0200-4F42-820D-262A8F9A2C0F}"/>
    <cellStyle name="40% - Accent3 2 3 2 4 2" xfId="18747" xr:uid="{B88F9EA9-28CD-430C-B526-1BA015430B09}"/>
    <cellStyle name="40% - Accent3 2 3 2 5" xfId="10095" xr:uid="{35F27F9A-DD97-459E-AD08-1EF4CEB47BF8}"/>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E7206686-CA40-4B10-B322-BAFC8BF70E1B}"/>
    <cellStyle name="40% - Accent3 2 3 3 2 3" xfId="12653" xr:uid="{39AB0504-2650-40D2-89DA-A2C6399F70B3}"/>
    <cellStyle name="40% - Accent3 2 3 3 3" xfId="5399" xr:uid="{00000000-0005-0000-0000-000033050000}"/>
    <cellStyle name="40% - Accent3 2 3 3 3 2" xfId="14725" xr:uid="{67A3A9B3-26AF-44D8-93F9-F02B2F6A0E02}"/>
    <cellStyle name="40% - Accent3 2 3 3 4" xfId="10508" xr:uid="{EF5CF8A0-6CA5-4B1C-816A-5A030526F10F}"/>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BA941AF6-F079-43ED-BA8D-6D048DCD4B68}"/>
    <cellStyle name="40% - Accent3 2 3 4 2 3" xfId="13066" xr:uid="{CFC22386-5934-4D0D-A068-456E8096B66E}"/>
    <cellStyle name="40% - Accent3 2 3 4 3" xfId="5812" xr:uid="{00000000-0005-0000-0000-000037050000}"/>
    <cellStyle name="40% - Accent3 2 3 4 3 2" xfId="15138" xr:uid="{7E2B405C-32A7-4164-9397-392FF0053CC9}"/>
    <cellStyle name="40% - Accent3 2 3 4 4" xfId="10921" xr:uid="{5BF7C372-74F1-4C27-AC57-88D8F2F51047}"/>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525AC806-30D6-4160-9BEB-38B09E261863}"/>
    <cellStyle name="40% - Accent3 2 3 5 2 3" xfId="13479" xr:uid="{8EA55364-F187-411F-BF61-1858A4054FF3}"/>
    <cellStyle name="40% - Accent3 2 3 5 3" xfId="6225" xr:uid="{00000000-0005-0000-0000-00003B050000}"/>
    <cellStyle name="40% - Accent3 2 3 5 3 2" xfId="15551" xr:uid="{F5B71556-C2B1-4797-8550-0B1A69E24917}"/>
    <cellStyle name="40% - Accent3 2 3 5 4" xfId="11334" xr:uid="{FD1AC368-EE84-4A10-847C-780CEFDC67B9}"/>
    <cellStyle name="40% - Accent3 2 3 6" xfId="2332" xr:uid="{00000000-0005-0000-0000-00003C050000}"/>
    <cellStyle name="40% - Accent3 2 3 6 2" xfId="6638" xr:uid="{00000000-0005-0000-0000-00003D050000}"/>
    <cellStyle name="40% - Accent3 2 3 6 2 2" xfId="15964" xr:uid="{CB02B758-D2B0-4BEE-B602-094A45076398}"/>
    <cellStyle name="40% - Accent3 2 3 6 3" xfId="11747" xr:uid="{8A6A3887-DBC9-4CC2-A210-93C5F4D334B9}"/>
    <cellStyle name="40% - Accent3 2 3 7" xfId="4572" xr:uid="{00000000-0005-0000-0000-00003E050000}"/>
    <cellStyle name="40% - Accent3 2 3 7 2" xfId="13898" xr:uid="{CBD6B302-825B-4D9E-8045-D8F19A9E58C0}"/>
    <cellStyle name="40% - Accent3 2 3 8" xfId="9007" xr:uid="{2DEFD82C-2A62-4C1E-AA8D-7F2606BD9091}"/>
    <cellStyle name="40% - Accent3 2 3 8 2" xfId="18331" xr:uid="{057C6372-9232-4391-B8F2-E3810A6F5157}"/>
    <cellStyle name="40% - Accent3 2 3 9" xfId="9681" xr:uid="{BD2D878D-FAF4-40CD-9523-691C7773800C}"/>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5DA3ADF8-0CA6-4A72-8C37-2DDBDAAA623E}"/>
    <cellStyle name="40% - Accent3 2 4 2 3" xfId="12237" xr:uid="{840212A0-9252-42DC-B5C5-5B22B79CA2C3}"/>
    <cellStyle name="40% - Accent3 2 4 3" xfId="4983" xr:uid="{00000000-0005-0000-0000-000042050000}"/>
    <cellStyle name="40% - Accent3 2 4 3 2" xfId="14309" xr:uid="{8535D0E6-D0E9-4608-B08F-36AD44FAB3A9}"/>
    <cellStyle name="40% - Accent3 2 4 4" xfId="9224" xr:uid="{6B91012A-BFF2-4F1F-901C-A91F06F80031}"/>
    <cellStyle name="40% - Accent3 2 4 4 2" xfId="18540" xr:uid="{C13A6D22-25D4-4D39-8583-D8B7E8D86BC7}"/>
    <cellStyle name="40% - Accent3 2 4 5" xfId="10092" xr:uid="{BC750365-F62A-42E3-9053-502A43F42227}"/>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6FB36FD1-DE07-4401-8EE1-502959A5B5DB}"/>
    <cellStyle name="40% - Accent3 2 5 2 3" xfId="12650" xr:uid="{45C1CC27-B929-442E-BC63-58D8C56FF32E}"/>
    <cellStyle name="40% - Accent3 2 5 3" xfId="5396" xr:uid="{00000000-0005-0000-0000-000046050000}"/>
    <cellStyle name="40% - Accent3 2 5 3 2" xfId="14722" xr:uid="{25FA497A-90D5-44A1-B749-90FDB5F64451}"/>
    <cellStyle name="40% - Accent3 2 5 4" xfId="10505" xr:uid="{D500DAE5-6560-4DAC-84AC-7BB3818B9A5D}"/>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946570F9-4FD7-48EB-BB0A-7574028A6858}"/>
    <cellStyle name="40% - Accent3 2 6 2 3" xfId="13063" xr:uid="{F615A1C3-DE51-4129-BBB7-43D43FD9718E}"/>
    <cellStyle name="40% - Accent3 2 6 3" xfId="5809" xr:uid="{00000000-0005-0000-0000-00004A050000}"/>
    <cellStyle name="40% - Accent3 2 6 3 2" xfId="15135" xr:uid="{DC9BF403-7475-4047-8384-A96B77CD5749}"/>
    <cellStyle name="40% - Accent3 2 6 4" xfId="10918" xr:uid="{5AB2F7E7-E414-47E6-97F1-2203EF7EF559}"/>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3500B7A1-9C5D-41E5-91D0-8681082BAD4D}"/>
    <cellStyle name="40% - Accent3 2 7 2 3" xfId="13476" xr:uid="{30EB2D6F-5A51-450F-A5FD-547AB16619B1}"/>
    <cellStyle name="40% - Accent3 2 7 3" xfId="6222" xr:uid="{00000000-0005-0000-0000-00004E050000}"/>
    <cellStyle name="40% - Accent3 2 7 3 2" xfId="15548" xr:uid="{AF8B2A37-1182-488D-AF37-F3D8394D1BB4}"/>
    <cellStyle name="40% - Accent3 2 7 4" xfId="11331" xr:uid="{53A0B6C1-8EFB-4812-987E-D317C7CAFDFB}"/>
    <cellStyle name="40% - Accent3 2 8" xfId="2329" xr:uid="{00000000-0005-0000-0000-00004F050000}"/>
    <cellStyle name="40% - Accent3 2 8 2" xfId="6635" xr:uid="{00000000-0005-0000-0000-000050050000}"/>
    <cellStyle name="40% - Accent3 2 8 2 2" xfId="15961" xr:uid="{D086C778-B61B-446B-A7C1-43EEE6343B9C}"/>
    <cellStyle name="40% - Accent3 2 8 3" xfId="11744" xr:uid="{A846A4E2-A607-44B4-9FCF-0712189139FE}"/>
    <cellStyle name="40% - Accent3 2 9" xfId="4569" xr:uid="{00000000-0005-0000-0000-000051050000}"/>
    <cellStyle name="40% - Accent3 2 9 2" xfId="13895" xr:uid="{1C0295CE-3A2B-4D17-8612-1942C64B1ACB}"/>
    <cellStyle name="40% - Accent3 3" xfId="70" xr:uid="{00000000-0005-0000-0000-000052050000}"/>
    <cellStyle name="40% - Accent3 3 10" xfId="9682" xr:uid="{2C098295-605E-408B-B78B-4108BF9DB2A1}"/>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9B2D75D9-ABE2-4533-935D-F8E16F9F5802}"/>
    <cellStyle name="40% - Accent3 3 2 2 2 3" xfId="12242" xr:uid="{F2CC8770-6A8B-4D2E-B725-EB9D6198F966}"/>
    <cellStyle name="40% - Accent3 3 2 2 3" xfId="4988" xr:uid="{00000000-0005-0000-0000-000057050000}"/>
    <cellStyle name="40% - Accent3 3 2 2 3 2" xfId="14314" xr:uid="{0AA7906B-258F-4E71-A57B-3861AC57F829}"/>
    <cellStyle name="40% - Accent3 3 2 2 4" xfId="9498" xr:uid="{7C43CF58-5AE0-4BAA-9D2B-CAB92F3612F1}"/>
    <cellStyle name="40% - Accent3 3 2 2 4 2" xfId="18813" xr:uid="{41DC5109-E393-4612-A6A4-7A33CC9ADC3A}"/>
    <cellStyle name="40% - Accent3 3 2 2 5" xfId="10097" xr:uid="{678D74BD-F596-4782-857B-0290DE9BDCBB}"/>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BEA82588-6B2A-46C0-8B47-EC3204134D9C}"/>
    <cellStyle name="40% - Accent3 3 2 3 2 3" xfId="12655" xr:uid="{1B477C15-03FF-45DB-9855-555B707234CB}"/>
    <cellStyle name="40% - Accent3 3 2 3 3" xfId="5401" xr:uid="{00000000-0005-0000-0000-00005B050000}"/>
    <cellStyle name="40% - Accent3 3 2 3 3 2" xfId="14727" xr:uid="{088D15D9-53AE-498E-A2C5-21EF4D96B1E3}"/>
    <cellStyle name="40% - Accent3 3 2 3 4" xfId="10510" xr:uid="{703EF5F3-A028-4492-A7F7-D0EE3A98F1CC}"/>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592BA974-58F7-43DC-B679-DDBD7BA989BA}"/>
    <cellStyle name="40% - Accent3 3 2 4 2 3" xfId="13068" xr:uid="{C814FB77-B077-4DD9-BD95-9AFD5EE55F08}"/>
    <cellStyle name="40% - Accent3 3 2 4 3" xfId="5814" xr:uid="{00000000-0005-0000-0000-00005F050000}"/>
    <cellStyle name="40% - Accent3 3 2 4 3 2" xfId="15140" xr:uid="{99360A7F-55B2-487A-B499-5220CD642B7E}"/>
    <cellStyle name="40% - Accent3 3 2 4 4" xfId="10923" xr:uid="{11A32353-5B40-4F94-83B6-E3C9948202A4}"/>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061A07B6-11F3-4AB4-9C09-E2D0E24E3F80}"/>
    <cellStyle name="40% - Accent3 3 2 5 2 3" xfId="13481" xr:uid="{1CEBC74B-7D58-412F-AA53-C61E50F0928B}"/>
    <cellStyle name="40% - Accent3 3 2 5 3" xfId="6227" xr:uid="{00000000-0005-0000-0000-000063050000}"/>
    <cellStyle name="40% - Accent3 3 2 5 3 2" xfId="15553" xr:uid="{22C7F3DD-7BAB-4808-9378-6C1916F49B77}"/>
    <cellStyle name="40% - Accent3 3 2 5 4" xfId="11336" xr:uid="{133B3675-6FBC-45AD-9F7C-27720633BE89}"/>
    <cellStyle name="40% - Accent3 3 2 6" xfId="2334" xr:uid="{00000000-0005-0000-0000-000064050000}"/>
    <cellStyle name="40% - Accent3 3 2 6 2" xfId="6640" xr:uid="{00000000-0005-0000-0000-000065050000}"/>
    <cellStyle name="40% - Accent3 3 2 6 2 2" xfId="15966" xr:uid="{CAC56614-D5EA-4988-B453-65BB63D3122E}"/>
    <cellStyle name="40% - Accent3 3 2 6 3" xfId="11749" xr:uid="{152A6418-9457-4047-8EEF-B94637BA1A02}"/>
    <cellStyle name="40% - Accent3 3 2 7" xfId="4574" xr:uid="{00000000-0005-0000-0000-000066050000}"/>
    <cellStyle name="40% - Accent3 3 2 7 2" xfId="13900" xr:uid="{ECEB6CBA-E304-4377-ADCC-E7305506C33E}"/>
    <cellStyle name="40% - Accent3 3 2 8" xfId="9073" xr:uid="{0E71C752-2CF0-411D-A05E-4DA4A73CFC34}"/>
    <cellStyle name="40% - Accent3 3 2 8 2" xfId="18397" xr:uid="{20399451-B07E-4372-A0E4-8DB6C44874BF}"/>
    <cellStyle name="40% - Accent3 3 2 9" xfId="9683" xr:uid="{8770902F-1560-4C35-85ED-06C8AFF8CC01}"/>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6C179D56-C956-4690-ACDF-E78E235D4CEE}"/>
    <cellStyle name="40% - Accent3 3 3 2 3" xfId="12241" xr:uid="{5B170A56-7B3A-4FC4-BBF8-9E432389DB2D}"/>
    <cellStyle name="40% - Accent3 3 3 3" xfId="4987" xr:uid="{00000000-0005-0000-0000-00006A050000}"/>
    <cellStyle name="40% - Accent3 3 3 3 2" xfId="14313" xr:uid="{46D7E82B-3E9A-4BB7-8486-9D0FE09D1F8C}"/>
    <cellStyle name="40% - Accent3 3 3 4" xfId="9291" xr:uid="{59AB3F6D-A8C6-4A37-A8E3-967850079A77}"/>
    <cellStyle name="40% - Accent3 3 3 4 2" xfId="18606" xr:uid="{C69A0BDB-D51F-4780-BD52-7FA425FCF3C1}"/>
    <cellStyle name="40% - Accent3 3 3 5" xfId="10096" xr:uid="{41633D20-5EB4-4D0C-8D77-77FAB6A8A5CC}"/>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D6B4C477-6718-4166-AE50-5C2A395E6136}"/>
    <cellStyle name="40% - Accent3 3 4 2 3" xfId="12654" xr:uid="{23DDFEBD-67CF-4775-A03D-EA7890791030}"/>
    <cellStyle name="40% - Accent3 3 4 3" xfId="5400" xr:uid="{00000000-0005-0000-0000-00006E050000}"/>
    <cellStyle name="40% - Accent3 3 4 3 2" xfId="14726" xr:uid="{C20A26AF-8693-4772-A678-847542210106}"/>
    <cellStyle name="40% - Accent3 3 4 4" xfId="10509" xr:uid="{9ED6CB72-410F-4D53-AA2C-787C3109D8C0}"/>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C4EB6013-104A-4430-AEC4-82A3537C99F2}"/>
    <cellStyle name="40% - Accent3 3 5 2 3" xfId="13067" xr:uid="{27E58852-0A8B-47C4-BEFE-7FAF848D1311}"/>
    <cellStyle name="40% - Accent3 3 5 3" xfId="5813" xr:uid="{00000000-0005-0000-0000-000072050000}"/>
    <cellStyle name="40% - Accent3 3 5 3 2" xfId="15139" xr:uid="{99EC7938-86B5-4C38-B509-1341F0C20B10}"/>
    <cellStyle name="40% - Accent3 3 5 4" xfId="10922" xr:uid="{CB723A0E-7785-438E-B4E1-A568CACB6D12}"/>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661808EA-819A-4AFF-89E8-64D4C60B3569}"/>
    <cellStyle name="40% - Accent3 3 6 2 3" xfId="13480" xr:uid="{AF91F8EA-CACA-4502-B381-DEE1685E1825}"/>
    <cellStyle name="40% - Accent3 3 6 3" xfId="6226" xr:uid="{00000000-0005-0000-0000-000076050000}"/>
    <cellStyle name="40% - Accent3 3 6 3 2" xfId="15552" xr:uid="{48A619E1-E652-45F2-A504-F6F8C5E320E2}"/>
    <cellStyle name="40% - Accent3 3 6 4" xfId="11335" xr:uid="{861E92EF-3147-4003-8447-8D7A3CDC0F7F}"/>
    <cellStyle name="40% - Accent3 3 7" xfId="2333" xr:uid="{00000000-0005-0000-0000-000077050000}"/>
    <cellStyle name="40% - Accent3 3 7 2" xfId="6639" xr:uid="{00000000-0005-0000-0000-000078050000}"/>
    <cellStyle name="40% - Accent3 3 7 2 2" xfId="15965" xr:uid="{B5CB4A39-7685-405A-8BF0-057788D7F035}"/>
    <cellStyle name="40% - Accent3 3 7 3" xfId="11748" xr:uid="{FB1AED7B-5081-4B2E-8C99-53E0DE0BAEFD}"/>
    <cellStyle name="40% - Accent3 3 8" xfId="4573" xr:uid="{00000000-0005-0000-0000-000079050000}"/>
    <cellStyle name="40% - Accent3 3 8 2" xfId="13899" xr:uid="{A5CF7C9B-DE31-4DA9-8B28-BDA7298DD517}"/>
    <cellStyle name="40% - Accent3 3 9" xfId="8866" xr:uid="{1A1EF43E-4A2B-42A8-98A3-CEC34DD3B00D}"/>
    <cellStyle name="40% - Accent3 3 9 2" xfId="18190" xr:uid="{5260A90A-6261-44CD-83C5-06F13E902B69}"/>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F897E239-FAE8-4C9F-864F-6AAC06EDAC3C}"/>
    <cellStyle name="40% - Accent3 4 2 2 3" xfId="12243" xr:uid="{AE0F32AD-6A22-415A-B91F-2971B18A8768}"/>
    <cellStyle name="40% - Accent3 4 2 3" xfId="4989" xr:uid="{00000000-0005-0000-0000-00007E050000}"/>
    <cellStyle name="40% - Accent3 4 2 3 2" xfId="14315" xr:uid="{3AC12EFD-1315-4C83-9654-921B272B7C4B}"/>
    <cellStyle name="40% - Accent3 4 2 4" xfId="9377" xr:uid="{F4393833-4E73-4685-9332-CF918D5239A9}"/>
    <cellStyle name="40% - Accent3 4 2 4 2" xfId="18692" xr:uid="{C3D29536-2BF5-4BA4-8BCD-1C811A31203E}"/>
    <cellStyle name="40% - Accent3 4 2 5" xfId="10098" xr:uid="{3881A1AE-22AC-4C04-B6AD-39DD80B95440}"/>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4CA55225-0167-41DE-96DC-2FB036AAAB67}"/>
    <cellStyle name="40% - Accent3 4 3 2 3" xfId="12656" xr:uid="{0C5DAAFB-DF69-4D83-86D4-11E90821AFD3}"/>
    <cellStyle name="40% - Accent3 4 3 3" xfId="5402" xr:uid="{00000000-0005-0000-0000-000082050000}"/>
    <cellStyle name="40% - Accent3 4 3 3 2" xfId="14728" xr:uid="{5B32A83F-CBCD-4AA4-9743-C18979D28691}"/>
    <cellStyle name="40% - Accent3 4 3 4" xfId="10511" xr:uid="{1F79148D-BCB6-49D8-8B3C-377998B74281}"/>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6A9AC993-59B2-4DB4-8DC0-50C9DA9C103B}"/>
    <cellStyle name="40% - Accent3 4 4 2 3" xfId="13069" xr:uid="{364FDA2B-F6B5-4EA7-8D06-ADF76DD5402D}"/>
    <cellStyle name="40% - Accent3 4 4 3" xfId="5815" xr:uid="{00000000-0005-0000-0000-000086050000}"/>
    <cellStyle name="40% - Accent3 4 4 3 2" xfId="15141" xr:uid="{1C364450-E0BD-428F-9BC9-AABD465E7D9B}"/>
    <cellStyle name="40% - Accent3 4 4 4" xfId="10924" xr:uid="{3D70C43F-0BDB-4D04-AB0C-43EE6B819310}"/>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7BC638E1-AC69-4CBC-801F-D14F9824AAEC}"/>
    <cellStyle name="40% - Accent3 4 5 2 3" xfId="13482" xr:uid="{C6A55E8D-C48E-44CE-8BC1-7643E755D42D}"/>
    <cellStyle name="40% - Accent3 4 5 3" xfId="6228" xr:uid="{00000000-0005-0000-0000-00008A050000}"/>
    <cellStyle name="40% - Accent3 4 5 3 2" xfId="15554" xr:uid="{CDACCB4B-A6EE-44F9-87D1-E417E75230CB}"/>
    <cellStyle name="40% - Accent3 4 5 4" xfId="11337" xr:uid="{21E253E7-4A2C-48EF-99CD-508207D21D94}"/>
    <cellStyle name="40% - Accent3 4 6" xfId="2335" xr:uid="{00000000-0005-0000-0000-00008B050000}"/>
    <cellStyle name="40% - Accent3 4 6 2" xfId="6641" xr:uid="{00000000-0005-0000-0000-00008C050000}"/>
    <cellStyle name="40% - Accent3 4 6 2 2" xfId="15967" xr:uid="{34446BAF-859B-4C06-B232-69D6F6C21523}"/>
    <cellStyle name="40% - Accent3 4 6 3" xfId="11750" xr:uid="{5B285735-7042-4C6F-AF48-05901CE79173}"/>
    <cellStyle name="40% - Accent3 4 7" xfId="4575" xr:uid="{00000000-0005-0000-0000-00008D050000}"/>
    <cellStyle name="40% - Accent3 4 7 2" xfId="13901" xr:uid="{4A2D39CF-8D8F-469F-ACA9-1682CB91452D}"/>
    <cellStyle name="40% - Accent3 4 8" xfId="8952" xr:uid="{74BF8F1E-4A34-4787-9BA1-0B97E446635F}"/>
    <cellStyle name="40% - Accent3 4 8 2" xfId="18276" xr:uid="{6C83F836-67AD-4F5C-88C7-6AB00EDDF834}"/>
    <cellStyle name="40% - Accent3 4 9" xfId="9684" xr:uid="{D2DBE343-8127-4905-AB46-8C5347791F4C}"/>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61B1DD0A-FFCC-4E8C-83C2-1D12866E40EE}"/>
    <cellStyle name="40% - Accent3 5 2 3" xfId="12236" xr:uid="{D06D7598-05CA-487D-801D-FEE3DBB62F17}"/>
    <cellStyle name="40% - Accent3 5 3" xfId="4982" xr:uid="{00000000-0005-0000-0000-000091050000}"/>
    <cellStyle name="40% - Accent3 5 3 2" xfId="14308" xr:uid="{9B4DF29C-5BC1-473E-BC95-A004AA0A8ABD}"/>
    <cellStyle name="40% - Accent3 5 4" xfId="9185" xr:uid="{526F025D-EBF7-4976-9E38-4C0631A2843B}"/>
    <cellStyle name="40% - Accent3 5 4 2" xfId="18503" xr:uid="{FCEAB9BB-8872-485A-8CE4-CB69C5ADC1C5}"/>
    <cellStyle name="40% - Accent3 5 5" xfId="10091" xr:uid="{E74D4C10-7156-4640-93E0-810933E59C00}"/>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D552FA30-D505-40D9-8F8D-B4D02B06619E}"/>
    <cellStyle name="40% - Accent3 6 2 3" xfId="12649" xr:uid="{212AC3EE-7658-46BE-8E0A-3B33CAC0EACE}"/>
    <cellStyle name="40% - Accent3 6 3" xfId="5395" xr:uid="{00000000-0005-0000-0000-000095050000}"/>
    <cellStyle name="40% - Accent3 6 3 2" xfId="14721" xr:uid="{E8BCB049-2A4C-4BAF-8EE1-061C2AED62A1}"/>
    <cellStyle name="40% - Accent3 6 4" xfId="10504" xr:uid="{D82C328D-4C3B-4819-B19F-6E5F4586E2D3}"/>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67108A64-1A2D-4E59-B1D8-7EC55AFEBC90}"/>
    <cellStyle name="40% - Accent3 7 2 3" xfId="13062" xr:uid="{9F6652F6-782E-4CDA-B652-8683248A9AF1}"/>
    <cellStyle name="40% - Accent3 7 3" xfId="5808" xr:uid="{00000000-0005-0000-0000-000099050000}"/>
    <cellStyle name="40% - Accent3 7 3 2" xfId="15134" xr:uid="{1280FFA1-24A8-4B5A-948B-FFFD943FC5BE}"/>
    <cellStyle name="40% - Accent3 7 4" xfId="10917" xr:uid="{51DD392D-E79A-48E8-A515-8E7BD9E4241E}"/>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86A7E34F-9848-4515-9C23-D41C1A680AB4}"/>
    <cellStyle name="40% - Accent3 8 2 3" xfId="13475" xr:uid="{6931B62B-CAB4-460E-9770-D6B98D2A17B4}"/>
    <cellStyle name="40% - Accent3 8 3" xfId="6221" xr:uid="{00000000-0005-0000-0000-00009D050000}"/>
    <cellStyle name="40% - Accent3 8 3 2" xfId="15547" xr:uid="{48C27F07-DA18-4F4E-9F3F-8BAF4DBC973C}"/>
    <cellStyle name="40% - Accent3 8 4" xfId="11330" xr:uid="{8C93C640-D163-444B-BAA8-C1FE2F5F4932}"/>
    <cellStyle name="40% - Accent3 9" xfId="2328" xr:uid="{00000000-0005-0000-0000-00009E050000}"/>
    <cellStyle name="40% - Accent3 9 2" xfId="6634" xr:uid="{00000000-0005-0000-0000-00009F050000}"/>
    <cellStyle name="40% - Accent3 9 2 2" xfId="15960" xr:uid="{995847E8-7F88-4D41-B5FA-956E2A60AD6E}"/>
    <cellStyle name="40% - Accent3 9 3" xfId="11743" xr:uid="{D4BFFDC3-E5D6-48CF-855E-705DCBD493AD}"/>
    <cellStyle name="40% - Accent4" xfId="73" builtinId="43" customBuiltin="1"/>
    <cellStyle name="40% - Accent4 10" xfId="4576" xr:uid="{00000000-0005-0000-0000-0000A1050000}"/>
    <cellStyle name="40% - Accent4 10 2" xfId="13902" xr:uid="{52DFEADD-7B4B-4770-9FC6-B68FE0460C25}"/>
    <cellStyle name="40% - Accent4 11" xfId="8765" xr:uid="{18B6B6D6-5043-43D1-BB02-3855BF7027C3}"/>
    <cellStyle name="40% - Accent4 11 2" xfId="18089" xr:uid="{4742883D-A55D-4FA8-935B-9EFF5086E124}"/>
    <cellStyle name="40% - Accent4 12" xfId="9685" xr:uid="{71A7E97E-5E40-4963-9EA9-50B203484BAA}"/>
    <cellStyle name="40% - Accent4 2" xfId="74" xr:uid="{00000000-0005-0000-0000-0000A2050000}"/>
    <cellStyle name="40% - Accent4 2 10" xfId="8801" xr:uid="{223FCC58-A05E-4022-8080-E75A80678FA6}"/>
    <cellStyle name="40% - Accent4 2 10 2" xfId="18125" xr:uid="{9A67DC82-C7DD-489B-AB7A-9338996A88E4}"/>
    <cellStyle name="40% - Accent4 2 11" xfId="9686" xr:uid="{C5A23CD9-D68A-4199-BCBC-511918AD0869}"/>
    <cellStyle name="40% - Accent4 2 2" xfId="75" xr:uid="{00000000-0005-0000-0000-0000A3050000}"/>
    <cellStyle name="40% - Accent4 2 2 10" xfId="9687" xr:uid="{6664C580-80B5-4735-9442-D525F966626B}"/>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40C04A7A-D1F6-4C92-AF18-A56FE5ADCB9C}"/>
    <cellStyle name="40% - Accent4 2 2 2 2 2 3" xfId="12247" xr:uid="{29533451-E06F-4888-BEE0-B548FFDA210E}"/>
    <cellStyle name="40% - Accent4 2 2 2 2 3" xfId="4993" xr:uid="{00000000-0005-0000-0000-0000A8050000}"/>
    <cellStyle name="40% - Accent4 2 2 2 2 3 2" xfId="14319" xr:uid="{D0732B27-E218-47BE-A582-426B941A6882}"/>
    <cellStyle name="40% - Accent4 2 2 2 2 4" xfId="9536" xr:uid="{4351D24F-CE30-4CFD-968F-4B882F0FC9B5}"/>
    <cellStyle name="40% - Accent4 2 2 2 2 4 2" xfId="18851" xr:uid="{AA3720B6-D3F4-4C1C-BF8E-6E281959319A}"/>
    <cellStyle name="40% - Accent4 2 2 2 2 5" xfId="10102" xr:uid="{2DAE4626-3131-44AF-8053-529FA715C7FA}"/>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FB7E6AB0-4612-48A6-B2F7-BB87DF1932C5}"/>
    <cellStyle name="40% - Accent4 2 2 2 3 2 3" xfId="12660" xr:uid="{7CF371A4-3F5E-4EF9-B85D-1E23372E671A}"/>
    <cellStyle name="40% - Accent4 2 2 2 3 3" xfId="5406" xr:uid="{00000000-0005-0000-0000-0000AC050000}"/>
    <cellStyle name="40% - Accent4 2 2 2 3 3 2" xfId="14732" xr:uid="{091A0D20-10D7-43B6-9CCD-A14962385514}"/>
    <cellStyle name="40% - Accent4 2 2 2 3 4" xfId="10515" xr:uid="{6B6EFEF7-0681-43AA-B1A3-D4D0124EBBD7}"/>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174B26C2-8A98-41B4-9FC4-6C98F19DD7D3}"/>
    <cellStyle name="40% - Accent4 2 2 2 4 2 3" xfId="13073" xr:uid="{BBC4256D-7556-448E-A10A-7A358FA5B06A}"/>
    <cellStyle name="40% - Accent4 2 2 2 4 3" xfId="5819" xr:uid="{00000000-0005-0000-0000-0000B0050000}"/>
    <cellStyle name="40% - Accent4 2 2 2 4 3 2" xfId="15145" xr:uid="{6A41A7D3-E7BE-4DB0-A90A-66A1CD3756D1}"/>
    <cellStyle name="40% - Accent4 2 2 2 4 4" xfId="10928" xr:uid="{CC183342-E834-4B63-8F7F-AC135868A23F}"/>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67044B32-A44F-43E2-96A6-54AA28FD2D06}"/>
    <cellStyle name="40% - Accent4 2 2 2 5 2 3" xfId="13486" xr:uid="{5B275333-F7B1-423B-9B52-1CA13909A3F2}"/>
    <cellStyle name="40% - Accent4 2 2 2 5 3" xfId="6232" xr:uid="{00000000-0005-0000-0000-0000B4050000}"/>
    <cellStyle name="40% - Accent4 2 2 2 5 3 2" xfId="15558" xr:uid="{1473E153-58A2-4C5B-A62D-B9DE88B20212}"/>
    <cellStyle name="40% - Accent4 2 2 2 5 4" xfId="11341" xr:uid="{3DD2CC0D-C55F-49C1-963B-CA9A428122A2}"/>
    <cellStyle name="40% - Accent4 2 2 2 6" xfId="2339" xr:uid="{00000000-0005-0000-0000-0000B5050000}"/>
    <cellStyle name="40% - Accent4 2 2 2 6 2" xfId="6645" xr:uid="{00000000-0005-0000-0000-0000B6050000}"/>
    <cellStyle name="40% - Accent4 2 2 2 6 2 2" xfId="15971" xr:uid="{DA6D56FA-2274-4A8F-8928-C25342F51D8A}"/>
    <cellStyle name="40% - Accent4 2 2 2 6 3" xfId="11754" xr:uid="{3A7CA001-D1C7-479D-B10D-E45960D3AB61}"/>
    <cellStyle name="40% - Accent4 2 2 2 7" xfId="4579" xr:uid="{00000000-0005-0000-0000-0000B7050000}"/>
    <cellStyle name="40% - Accent4 2 2 2 7 2" xfId="13905" xr:uid="{FF179DF1-CBCA-46A6-9E5F-987EDBE5328C}"/>
    <cellStyle name="40% - Accent4 2 2 2 8" xfId="9111" xr:uid="{1DD86F12-0D11-497C-88D9-78D90E1EF65F}"/>
    <cellStyle name="40% - Accent4 2 2 2 8 2" xfId="18435" xr:uid="{7F292545-CCD0-4E87-A043-C6568ACC07DA}"/>
    <cellStyle name="40% - Accent4 2 2 2 9" xfId="9688" xr:uid="{1EEA1625-0DC5-46A3-9E1C-76E3659DE7E3}"/>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EA8DDB38-060D-4254-99B1-29321320D8B9}"/>
    <cellStyle name="40% - Accent4 2 2 3 2 3" xfId="12246" xr:uid="{3CBD9785-3EC2-47DC-87E9-D741F97A6FF5}"/>
    <cellStyle name="40% - Accent4 2 2 3 3" xfId="4992" xr:uid="{00000000-0005-0000-0000-0000BB050000}"/>
    <cellStyle name="40% - Accent4 2 2 3 3 2" xfId="14318" xr:uid="{9E6EA748-32E5-4019-8E17-78AD7DE73907}"/>
    <cellStyle name="40% - Accent4 2 2 3 4" xfId="9329" xr:uid="{62CB3536-9FC4-4DBF-9121-AD0025D891C9}"/>
    <cellStyle name="40% - Accent4 2 2 3 4 2" xfId="18644" xr:uid="{7D213E31-5B6B-4568-B8F1-89ABEB91A059}"/>
    <cellStyle name="40% - Accent4 2 2 3 5" xfId="10101" xr:uid="{9D5B2B77-0E6F-492F-8D42-059263A779BA}"/>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FFDA511F-D251-4E4B-B404-89534569D8F4}"/>
    <cellStyle name="40% - Accent4 2 2 4 2 3" xfId="12659" xr:uid="{A1A08E81-43DC-4CD2-990F-5E67DD4BC637}"/>
    <cellStyle name="40% - Accent4 2 2 4 3" xfId="5405" xr:uid="{00000000-0005-0000-0000-0000BF050000}"/>
    <cellStyle name="40% - Accent4 2 2 4 3 2" xfId="14731" xr:uid="{01FB4B49-60AD-4D07-8C44-868C89B6DDD9}"/>
    <cellStyle name="40% - Accent4 2 2 4 4" xfId="10514" xr:uid="{FE568C9D-8872-47BB-BF3F-868A4E5F6309}"/>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F1CAA1FF-18FE-45CA-8293-E2FA2E28020C}"/>
    <cellStyle name="40% - Accent4 2 2 5 2 3" xfId="13072" xr:uid="{389DD90C-1D6F-471E-B7AA-70D349A15C5B}"/>
    <cellStyle name="40% - Accent4 2 2 5 3" xfId="5818" xr:uid="{00000000-0005-0000-0000-0000C3050000}"/>
    <cellStyle name="40% - Accent4 2 2 5 3 2" xfId="15144" xr:uid="{26402D2F-A7A5-489F-9120-B1CD1FE68458}"/>
    <cellStyle name="40% - Accent4 2 2 5 4" xfId="10927" xr:uid="{A1735633-63EA-4D7C-B44F-126FD2C7DE85}"/>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69318E7E-CBFB-4D36-87A4-4DBAE7D2303D}"/>
    <cellStyle name="40% - Accent4 2 2 6 2 3" xfId="13485" xr:uid="{3C750B0E-619C-4335-B473-92E0894E9AC7}"/>
    <cellStyle name="40% - Accent4 2 2 6 3" xfId="6231" xr:uid="{00000000-0005-0000-0000-0000C7050000}"/>
    <cellStyle name="40% - Accent4 2 2 6 3 2" xfId="15557" xr:uid="{DEFF0202-9281-4C67-8680-84CE9D6C76D8}"/>
    <cellStyle name="40% - Accent4 2 2 6 4" xfId="11340" xr:uid="{DB4962AD-C4C3-4085-A909-F6DDEF9CF13B}"/>
    <cellStyle name="40% - Accent4 2 2 7" xfId="2338" xr:uid="{00000000-0005-0000-0000-0000C8050000}"/>
    <cellStyle name="40% - Accent4 2 2 7 2" xfId="6644" xr:uid="{00000000-0005-0000-0000-0000C9050000}"/>
    <cellStyle name="40% - Accent4 2 2 7 2 2" xfId="15970" xr:uid="{63A0D2EE-CACD-44F3-A580-374AE310C9C5}"/>
    <cellStyle name="40% - Accent4 2 2 7 3" xfId="11753" xr:uid="{206C9F24-4A47-4FE3-836F-E745C3F5D51B}"/>
    <cellStyle name="40% - Accent4 2 2 8" xfId="4578" xr:uid="{00000000-0005-0000-0000-0000CA050000}"/>
    <cellStyle name="40% - Accent4 2 2 8 2" xfId="13904" xr:uid="{42502211-97AB-4524-BEE1-37CB176CAB5F}"/>
    <cellStyle name="40% - Accent4 2 2 9" xfId="8904" xr:uid="{64C959C5-2FAF-462D-88B6-14B59CDC763B}"/>
    <cellStyle name="40% - Accent4 2 2 9 2" xfId="18228" xr:uid="{DFBC007E-35D0-4F87-A24F-66CB55D411D5}"/>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39392E13-4C0B-4CFA-9D92-465828F5ECAD}"/>
    <cellStyle name="40% - Accent4 2 3 2 2 3" xfId="12248" xr:uid="{A52B238D-2EC3-4C76-9F63-4F0B482089CF}"/>
    <cellStyle name="40% - Accent4 2 3 2 3" xfId="4994" xr:uid="{00000000-0005-0000-0000-0000CF050000}"/>
    <cellStyle name="40% - Accent4 2 3 2 3 2" xfId="14320" xr:uid="{B200FB87-00D7-4A12-A2D8-88BDD7479EC0}"/>
    <cellStyle name="40% - Accent4 2 3 2 4" xfId="9433" xr:uid="{058786D1-7E7D-40D9-9218-B4C7219F4E53}"/>
    <cellStyle name="40% - Accent4 2 3 2 4 2" xfId="18748" xr:uid="{1417F575-6591-4BA2-A0A8-1565B3344569}"/>
    <cellStyle name="40% - Accent4 2 3 2 5" xfId="10103" xr:uid="{75F95501-8E95-4A16-8307-39AEF1228028}"/>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3092A6EB-D01F-43FC-BD90-A23477636057}"/>
    <cellStyle name="40% - Accent4 2 3 3 2 3" xfId="12661" xr:uid="{E3A9670F-1CAB-4BEF-918A-B6476C8FEF02}"/>
    <cellStyle name="40% - Accent4 2 3 3 3" xfId="5407" xr:uid="{00000000-0005-0000-0000-0000D3050000}"/>
    <cellStyle name="40% - Accent4 2 3 3 3 2" xfId="14733" xr:uid="{E2D02054-D488-420A-AD8B-EC20D148853E}"/>
    <cellStyle name="40% - Accent4 2 3 3 4" xfId="10516" xr:uid="{3974DD1D-7ED6-4D2B-964A-BD048800C930}"/>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F8B8906E-5C34-40DC-A35B-C17C16501E84}"/>
    <cellStyle name="40% - Accent4 2 3 4 2 3" xfId="13074" xr:uid="{B19D2CE1-7E61-4B3A-8F26-5FE08EC5C7F4}"/>
    <cellStyle name="40% - Accent4 2 3 4 3" xfId="5820" xr:uid="{00000000-0005-0000-0000-0000D7050000}"/>
    <cellStyle name="40% - Accent4 2 3 4 3 2" xfId="15146" xr:uid="{2765A846-F00B-4303-8C61-B80014FED72C}"/>
    <cellStyle name="40% - Accent4 2 3 4 4" xfId="10929" xr:uid="{5CA0068F-3503-4201-A476-98B11540C5ED}"/>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06489DCA-8ED8-4A4D-95B4-76581300221E}"/>
    <cellStyle name="40% - Accent4 2 3 5 2 3" xfId="13487" xr:uid="{FA97266A-4CB3-4A99-A830-5E460CA4FC06}"/>
    <cellStyle name="40% - Accent4 2 3 5 3" xfId="6233" xr:uid="{00000000-0005-0000-0000-0000DB050000}"/>
    <cellStyle name="40% - Accent4 2 3 5 3 2" xfId="15559" xr:uid="{8F560BB3-C6DB-4782-94A8-9681F1743C7C}"/>
    <cellStyle name="40% - Accent4 2 3 5 4" xfId="11342" xr:uid="{EA15E770-37AC-4B8A-89C1-4CCCA6BDAD53}"/>
    <cellStyle name="40% - Accent4 2 3 6" xfId="2340" xr:uid="{00000000-0005-0000-0000-0000DC050000}"/>
    <cellStyle name="40% - Accent4 2 3 6 2" xfId="6646" xr:uid="{00000000-0005-0000-0000-0000DD050000}"/>
    <cellStyle name="40% - Accent4 2 3 6 2 2" xfId="15972" xr:uid="{64D8DF40-ABB9-4C40-9002-3C3A018CEF2C}"/>
    <cellStyle name="40% - Accent4 2 3 6 3" xfId="11755" xr:uid="{9AC10A7A-2E87-49ED-A6E6-EED876C2E8D4}"/>
    <cellStyle name="40% - Accent4 2 3 7" xfId="4580" xr:uid="{00000000-0005-0000-0000-0000DE050000}"/>
    <cellStyle name="40% - Accent4 2 3 7 2" xfId="13906" xr:uid="{7FF88ABE-E001-4B51-AD83-7E4C6FF8C92D}"/>
    <cellStyle name="40% - Accent4 2 3 8" xfId="9008" xr:uid="{270F4CAB-C86F-4D9D-804F-69497913908B}"/>
    <cellStyle name="40% - Accent4 2 3 8 2" xfId="18332" xr:uid="{C4A6F133-436F-494D-83F1-EB3BCA40B495}"/>
    <cellStyle name="40% - Accent4 2 3 9" xfId="9689" xr:uid="{121183FC-6DE5-4ABE-A2F5-099DE3B80144}"/>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D1904215-83EF-4420-9C68-6F49188E0A41}"/>
    <cellStyle name="40% - Accent4 2 4 2 3" xfId="12245" xr:uid="{168C48E3-78AF-4FD9-BD0B-324DB4B93E75}"/>
    <cellStyle name="40% - Accent4 2 4 3" xfId="4991" xr:uid="{00000000-0005-0000-0000-0000E2050000}"/>
    <cellStyle name="40% - Accent4 2 4 3 2" xfId="14317" xr:uid="{37C36D85-622E-44E4-B564-44649E31FAD8}"/>
    <cellStyle name="40% - Accent4 2 4 4" xfId="9225" xr:uid="{40EEB981-54C4-40E4-A2F9-BCD479248D23}"/>
    <cellStyle name="40% - Accent4 2 4 4 2" xfId="18541" xr:uid="{A6B7C376-8C7F-4A5F-8877-7899D79E23E6}"/>
    <cellStyle name="40% - Accent4 2 4 5" xfId="10100" xr:uid="{E66F20A1-43AF-4D69-84CA-2C38A6DBD863}"/>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0B4A84A7-C223-48C6-B0E1-6965E933659D}"/>
    <cellStyle name="40% - Accent4 2 5 2 3" xfId="12658" xr:uid="{A34CB07D-7B80-475F-9542-F75CADCA55D8}"/>
    <cellStyle name="40% - Accent4 2 5 3" xfId="5404" xr:uid="{00000000-0005-0000-0000-0000E6050000}"/>
    <cellStyle name="40% - Accent4 2 5 3 2" xfId="14730" xr:uid="{F7E5E08A-C37E-4DEB-888B-E06804838848}"/>
    <cellStyle name="40% - Accent4 2 5 4" xfId="10513" xr:uid="{E072A1F2-F812-4D03-B1C9-496583F175FE}"/>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E97C33BB-D5EC-49C5-A57F-8C5B4CEC9321}"/>
    <cellStyle name="40% - Accent4 2 6 2 3" xfId="13071" xr:uid="{576091D6-7319-4518-9FAA-78840BC5EF85}"/>
    <cellStyle name="40% - Accent4 2 6 3" xfId="5817" xr:uid="{00000000-0005-0000-0000-0000EA050000}"/>
    <cellStyle name="40% - Accent4 2 6 3 2" xfId="15143" xr:uid="{0CB5F65A-C6A4-4009-94D4-4E9650575FD6}"/>
    <cellStyle name="40% - Accent4 2 6 4" xfId="10926" xr:uid="{7D03DCD0-934C-4772-A43E-24CD11F4AF7C}"/>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6832BD48-A737-4791-8403-07E5CF409C60}"/>
    <cellStyle name="40% - Accent4 2 7 2 3" xfId="13484" xr:uid="{C6C83E53-8FEA-4A2E-A1B1-EAACEDC17F01}"/>
    <cellStyle name="40% - Accent4 2 7 3" xfId="6230" xr:uid="{00000000-0005-0000-0000-0000EE050000}"/>
    <cellStyle name="40% - Accent4 2 7 3 2" xfId="15556" xr:uid="{8CDF81E2-49F0-4DBD-A67C-0B97E7787D02}"/>
    <cellStyle name="40% - Accent4 2 7 4" xfId="11339" xr:uid="{84597B14-88DD-461D-A944-5A1855738AEE}"/>
    <cellStyle name="40% - Accent4 2 8" xfId="2337" xr:uid="{00000000-0005-0000-0000-0000EF050000}"/>
    <cellStyle name="40% - Accent4 2 8 2" xfId="6643" xr:uid="{00000000-0005-0000-0000-0000F0050000}"/>
    <cellStyle name="40% - Accent4 2 8 2 2" xfId="15969" xr:uid="{4BEC6F0E-D587-4281-A977-003BE9A81F9D}"/>
    <cellStyle name="40% - Accent4 2 8 3" xfId="11752" xr:uid="{2B2DF839-AB83-4A65-ACA2-15455055FF35}"/>
    <cellStyle name="40% - Accent4 2 9" xfId="4577" xr:uid="{00000000-0005-0000-0000-0000F1050000}"/>
    <cellStyle name="40% - Accent4 2 9 2" xfId="13903" xr:uid="{E4AB7BAC-F9BB-4274-8578-02674647C848}"/>
    <cellStyle name="40% - Accent4 3" xfId="78" xr:uid="{00000000-0005-0000-0000-0000F2050000}"/>
    <cellStyle name="40% - Accent4 3 10" xfId="9690" xr:uid="{6B727A79-D0FC-4AE6-8A1B-1B2E251A4AEE}"/>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6E2BE32F-7803-4250-A77F-2D7E73865861}"/>
    <cellStyle name="40% - Accent4 3 2 2 2 3" xfId="12250" xr:uid="{75C94C2A-130C-4ED7-840D-313E2C029DC2}"/>
    <cellStyle name="40% - Accent4 3 2 2 3" xfId="4996" xr:uid="{00000000-0005-0000-0000-0000F7050000}"/>
    <cellStyle name="40% - Accent4 3 2 2 3 2" xfId="14322" xr:uid="{E200B141-8B8B-4FB3-BEC9-FC453AD0569F}"/>
    <cellStyle name="40% - Accent4 3 2 2 4" xfId="9500" xr:uid="{EAAAC99F-A3A1-40FB-B78D-6862EF121B7A}"/>
    <cellStyle name="40% - Accent4 3 2 2 4 2" xfId="18815" xr:uid="{3FE5DD33-45EF-4136-99B4-04B5F86212B1}"/>
    <cellStyle name="40% - Accent4 3 2 2 5" xfId="10105" xr:uid="{6092EA89-56D3-43E5-AF9D-1E12B606783D}"/>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D499C9E1-C651-41EC-8460-CE3DFFCCAE3A}"/>
    <cellStyle name="40% - Accent4 3 2 3 2 3" xfId="12663" xr:uid="{8DCBFDB1-A04F-47A3-8CE9-BDF84ABDF2FC}"/>
    <cellStyle name="40% - Accent4 3 2 3 3" xfId="5409" xr:uid="{00000000-0005-0000-0000-0000FB050000}"/>
    <cellStyle name="40% - Accent4 3 2 3 3 2" xfId="14735" xr:uid="{5D7FEE22-DA73-4B75-8E37-E562BFA99DE1}"/>
    <cellStyle name="40% - Accent4 3 2 3 4" xfId="10518" xr:uid="{7146FA6D-70C2-4654-82CC-368B90459157}"/>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F0015CB0-93C3-483A-ADFC-F27755FF188A}"/>
    <cellStyle name="40% - Accent4 3 2 4 2 3" xfId="13076" xr:uid="{E7375DD5-96D8-4BC8-8E96-EF67A76D92EA}"/>
    <cellStyle name="40% - Accent4 3 2 4 3" xfId="5822" xr:uid="{00000000-0005-0000-0000-0000FF050000}"/>
    <cellStyle name="40% - Accent4 3 2 4 3 2" xfId="15148" xr:uid="{C6BD6457-1EC7-4836-B1E9-A35ABE833D4E}"/>
    <cellStyle name="40% - Accent4 3 2 4 4" xfId="10931" xr:uid="{5E852B5D-14DC-4E37-850A-18010478A777}"/>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593170DB-6CFC-4122-BE5B-6A1E0D12890E}"/>
    <cellStyle name="40% - Accent4 3 2 5 2 3" xfId="13489" xr:uid="{0E264E87-647B-4EAC-950B-2CE3C97A477E}"/>
    <cellStyle name="40% - Accent4 3 2 5 3" xfId="6235" xr:uid="{00000000-0005-0000-0000-000003060000}"/>
    <cellStyle name="40% - Accent4 3 2 5 3 2" xfId="15561" xr:uid="{84C1E5F7-E4C4-4D4F-830B-FF51C962099C}"/>
    <cellStyle name="40% - Accent4 3 2 5 4" xfId="11344" xr:uid="{64311352-3328-40E0-84ED-D635EDBAD384}"/>
    <cellStyle name="40% - Accent4 3 2 6" xfId="2342" xr:uid="{00000000-0005-0000-0000-000004060000}"/>
    <cellStyle name="40% - Accent4 3 2 6 2" xfId="6648" xr:uid="{00000000-0005-0000-0000-000005060000}"/>
    <cellStyle name="40% - Accent4 3 2 6 2 2" xfId="15974" xr:uid="{C0FE1974-08DE-480D-BC36-831CE030B6CF}"/>
    <cellStyle name="40% - Accent4 3 2 6 3" xfId="11757" xr:uid="{CC0851F1-37A2-488E-919F-4F8166430FB7}"/>
    <cellStyle name="40% - Accent4 3 2 7" xfId="4582" xr:uid="{00000000-0005-0000-0000-000006060000}"/>
    <cellStyle name="40% - Accent4 3 2 7 2" xfId="13908" xr:uid="{9142A83D-AEEC-41C3-BA2A-4B6889B6D60D}"/>
    <cellStyle name="40% - Accent4 3 2 8" xfId="9075" xr:uid="{6C51FF47-5618-4E1E-BC97-01FFF287A6C3}"/>
    <cellStyle name="40% - Accent4 3 2 8 2" xfId="18399" xr:uid="{1136A3E8-C35E-4B09-8690-804CC16B62EB}"/>
    <cellStyle name="40% - Accent4 3 2 9" xfId="9691" xr:uid="{36F7AA8C-A2E6-4C28-A467-C3EFE8CB7712}"/>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E7928158-87E1-408A-992E-56D19EDFCA3F}"/>
    <cellStyle name="40% - Accent4 3 3 2 3" xfId="12249" xr:uid="{2D25BAD6-25F7-4E7F-B612-3730A740EB15}"/>
    <cellStyle name="40% - Accent4 3 3 3" xfId="4995" xr:uid="{00000000-0005-0000-0000-00000A060000}"/>
    <cellStyle name="40% - Accent4 3 3 3 2" xfId="14321" xr:uid="{ACCB748F-9B79-4A66-B094-39DD32F88061}"/>
    <cellStyle name="40% - Accent4 3 3 4" xfId="9293" xr:uid="{4A28D7F5-3617-45DC-A350-6C6596CDA765}"/>
    <cellStyle name="40% - Accent4 3 3 4 2" xfId="18608" xr:uid="{80A3421C-3AFD-4566-B397-444C165B826C}"/>
    <cellStyle name="40% - Accent4 3 3 5" xfId="10104" xr:uid="{4799274E-D318-4301-8C67-68D578B0DC60}"/>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67AD889E-4F79-4512-A15B-09488A31EF65}"/>
    <cellStyle name="40% - Accent4 3 4 2 3" xfId="12662" xr:uid="{B1B0FCF0-1147-4CC5-93C6-68D60B6A15E5}"/>
    <cellStyle name="40% - Accent4 3 4 3" xfId="5408" xr:uid="{00000000-0005-0000-0000-00000E060000}"/>
    <cellStyle name="40% - Accent4 3 4 3 2" xfId="14734" xr:uid="{90F68FE4-F759-49E5-8F85-1DA9B458DB5D}"/>
    <cellStyle name="40% - Accent4 3 4 4" xfId="10517" xr:uid="{8738F712-651B-4FBB-86DD-6DE68BCC1C3F}"/>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1668B8C3-75B4-4AA2-8414-32DA755EF5D7}"/>
    <cellStyle name="40% - Accent4 3 5 2 3" xfId="13075" xr:uid="{257C4EFC-EABA-4F59-865D-71AF9FCF2106}"/>
    <cellStyle name="40% - Accent4 3 5 3" xfId="5821" xr:uid="{00000000-0005-0000-0000-000012060000}"/>
    <cellStyle name="40% - Accent4 3 5 3 2" xfId="15147" xr:uid="{90434F39-FC8E-4629-9142-79D6BAF2202F}"/>
    <cellStyle name="40% - Accent4 3 5 4" xfId="10930" xr:uid="{CBABFC47-9F0B-44AB-9723-EC440CB11491}"/>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7F606509-B20E-428B-949F-39A04AD4DF22}"/>
    <cellStyle name="40% - Accent4 3 6 2 3" xfId="13488" xr:uid="{6DA3530A-2A2D-465C-82F2-EE003320739A}"/>
    <cellStyle name="40% - Accent4 3 6 3" xfId="6234" xr:uid="{00000000-0005-0000-0000-000016060000}"/>
    <cellStyle name="40% - Accent4 3 6 3 2" xfId="15560" xr:uid="{70B61979-A7A6-4A0B-A843-15F9CA5BBECE}"/>
    <cellStyle name="40% - Accent4 3 6 4" xfId="11343" xr:uid="{8104B178-6E2B-42D8-96F7-5C01452C9444}"/>
    <cellStyle name="40% - Accent4 3 7" xfId="2341" xr:uid="{00000000-0005-0000-0000-000017060000}"/>
    <cellStyle name="40% - Accent4 3 7 2" xfId="6647" xr:uid="{00000000-0005-0000-0000-000018060000}"/>
    <cellStyle name="40% - Accent4 3 7 2 2" xfId="15973" xr:uid="{371EC0B1-77B1-4E13-8C51-66B931164E7E}"/>
    <cellStyle name="40% - Accent4 3 7 3" xfId="11756" xr:uid="{8808B269-61A4-42EE-9A6C-9CBA9DF712D8}"/>
    <cellStyle name="40% - Accent4 3 8" xfId="4581" xr:uid="{00000000-0005-0000-0000-000019060000}"/>
    <cellStyle name="40% - Accent4 3 8 2" xfId="13907" xr:uid="{5A65762A-807B-4198-8753-BB6CBBDC0CE6}"/>
    <cellStyle name="40% - Accent4 3 9" xfId="8868" xr:uid="{538D9F50-ACCA-4DB0-A3F1-A129ACFFA0BF}"/>
    <cellStyle name="40% - Accent4 3 9 2" xfId="18192" xr:uid="{B51E6E22-C78A-4589-B1A1-4D3E689031FA}"/>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17F67BC9-29E1-493F-893F-F8AF25362D9E}"/>
    <cellStyle name="40% - Accent4 4 2 2 3" xfId="12251" xr:uid="{D8C4D6F5-5EC6-4331-BA6F-0A4D1AAF5077}"/>
    <cellStyle name="40% - Accent4 4 2 3" xfId="4997" xr:uid="{00000000-0005-0000-0000-00001E060000}"/>
    <cellStyle name="40% - Accent4 4 2 3 2" xfId="14323" xr:uid="{9AB32D79-9C98-4186-9546-DDFABC63BA6C}"/>
    <cellStyle name="40% - Accent4 4 2 4" xfId="9379" xr:uid="{EE31EAE0-1741-4D6E-B7B4-C5DB59044F55}"/>
    <cellStyle name="40% - Accent4 4 2 4 2" xfId="18694" xr:uid="{4AAD01D3-AEFA-456D-A162-261B26842E1C}"/>
    <cellStyle name="40% - Accent4 4 2 5" xfId="10106" xr:uid="{DDD45A49-374F-4C18-AF95-BAB67EF27586}"/>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6222E565-325E-495A-B7FA-859726F7F72B}"/>
    <cellStyle name="40% - Accent4 4 3 2 3" xfId="12664" xr:uid="{827FA78B-0D41-4B30-812C-D262F4B4454D}"/>
    <cellStyle name="40% - Accent4 4 3 3" xfId="5410" xr:uid="{00000000-0005-0000-0000-000022060000}"/>
    <cellStyle name="40% - Accent4 4 3 3 2" xfId="14736" xr:uid="{D03545B6-929E-4AEF-B7B7-1ACEC704C855}"/>
    <cellStyle name="40% - Accent4 4 3 4" xfId="10519" xr:uid="{E77E26B0-7F81-4C46-B335-AB062B29DA17}"/>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3599277C-927F-4BAF-801C-CC8C62F54D7A}"/>
    <cellStyle name="40% - Accent4 4 4 2 3" xfId="13077" xr:uid="{03C35045-29CA-49DA-93F1-621CDE29EBCC}"/>
    <cellStyle name="40% - Accent4 4 4 3" xfId="5823" xr:uid="{00000000-0005-0000-0000-000026060000}"/>
    <cellStyle name="40% - Accent4 4 4 3 2" xfId="15149" xr:uid="{A78CA7F2-35FD-40B6-B9CC-907738768E02}"/>
    <cellStyle name="40% - Accent4 4 4 4" xfId="10932" xr:uid="{CFBE34A3-0D3B-4A7E-ADDA-9BC91C39D156}"/>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B179404C-88A8-4BC2-80FE-106015D40225}"/>
    <cellStyle name="40% - Accent4 4 5 2 3" xfId="13490" xr:uid="{AE52CE5A-ABF1-4D96-BAA3-9766B03560B3}"/>
    <cellStyle name="40% - Accent4 4 5 3" xfId="6236" xr:uid="{00000000-0005-0000-0000-00002A060000}"/>
    <cellStyle name="40% - Accent4 4 5 3 2" xfId="15562" xr:uid="{FE576C80-52AF-4305-8053-6015CC6E81F0}"/>
    <cellStyle name="40% - Accent4 4 5 4" xfId="11345" xr:uid="{D959AA93-8D28-41C6-856A-159CBCD5B733}"/>
    <cellStyle name="40% - Accent4 4 6" xfId="2343" xr:uid="{00000000-0005-0000-0000-00002B060000}"/>
    <cellStyle name="40% - Accent4 4 6 2" xfId="6649" xr:uid="{00000000-0005-0000-0000-00002C060000}"/>
    <cellStyle name="40% - Accent4 4 6 2 2" xfId="15975" xr:uid="{3F951021-985E-4C36-A9BA-24FF756E9CC5}"/>
    <cellStyle name="40% - Accent4 4 6 3" xfId="11758" xr:uid="{908A9A9F-4C1D-4836-A35A-9542B592C20D}"/>
    <cellStyle name="40% - Accent4 4 7" xfId="4583" xr:uid="{00000000-0005-0000-0000-00002D060000}"/>
    <cellStyle name="40% - Accent4 4 7 2" xfId="13909" xr:uid="{C3B0F300-5E7A-4F4E-89BE-11750989C790}"/>
    <cellStyle name="40% - Accent4 4 8" xfId="8954" xr:uid="{2C178683-58B3-4513-85E7-15FAC3AC035D}"/>
    <cellStyle name="40% - Accent4 4 8 2" xfId="18278" xr:uid="{7108248E-1E17-4308-AC5E-3EFA472F5BFA}"/>
    <cellStyle name="40% - Accent4 4 9" xfId="9692" xr:uid="{DCE18378-23D2-4132-A593-53779C793689}"/>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45083EAC-4273-443D-B686-ECEC932E3AD5}"/>
    <cellStyle name="40% - Accent4 5 2 3" xfId="12244" xr:uid="{FCD69C16-87C3-4841-8563-A83F76B7654B}"/>
    <cellStyle name="40% - Accent4 5 3" xfId="4990" xr:uid="{00000000-0005-0000-0000-000031060000}"/>
    <cellStyle name="40% - Accent4 5 3 2" xfId="14316" xr:uid="{418EA9A1-720A-48C7-872B-A6318B27F041}"/>
    <cellStyle name="40% - Accent4 5 4" xfId="9187" xr:uid="{33022C89-0CDD-4091-8005-358F63FF8F46}"/>
    <cellStyle name="40% - Accent4 5 4 2" xfId="18505" xr:uid="{729FCC89-8D6A-4277-A7A9-6A47AC0519EA}"/>
    <cellStyle name="40% - Accent4 5 5" xfId="10099" xr:uid="{B391F193-8308-4648-A99E-45A6BDD4B603}"/>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8F60B2E9-9DA5-4629-B619-1318AD312BBF}"/>
    <cellStyle name="40% - Accent4 6 2 3" xfId="12657" xr:uid="{83282E88-158B-43BC-8FC5-75EEF0DE77CB}"/>
    <cellStyle name="40% - Accent4 6 3" xfId="5403" xr:uid="{00000000-0005-0000-0000-000035060000}"/>
    <cellStyle name="40% - Accent4 6 3 2" xfId="14729" xr:uid="{7D6ACC3D-FBB4-4978-AEEF-C8944C29DECC}"/>
    <cellStyle name="40% - Accent4 6 4" xfId="10512" xr:uid="{D5E6C4C4-A6DC-46FD-B4F3-74B07AC58082}"/>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5191D8C5-1E15-4832-BE52-110BE3CBF041}"/>
    <cellStyle name="40% - Accent4 7 2 3" xfId="13070" xr:uid="{9AD55EF9-D3D5-461C-8BA6-25AB140F83C5}"/>
    <cellStyle name="40% - Accent4 7 3" xfId="5816" xr:uid="{00000000-0005-0000-0000-000039060000}"/>
    <cellStyle name="40% - Accent4 7 3 2" xfId="15142" xr:uid="{68E64063-01BC-4BF9-B05B-86A519006FFB}"/>
    <cellStyle name="40% - Accent4 7 4" xfId="10925" xr:uid="{D209D75E-DC4A-4B46-BBA1-1444F2A2315C}"/>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5164B4C5-7DA9-4C4C-B88F-BA604BC8B990}"/>
    <cellStyle name="40% - Accent4 8 2 3" xfId="13483" xr:uid="{39D7FCC2-93C5-4827-8BEC-C0C810E09CEF}"/>
    <cellStyle name="40% - Accent4 8 3" xfId="6229" xr:uid="{00000000-0005-0000-0000-00003D060000}"/>
    <cellStyle name="40% - Accent4 8 3 2" xfId="15555" xr:uid="{4F0ADF1D-CD0E-4205-8959-43440A24EAE9}"/>
    <cellStyle name="40% - Accent4 8 4" xfId="11338" xr:uid="{5ABF7F9F-3CC0-4498-BB5F-FE0EBAB53D5D}"/>
    <cellStyle name="40% - Accent4 9" xfId="2336" xr:uid="{00000000-0005-0000-0000-00003E060000}"/>
    <cellStyle name="40% - Accent4 9 2" xfId="6642" xr:uid="{00000000-0005-0000-0000-00003F060000}"/>
    <cellStyle name="40% - Accent4 9 2 2" xfId="15968" xr:uid="{970994B7-81E7-40F5-ACE8-C464467A1C95}"/>
    <cellStyle name="40% - Accent4 9 3" xfId="11751" xr:uid="{3F292507-57F3-43FA-AD80-E4DA339848FE}"/>
    <cellStyle name="40% - Accent5" xfId="81" builtinId="47" customBuiltin="1"/>
    <cellStyle name="40% - Accent5 10" xfId="4584" xr:uid="{00000000-0005-0000-0000-000041060000}"/>
    <cellStyle name="40% - Accent5 10 2" xfId="13910" xr:uid="{42AE7B1C-8779-40B6-84C7-88BFA7B80B18}"/>
    <cellStyle name="40% - Accent5 11" xfId="8767" xr:uid="{7A46ADF8-3420-4D4A-A3FE-8E96F0FA38E7}"/>
    <cellStyle name="40% - Accent5 11 2" xfId="18091" xr:uid="{8B82A889-8E32-4D25-BE4F-A86FF33B4610}"/>
    <cellStyle name="40% - Accent5 12" xfId="9693" xr:uid="{82F52613-0A40-4D16-A82F-48552F5C9797}"/>
    <cellStyle name="40% - Accent5 2" xfId="82" xr:uid="{00000000-0005-0000-0000-000042060000}"/>
    <cellStyle name="40% - Accent5 2 10" xfId="8802" xr:uid="{CF9BFF45-99AC-47A3-8B01-051C55FBB24D}"/>
    <cellStyle name="40% - Accent5 2 10 2" xfId="18126" xr:uid="{565B6527-2116-414D-BA49-7CCAB85ED792}"/>
    <cellStyle name="40% - Accent5 2 11" xfId="9694" xr:uid="{B2EA8686-9721-42AC-893F-633BF553B572}"/>
    <cellStyle name="40% - Accent5 2 2" xfId="83" xr:uid="{00000000-0005-0000-0000-000043060000}"/>
    <cellStyle name="40% - Accent5 2 2 10" xfId="9695" xr:uid="{1E8E06A7-1D21-49CA-9A81-847546E8C402}"/>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FA2AD97D-9343-4DEC-86AA-A6AB4BBE594E}"/>
    <cellStyle name="40% - Accent5 2 2 2 2 2 3" xfId="12255" xr:uid="{F57A1F30-8A30-4719-9528-9FF44A052EEB}"/>
    <cellStyle name="40% - Accent5 2 2 2 2 3" xfId="5001" xr:uid="{00000000-0005-0000-0000-000048060000}"/>
    <cellStyle name="40% - Accent5 2 2 2 2 3 2" xfId="14327" xr:uid="{6B41E218-950F-4922-B6D5-D03043F336B0}"/>
    <cellStyle name="40% - Accent5 2 2 2 2 4" xfId="9537" xr:uid="{83834145-5D3F-4083-A609-6DB90651C4CE}"/>
    <cellStyle name="40% - Accent5 2 2 2 2 4 2" xfId="18852" xr:uid="{58299131-66FD-442F-AE3B-973CEAA78CF4}"/>
    <cellStyle name="40% - Accent5 2 2 2 2 5" xfId="10110" xr:uid="{D4AB9C1A-E8C4-400C-9EEC-C3359B07BEB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C6EE5608-FEE5-4E57-9293-C4E4455184E6}"/>
    <cellStyle name="40% - Accent5 2 2 2 3 2 3" xfId="12668" xr:uid="{143F174B-4870-4520-929A-85D30F67100E}"/>
    <cellStyle name="40% - Accent5 2 2 2 3 3" xfId="5414" xr:uid="{00000000-0005-0000-0000-00004C060000}"/>
    <cellStyle name="40% - Accent5 2 2 2 3 3 2" xfId="14740" xr:uid="{C4261919-1A6E-4C0A-8878-DD768BE8332B}"/>
    <cellStyle name="40% - Accent5 2 2 2 3 4" xfId="10523" xr:uid="{D90846A8-2F22-430F-917D-D7272F047488}"/>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DB51E5FA-145B-42E6-8681-7927017FE5FE}"/>
    <cellStyle name="40% - Accent5 2 2 2 4 2 3" xfId="13081" xr:uid="{46EB10FF-0B2E-489A-9C28-C0FF266A85E7}"/>
    <cellStyle name="40% - Accent5 2 2 2 4 3" xfId="5827" xr:uid="{00000000-0005-0000-0000-000050060000}"/>
    <cellStyle name="40% - Accent5 2 2 2 4 3 2" xfId="15153" xr:uid="{14998C41-2C13-4728-9AE4-A5EB25E041CA}"/>
    <cellStyle name="40% - Accent5 2 2 2 4 4" xfId="10936" xr:uid="{8CD64EB1-4EC1-4921-AE6D-81B3E63E144A}"/>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4E831C70-7E80-442E-A37B-6903367C95D0}"/>
    <cellStyle name="40% - Accent5 2 2 2 5 2 3" xfId="13494" xr:uid="{EDB2F0A2-D6CA-48C3-9B4A-FEF5C344087B}"/>
    <cellStyle name="40% - Accent5 2 2 2 5 3" xfId="6240" xr:uid="{00000000-0005-0000-0000-000054060000}"/>
    <cellStyle name="40% - Accent5 2 2 2 5 3 2" xfId="15566" xr:uid="{9F17E3E7-9236-4804-AAD1-8BBE21F74C9F}"/>
    <cellStyle name="40% - Accent5 2 2 2 5 4" xfId="11349" xr:uid="{FB2C7632-4B2C-404B-AE81-3DA492646BF3}"/>
    <cellStyle name="40% - Accent5 2 2 2 6" xfId="2347" xr:uid="{00000000-0005-0000-0000-000055060000}"/>
    <cellStyle name="40% - Accent5 2 2 2 6 2" xfId="6653" xr:uid="{00000000-0005-0000-0000-000056060000}"/>
    <cellStyle name="40% - Accent5 2 2 2 6 2 2" xfId="15979" xr:uid="{F23F2CE4-A6BC-4C44-BFED-34B208E26187}"/>
    <cellStyle name="40% - Accent5 2 2 2 6 3" xfId="11762" xr:uid="{406253EE-48BC-4E09-9ABF-E675B9FB90DA}"/>
    <cellStyle name="40% - Accent5 2 2 2 7" xfId="4587" xr:uid="{00000000-0005-0000-0000-000057060000}"/>
    <cellStyle name="40% - Accent5 2 2 2 7 2" xfId="13913" xr:uid="{D67F6291-84AD-4BE7-BFCD-49B46C9F30D9}"/>
    <cellStyle name="40% - Accent5 2 2 2 8" xfId="9112" xr:uid="{65D0CC40-E9D0-4CE3-B684-8DE4A2C7BCD7}"/>
    <cellStyle name="40% - Accent5 2 2 2 8 2" xfId="18436" xr:uid="{311187E6-7BF2-45F9-85B6-3DA228C65484}"/>
    <cellStyle name="40% - Accent5 2 2 2 9" xfId="9696" xr:uid="{D212BE93-77FB-4DCC-B128-9A341889C2DA}"/>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3321B48D-9F20-4E8D-A994-0C1C192C8F4E}"/>
    <cellStyle name="40% - Accent5 2 2 3 2 3" xfId="12254" xr:uid="{EBFBCD7C-B541-4C3A-ADB2-06288AC39AF8}"/>
    <cellStyle name="40% - Accent5 2 2 3 3" xfId="5000" xr:uid="{00000000-0005-0000-0000-00005B060000}"/>
    <cellStyle name="40% - Accent5 2 2 3 3 2" xfId="14326" xr:uid="{B7BCEB91-D0B0-4D57-BB33-DD6170B0BF15}"/>
    <cellStyle name="40% - Accent5 2 2 3 4" xfId="9330" xr:uid="{75959B30-FD84-42A5-95AE-69048CCC8361}"/>
    <cellStyle name="40% - Accent5 2 2 3 4 2" xfId="18645" xr:uid="{BD61C309-5246-4CBE-9B7B-62A2B744DE02}"/>
    <cellStyle name="40% - Accent5 2 2 3 5" xfId="10109" xr:uid="{48C5A2C1-311E-46C7-ACEE-20EDAA29B273}"/>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17E4F8F6-64F2-41A7-BDD1-2102D9D4430A}"/>
    <cellStyle name="40% - Accent5 2 2 4 2 3" xfId="12667" xr:uid="{5346BEE2-B479-4521-8DA9-E9947101F954}"/>
    <cellStyle name="40% - Accent5 2 2 4 3" xfId="5413" xr:uid="{00000000-0005-0000-0000-00005F060000}"/>
    <cellStyle name="40% - Accent5 2 2 4 3 2" xfId="14739" xr:uid="{4462C1B6-4EB8-4DBD-95D3-3FDE0877B9C3}"/>
    <cellStyle name="40% - Accent5 2 2 4 4" xfId="10522" xr:uid="{9BC1BE92-818A-4192-AE21-806C6C795DBA}"/>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9264838F-6BC3-45A2-A4DC-73B9A8CB0195}"/>
    <cellStyle name="40% - Accent5 2 2 5 2 3" xfId="13080" xr:uid="{4DBF8A78-BC83-44D5-8514-B36A96595719}"/>
    <cellStyle name="40% - Accent5 2 2 5 3" xfId="5826" xr:uid="{00000000-0005-0000-0000-000063060000}"/>
    <cellStyle name="40% - Accent5 2 2 5 3 2" xfId="15152" xr:uid="{07DD08D0-09CB-4234-8D00-45C4D1EE4533}"/>
    <cellStyle name="40% - Accent5 2 2 5 4" xfId="10935" xr:uid="{5402AF7D-D347-4878-A2D5-E0316A83795E}"/>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3103693E-5C17-44BF-A877-38FFB6F0FBD2}"/>
    <cellStyle name="40% - Accent5 2 2 6 2 3" xfId="13493" xr:uid="{613075E0-F93E-4ACD-8D60-658B5F7067D2}"/>
    <cellStyle name="40% - Accent5 2 2 6 3" xfId="6239" xr:uid="{00000000-0005-0000-0000-000067060000}"/>
    <cellStyle name="40% - Accent5 2 2 6 3 2" xfId="15565" xr:uid="{275869C6-E1D0-4041-A7A9-F6C62066D348}"/>
    <cellStyle name="40% - Accent5 2 2 6 4" xfId="11348" xr:uid="{00B0B627-1F7E-45DF-A7EC-44E6079F43C6}"/>
    <cellStyle name="40% - Accent5 2 2 7" xfId="2346" xr:uid="{00000000-0005-0000-0000-000068060000}"/>
    <cellStyle name="40% - Accent5 2 2 7 2" xfId="6652" xr:uid="{00000000-0005-0000-0000-000069060000}"/>
    <cellStyle name="40% - Accent5 2 2 7 2 2" xfId="15978" xr:uid="{07FFC458-DC27-4A80-92C1-51A919EA253A}"/>
    <cellStyle name="40% - Accent5 2 2 7 3" xfId="11761" xr:uid="{94D4FC8A-A136-4C14-AC93-B877BC4696FD}"/>
    <cellStyle name="40% - Accent5 2 2 8" xfId="4586" xr:uid="{00000000-0005-0000-0000-00006A060000}"/>
    <cellStyle name="40% - Accent5 2 2 8 2" xfId="13912" xr:uid="{06CB0F89-C4AC-4BFD-A7EB-B3C62631AD02}"/>
    <cellStyle name="40% - Accent5 2 2 9" xfId="8905" xr:uid="{3B48B2AE-2C2B-47FB-A8F4-43FECCDBCFEF}"/>
    <cellStyle name="40% - Accent5 2 2 9 2" xfId="18229" xr:uid="{E8137C79-F4CC-4F48-BD04-20174CD42A7E}"/>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D6E64317-9906-40BB-B8F7-4B3B59D9495C}"/>
    <cellStyle name="40% - Accent5 2 3 2 2 3" xfId="12256" xr:uid="{02A55BCE-28E9-4793-9ADD-5CE794DE961B}"/>
    <cellStyle name="40% - Accent5 2 3 2 3" xfId="5002" xr:uid="{00000000-0005-0000-0000-00006F060000}"/>
    <cellStyle name="40% - Accent5 2 3 2 3 2" xfId="14328" xr:uid="{6AE8ED7F-0929-4A15-9AEF-E274AB04E13A}"/>
    <cellStyle name="40% - Accent5 2 3 2 4" xfId="9434" xr:uid="{512EAA64-F150-4B15-8534-EB34D6D41408}"/>
    <cellStyle name="40% - Accent5 2 3 2 4 2" xfId="18749" xr:uid="{36CD7557-94A9-40C9-B22E-F120F41CD682}"/>
    <cellStyle name="40% - Accent5 2 3 2 5" xfId="10111" xr:uid="{5325D529-9CB4-4E5B-A95A-BD85CBB95A2C}"/>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950ABD52-ABCF-4341-ADC9-129A5B6A9405}"/>
    <cellStyle name="40% - Accent5 2 3 3 2 3" xfId="12669" xr:uid="{610D9022-0279-4639-8F2B-3DDDC033070B}"/>
    <cellStyle name="40% - Accent5 2 3 3 3" xfId="5415" xr:uid="{00000000-0005-0000-0000-000073060000}"/>
    <cellStyle name="40% - Accent5 2 3 3 3 2" xfId="14741" xr:uid="{5443FB3E-AE24-46DD-832B-1F666D5E82FE}"/>
    <cellStyle name="40% - Accent5 2 3 3 4" xfId="10524" xr:uid="{40B01AD9-665A-48B9-81F7-AB6B001E3700}"/>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32A0A29E-8608-407B-9021-3624D9449032}"/>
    <cellStyle name="40% - Accent5 2 3 4 2 3" xfId="13082" xr:uid="{330FB724-349A-4658-9A39-0E04C761D938}"/>
    <cellStyle name="40% - Accent5 2 3 4 3" xfId="5828" xr:uid="{00000000-0005-0000-0000-000077060000}"/>
    <cellStyle name="40% - Accent5 2 3 4 3 2" xfId="15154" xr:uid="{1F73F651-3BB2-4A77-B88A-F18CB4279151}"/>
    <cellStyle name="40% - Accent5 2 3 4 4" xfId="10937" xr:uid="{4ED92629-52F4-4F44-A5BF-1D5BDEF31FFD}"/>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D49EAFF9-8A5C-4A7B-8425-BC576EAA07C9}"/>
    <cellStyle name="40% - Accent5 2 3 5 2 3" xfId="13495" xr:uid="{31D9C646-58D7-4FA7-AC46-D2E27DC76271}"/>
    <cellStyle name="40% - Accent5 2 3 5 3" xfId="6241" xr:uid="{00000000-0005-0000-0000-00007B060000}"/>
    <cellStyle name="40% - Accent5 2 3 5 3 2" xfId="15567" xr:uid="{3B2E32FF-20C8-481A-B8B3-14754B954344}"/>
    <cellStyle name="40% - Accent5 2 3 5 4" xfId="11350" xr:uid="{CDED144F-4E5D-46A5-BDBE-E2E144A42DAA}"/>
    <cellStyle name="40% - Accent5 2 3 6" xfId="2348" xr:uid="{00000000-0005-0000-0000-00007C060000}"/>
    <cellStyle name="40% - Accent5 2 3 6 2" xfId="6654" xr:uid="{00000000-0005-0000-0000-00007D060000}"/>
    <cellStyle name="40% - Accent5 2 3 6 2 2" xfId="15980" xr:uid="{8E785B78-54E7-4C15-A7ED-92DF2AD046D0}"/>
    <cellStyle name="40% - Accent5 2 3 6 3" xfId="11763" xr:uid="{352AF5CF-D3F3-4FF1-9D3B-AF5E1FBD1BB1}"/>
    <cellStyle name="40% - Accent5 2 3 7" xfId="4588" xr:uid="{00000000-0005-0000-0000-00007E060000}"/>
    <cellStyle name="40% - Accent5 2 3 7 2" xfId="13914" xr:uid="{10906138-30F6-4024-8236-9199A70DE1EC}"/>
    <cellStyle name="40% - Accent5 2 3 8" xfId="9009" xr:uid="{DE8B6E41-761F-4ED0-BA8A-00A6A898A2FC}"/>
    <cellStyle name="40% - Accent5 2 3 8 2" xfId="18333" xr:uid="{7E0DAC44-5997-4151-B694-3AB6B5B5DB61}"/>
    <cellStyle name="40% - Accent5 2 3 9" xfId="9697" xr:uid="{FCB66056-E18E-40D6-8A79-0852C9814011}"/>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6537B0F3-F438-4C3E-AA95-BD3AF4DFA7DB}"/>
    <cellStyle name="40% - Accent5 2 4 2 3" xfId="12253" xr:uid="{9D213EDC-9E4F-471F-94DB-E44914514039}"/>
    <cellStyle name="40% - Accent5 2 4 3" xfId="4999" xr:uid="{00000000-0005-0000-0000-000082060000}"/>
    <cellStyle name="40% - Accent5 2 4 3 2" xfId="14325" xr:uid="{8976FCE6-1210-4592-BEE9-27913FA6A43D}"/>
    <cellStyle name="40% - Accent5 2 4 4" xfId="9226" xr:uid="{6A688709-D29B-458C-973B-231279FAFEF5}"/>
    <cellStyle name="40% - Accent5 2 4 4 2" xfId="18542" xr:uid="{FADCBF73-BCA0-4FE3-87B3-75C1BDBE5D31}"/>
    <cellStyle name="40% - Accent5 2 4 5" xfId="10108" xr:uid="{9A9A7EB6-9F04-4020-B96F-74E2DEB9FD74}"/>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A6A68A04-A2D9-4DED-B9EA-966981A1B2D4}"/>
    <cellStyle name="40% - Accent5 2 5 2 3" xfId="12666" xr:uid="{1BE5551B-3F8F-4C86-933D-70F5DF8B9849}"/>
    <cellStyle name="40% - Accent5 2 5 3" xfId="5412" xr:uid="{00000000-0005-0000-0000-000086060000}"/>
    <cellStyle name="40% - Accent5 2 5 3 2" xfId="14738" xr:uid="{0C571E6A-3E29-4EB9-B860-9563416DF43C}"/>
    <cellStyle name="40% - Accent5 2 5 4" xfId="10521" xr:uid="{6DC8A10B-4E79-4048-BBA3-C7A68347EB8B}"/>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2A848188-7D06-47C9-890D-8ED8576ADDC4}"/>
    <cellStyle name="40% - Accent5 2 6 2 3" xfId="13079" xr:uid="{BA5872DD-5161-4968-B26D-DE00C07230F8}"/>
    <cellStyle name="40% - Accent5 2 6 3" xfId="5825" xr:uid="{00000000-0005-0000-0000-00008A060000}"/>
    <cellStyle name="40% - Accent5 2 6 3 2" xfId="15151" xr:uid="{E8091238-E777-4557-9526-001A4621AF42}"/>
    <cellStyle name="40% - Accent5 2 6 4" xfId="10934" xr:uid="{C68826A5-62A0-4570-8D7F-D8AE22EDE84F}"/>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E2DC9198-84E1-4098-959A-F8CB7032C508}"/>
    <cellStyle name="40% - Accent5 2 7 2 3" xfId="13492" xr:uid="{3855856E-1491-41AB-96C1-171D77E308A3}"/>
    <cellStyle name="40% - Accent5 2 7 3" xfId="6238" xr:uid="{00000000-0005-0000-0000-00008E060000}"/>
    <cellStyle name="40% - Accent5 2 7 3 2" xfId="15564" xr:uid="{282E1AFA-1C5B-4707-AC67-F68133341FD6}"/>
    <cellStyle name="40% - Accent5 2 7 4" xfId="11347" xr:uid="{131F4EA4-923A-4683-8921-2C51AEF27E04}"/>
    <cellStyle name="40% - Accent5 2 8" xfId="2345" xr:uid="{00000000-0005-0000-0000-00008F060000}"/>
    <cellStyle name="40% - Accent5 2 8 2" xfId="6651" xr:uid="{00000000-0005-0000-0000-000090060000}"/>
    <cellStyle name="40% - Accent5 2 8 2 2" xfId="15977" xr:uid="{D1FCE3A5-D2F4-493D-BB69-DEEE0067282B}"/>
    <cellStyle name="40% - Accent5 2 8 3" xfId="11760" xr:uid="{DCE66BB9-D76D-40AE-98EC-6CA2B3DC4472}"/>
    <cellStyle name="40% - Accent5 2 9" xfId="4585" xr:uid="{00000000-0005-0000-0000-000091060000}"/>
    <cellStyle name="40% - Accent5 2 9 2" xfId="13911" xr:uid="{8DB2A65B-BB6E-46B6-ADC5-D79ADCF42265}"/>
    <cellStyle name="40% - Accent5 3" xfId="86" xr:uid="{00000000-0005-0000-0000-000092060000}"/>
    <cellStyle name="40% - Accent5 3 10" xfId="9698" xr:uid="{3B4552F2-EABE-4A9E-BCDD-C0559F801529}"/>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A7741A9B-7B26-4BCD-B466-CE2570FB4E3F}"/>
    <cellStyle name="40% - Accent5 3 2 2 2 3" xfId="12258" xr:uid="{2DCAC5E3-9FD5-42A6-9871-FC04C81CDA45}"/>
    <cellStyle name="40% - Accent5 3 2 2 3" xfId="5004" xr:uid="{00000000-0005-0000-0000-000097060000}"/>
    <cellStyle name="40% - Accent5 3 2 2 3 2" xfId="14330" xr:uid="{5329C29C-7DF6-403D-9A3B-0C7D8F3C521E}"/>
    <cellStyle name="40% - Accent5 3 2 2 4" xfId="9502" xr:uid="{96903B0D-DCFE-4149-8088-461BCB03A73B}"/>
    <cellStyle name="40% - Accent5 3 2 2 4 2" xfId="18817" xr:uid="{8C6EA939-3AEA-4125-B99B-6CABFE98506D}"/>
    <cellStyle name="40% - Accent5 3 2 2 5" xfId="10113" xr:uid="{7206D689-4DF0-41BD-8139-A161BB67D5CA}"/>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D1456067-818A-44B9-8FD9-5164C7C215C5}"/>
    <cellStyle name="40% - Accent5 3 2 3 2 3" xfId="12671" xr:uid="{3DC24C2E-547E-47AC-9A22-8798E5CF74C2}"/>
    <cellStyle name="40% - Accent5 3 2 3 3" xfId="5417" xr:uid="{00000000-0005-0000-0000-00009B060000}"/>
    <cellStyle name="40% - Accent5 3 2 3 3 2" xfId="14743" xr:uid="{A249FD9B-D0DB-4441-ACD7-542393549863}"/>
    <cellStyle name="40% - Accent5 3 2 3 4" xfId="10526" xr:uid="{56A7E26A-5027-4E0A-8B0E-5A2A29A90361}"/>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05BB98DC-0AD4-4FA4-959C-A4DAA99C2C05}"/>
    <cellStyle name="40% - Accent5 3 2 4 2 3" xfId="13084" xr:uid="{B40A123E-15AB-45B7-BD88-BA495F7C1B7D}"/>
    <cellStyle name="40% - Accent5 3 2 4 3" xfId="5830" xr:uid="{00000000-0005-0000-0000-00009F060000}"/>
    <cellStyle name="40% - Accent5 3 2 4 3 2" xfId="15156" xr:uid="{2453AA78-AD0D-49FF-891B-D607909559DE}"/>
    <cellStyle name="40% - Accent5 3 2 4 4" xfId="10939" xr:uid="{1A1540ED-07EF-4338-A9A8-A2DB2989D4DA}"/>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98DF0A54-C4F6-4A56-BA8C-C8FE9E2CB05C}"/>
    <cellStyle name="40% - Accent5 3 2 5 2 3" xfId="13497" xr:uid="{F60CC977-9247-4911-B983-0CAC6D2CFDAB}"/>
    <cellStyle name="40% - Accent5 3 2 5 3" xfId="6243" xr:uid="{00000000-0005-0000-0000-0000A3060000}"/>
    <cellStyle name="40% - Accent5 3 2 5 3 2" xfId="15569" xr:uid="{AB49918F-6B8C-4C32-B3A8-C9C441252690}"/>
    <cellStyle name="40% - Accent5 3 2 5 4" xfId="11352" xr:uid="{8EA9CF23-E690-422B-B41A-702CC2DEC264}"/>
    <cellStyle name="40% - Accent5 3 2 6" xfId="2350" xr:uid="{00000000-0005-0000-0000-0000A4060000}"/>
    <cellStyle name="40% - Accent5 3 2 6 2" xfId="6656" xr:uid="{00000000-0005-0000-0000-0000A5060000}"/>
    <cellStyle name="40% - Accent5 3 2 6 2 2" xfId="15982" xr:uid="{E2551635-9F56-4BCD-80DD-6C918884084C}"/>
    <cellStyle name="40% - Accent5 3 2 6 3" xfId="11765" xr:uid="{76682433-7CE0-475B-87F8-807650CDA1E2}"/>
    <cellStyle name="40% - Accent5 3 2 7" xfId="4590" xr:uid="{00000000-0005-0000-0000-0000A6060000}"/>
    <cellStyle name="40% - Accent5 3 2 7 2" xfId="13916" xr:uid="{B05D2B96-255A-4BCE-B60A-44A324597127}"/>
    <cellStyle name="40% - Accent5 3 2 8" xfId="9077" xr:uid="{8842DD15-54E4-487D-B492-3A505722387C}"/>
    <cellStyle name="40% - Accent5 3 2 8 2" xfId="18401" xr:uid="{9B21FBE5-ED61-4C79-BDC2-A0AC7CE1B8BF}"/>
    <cellStyle name="40% - Accent5 3 2 9" xfId="9699" xr:uid="{62DCC0C0-22C8-4715-A5DD-90C5A458F13D}"/>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68E13C96-0D31-48DF-AA14-1659E715485C}"/>
    <cellStyle name="40% - Accent5 3 3 2 3" xfId="12257" xr:uid="{2329FEA2-10CC-4ED0-B85D-53EE001CA687}"/>
    <cellStyle name="40% - Accent5 3 3 3" xfId="5003" xr:uid="{00000000-0005-0000-0000-0000AA060000}"/>
    <cellStyle name="40% - Accent5 3 3 3 2" xfId="14329" xr:uid="{7E18B7F8-77FA-44DC-B733-C853A279105C}"/>
    <cellStyle name="40% - Accent5 3 3 4" xfId="9295" xr:uid="{0D42C89E-252E-426A-8E1F-7D3AD6B9FE55}"/>
    <cellStyle name="40% - Accent5 3 3 4 2" xfId="18610" xr:uid="{DB9EC51D-CD66-4ABA-9D45-648D8AC39D88}"/>
    <cellStyle name="40% - Accent5 3 3 5" xfId="10112" xr:uid="{6B770C79-8FC2-4FE0-BD49-486F61C18843}"/>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A722BD67-0E70-4E3A-8327-D851341B1D39}"/>
    <cellStyle name="40% - Accent5 3 4 2 3" xfId="12670" xr:uid="{C9FEF59B-A553-4531-97BC-5B379A6A35E9}"/>
    <cellStyle name="40% - Accent5 3 4 3" xfId="5416" xr:uid="{00000000-0005-0000-0000-0000AE060000}"/>
    <cellStyle name="40% - Accent5 3 4 3 2" xfId="14742" xr:uid="{94A317AE-B4D0-4051-83E0-2CB26BD1C540}"/>
    <cellStyle name="40% - Accent5 3 4 4" xfId="10525" xr:uid="{75437A60-3811-421C-886B-63C9723937DE}"/>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8407A7F9-8940-4E6D-8C86-AA3EC3C245DB}"/>
    <cellStyle name="40% - Accent5 3 5 2 3" xfId="13083" xr:uid="{8F8735CA-ED9B-4ED7-8552-DD3ED8C5B319}"/>
    <cellStyle name="40% - Accent5 3 5 3" xfId="5829" xr:uid="{00000000-0005-0000-0000-0000B2060000}"/>
    <cellStyle name="40% - Accent5 3 5 3 2" xfId="15155" xr:uid="{91621C4D-B78B-495A-8B14-ED354AB3E09C}"/>
    <cellStyle name="40% - Accent5 3 5 4" xfId="10938" xr:uid="{6B9EDC21-4FD1-4B02-8B24-D6C7086A2F7C}"/>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E8A40CF5-329D-4089-AD87-AC51276FF789}"/>
    <cellStyle name="40% - Accent5 3 6 2 3" xfId="13496" xr:uid="{4A0976EC-D8FD-4E82-BEE5-7AF4F2F382B5}"/>
    <cellStyle name="40% - Accent5 3 6 3" xfId="6242" xr:uid="{00000000-0005-0000-0000-0000B6060000}"/>
    <cellStyle name="40% - Accent5 3 6 3 2" xfId="15568" xr:uid="{F4025D37-2636-4B46-A2C3-C83136523D38}"/>
    <cellStyle name="40% - Accent5 3 6 4" xfId="11351" xr:uid="{DCF9A836-12DC-4066-BB27-8B5C7F2C44A4}"/>
    <cellStyle name="40% - Accent5 3 7" xfId="2349" xr:uid="{00000000-0005-0000-0000-0000B7060000}"/>
    <cellStyle name="40% - Accent5 3 7 2" xfId="6655" xr:uid="{00000000-0005-0000-0000-0000B8060000}"/>
    <cellStyle name="40% - Accent5 3 7 2 2" xfId="15981" xr:uid="{01B10054-ABE3-4395-87E5-0C7DBEB4BAC0}"/>
    <cellStyle name="40% - Accent5 3 7 3" xfId="11764" xr:uid="{137DD4E0-BE7D-493A-944B-5D9942DB7596}"/>
    <cellStyle name="40% - Accent5 3 8" xfId="4589" xr:uid="{00000000-0005-0000-0000-0000B9060000}"/>
    <cellStyle name="40% - Accent5 3 8 2" xfId="13915" xr:uid="{2DD87D68-9FE5-4FDD-B6AB-ADCDA45E0654}"/>
    <cellStyle name="40% - Accent5 3 9" xfId="8870" xr:uid="{F7DB5D96-1272-4D48-B3B6-48053CFCBA44}"/>
    <cellStyle name="40% - Accent5 3 9 2" xfId="18194" xr:uid="{FA552EC6-D163-4131-8085-C2EC3E0D0273}"/>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E45B5865-AA81-4381-9AAE-DE6F47EAFDD9}"/>
    <cellStyle name="40% - Accent5 4 2 2 3" xfId="12259" xr:uid="{F1B8F83F-C724-4A8B-9F4E-3346F4C44335}"/>
    <cellStyle name="40% - Accent5 4 2 3" xfId="5005" xr:uid="{00000000-0005-0000-0000-0000BE060000}"/>
    <cellStyle name="40% - Accent5 4 2 3 2" xfId="14331" xr:uid="{4DAAB232-539A-431C-8D0E-1C79D6447910}"/>
    <cellStyle name="40% - Accent5 4 2 4" xfId="9381" xr:uid="{6D86932C-AFC4-4FF0-967D-0F56E90E02E1}"/>
    <cellStyle name="40% - Accent5 4 2 4 2" xfId="18696" xr:uid="{4F6D0EB0-3995-4BC4-8DE7-49FE487A5329}"/>
    <cellStyle name="40% - Accent5 4 2 5" xfId="10114" xr:uid="{A237A497-EADF-4A87-AA65-8276465A384F}"/>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2DB96CA4-AB96-4DF4-BF0F-152B7ABFD6A7}"/>
    <cellStyle name="40% - Accent5 4 3 2 3" xfId="12672" xr:uid="{B91DB0E9-73F8-48E0-BDBF-2A7595CC313A}"/>
    <cellStyle name="40% - Accent5 4 3 3" xfId="5418" xr:uid="{00000000-0005-0000-0000-0000C2060000}"/>
    <cellStyle name="40% - Accent5 4 3 3 2" xfId="14744" xr:uid="{723C57E1-D7DE-4E6F-B9D3-02EC7D5B679D}"/>
    <cellStyle name="40% - Accent5 4 3 4" xfId="10527" xr:uid="{9F2BF52F-7F45-4BA0-B812-96BAF4459A14}"/>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4CA180B4-13CD-4874-8677-592130D03BD0}"/>
    <cellStyle name="40% - Accent5 4 4 2 3" xfId="13085" xr:uid="{E089FA8E-DFDA-4967-A2D0-7510B3EABCF9}"/>
    <cellStyle name="40% - Accent5 4 4 3" xfId="5831" xr:uid="{00000000-0005-0000-0000-0000C6060000}"/>
    <cellStyle name="40% - Accent5 4 4 3 2" xfId="15157" xr:uid="{412648A1-02C4-4DAA-8431-FA3E2D82FF2D}"/>
    <cellStyle name="40% - Accent5 4 4 4" xfId="10940" xr:uid="{FBB2B6DA-AE6B-42B2-BC71-635D3F26EA2E}"/>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E668107D-8BC9-43C9-89A1-8A8274791413}"/>
    <cellStyle name="40% - Accent5 4 5 2 3" xfId="13498" xr:uid="{DCA16568-B2FD-4ED1-9A82-58D648851429}"/>
    <cellStyle name="40% - Accent5 4 5 3" xfId="6244" xr:uid="{00000000-0005-0000-0000-0000CA060000}"/>
    <cellStyle name="40% - Accent5 4 5 3 2" xfId="15570" xr:uid="{B63CEA64-9E30-4C63-8B37-9BAC1735F63F}"/>
    <cellStyle name="40% - Accent5 4 5 4" xfId="11353" xr:uid="{C1ED7D19-AF84-4965-A764-26F7A1DC75AA}"/>
    <cellStyle name="40% - Accent5 4 6" xfId="2351" xr:uid="{00000000-0005-0000-0000-0000CB060000}"/>
    <cellStyle name="40% - Accent5 4 6 2" xfId="6657" xr:uid="{00000000-0005-0000-0000-0000CC060000}"/>
    <cellStyle name="40% - Accent5 4 6 2 2" xfId="15983" xr:uid="{D89577AA-9ACC-4CA4-9E74-5AD5E6184A02}"/>
    <cellStyle name="40% - Accent5 4 6 3" xfId="11766" xr:uid="{F3E7D4A6-B66E-4247-9B0B-91977E5A71FB}"/>
    <cellStyle name="40% - Accent5 4 7" xfId="4591" xr:uid="{00000000-0005-0000-0000-0000CD060000}"/>
    <cellStyle name="40% - Accent5 4 7 2" xfId="13917" xr:uid="{99A64EDB-49B2-44E2-B3AE-D5DCFFE9AEB1}"/>
    <cellStyle name="40% - Accent5 4 8" xfId="8956" xr:uid="{20EBAEFE-DF5E-4B38-878B-CDA5BD3DABC1}"/>
    <cellStyle name="40% - Accent5 4 8 2" xfId="18280" xr:uid="{5B48E7F7-34D1-4D20-A52B-BDF0C8D65A59}"/>
    <cellStyle name="40% - Accent5 4 9" xfId="9700" xr:uid="{FA2E655C-6883-45AB-8CE9-29A8BB9787F8}"/>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519933BF-7683-43EC-BBA6-F9E0E8B658A8}"/>
    <cellStyle name="40% - Accent5 5 2 3" xfId="12252" xr:uid="{77BBEB22-DD74-4380-8512-018C1E7156BA}"/>
    <cellStyle name="40% - Accent5 5 3" xfId="4998" xr:uid="{00000000-0005-0000-0000-0000D1060000}"/>
    <cellStyle name="40% - Accent5 5 3 2" xfId="14324" xr:uid="{EA94C1C1-195B-4940-9579-D0E74BE9E3A2}"/>
    <cellStyle name="40% - Accent5 5 4" xfId="9189" xr:uid="{AE9A155E-B06B-4FF1-8984-8F7810581B15}"/>
    <cellStyle name="40% - Accent5 5 4 2" xfId="18507" xr:uid="{88EA18BC-56F5-4C2A-A3EA-1096107AF849}"/>
    <cellStyle name="40% - Accent5 5 5" xfId="10107" xr:uid="{91B856B0-5BAC-4A36-A92A-CB29DEF12F29}"/>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1B50557E-7D46-425C-9D13-3C22CD6C027D}"/>
    <cellStyle name="40% - Accent5 6 2 3" xfId="12665" xr:uid="{D739BF7D-EB65-4F61-9B82-125D24F2D0AC}"/>
    <cellStyle name="40% - Accent5 6 3" xfId="5411" xr:uid="{00000000-0005-0000-0000-0000D5060000}"/>
    <cellStyle name="40% - Accent5 6 3 2" xfId="14737" xr:uid="{C091F874-D668-48E0-8586-E6A8F4EF66B6}"/>
    <cellStyle name="40% - Accent5 6 4" xfId="10520" xr:uid="{804990FD-C71C-427C-92B8-D54CC87C38F2}"/>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64014586-183C-43DE-8CB4-437008DEB58E}"/>
    <cellStyle name="40% - Accent5 7 2 3" xfId="13078" xr:uid="{0125BA57-6A55-4806-8072-2EAE9594D20C}"/>
    <cellStyle name="40% - Accent5 7 3" xfId="5824" xr:uid="{00000000-0005-0000-0000-0000D9060000}"/>
    <cellStyle name="40% - Accent5 7 3 2" xfId="15150" xr:uid="{7DAF7DB9-042C-4433-8CC2-9F46A4975106}"/>
    <cellStyle name="40% - Accent5 7 4" xfId="10933" xr:uid="{C71DB618-14CB-4371-8DC1-B52BE14D50FB}"/>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6811E27B-8947-485B-8305-637F6B9E66F0}"/>
    <cellStyle name="40% - Accent5 8 2 3" xfId="13491" xr:uid="{6173ECCB-E8FA-4B4B-AF00-2D9AA3F216E0}"/>
    <cellStyle name="40% - Accent5 8 3" xfId="6237" xr:uid="{00000000-0005-0000-0000-0000DD060000}"/>
    <cellStyle name="40% - Accent5 8 3 2" xfId="15563" xr:uid="{5102A437-1457-4938-AB20-1F5EC797CDA5}"/>
    <cellStyle name="40% - Accent5 8 4" xfId="11346" xr:uid="{5560B866-EAB9-4A7C-9B3C-B7B8D5ADC609}"/>
    <cellStyle name="40% - Accent5 9" xfId="2344" xr:uid="{00000000-0005-0000-0000-0000DE060000}"/>
    <cellStyle name="40% - Accent5 9 2" xfId="6650" xr:uid="{00000000-0005-0000-0000-0000DF060000}"/>
    <cellStyle name="40% - Accent5 9 2 2" xfId="15976" xr:uid="{1BE6029A-769E-4DA3-8B33-2EFD7A17A956}"/>
    <cellStyle name="40% - Accent5 9 3" xfId="11759" xr:uid="{80E57816-0B45-4C21-9B5E-8AF2D394B6DB}"/>
    <cellStyle name="40% - Accent6" xfId="89" builtinId="51" customBuiltin="1"/>
    <cellStyle name="40% - Accent6 10" xfId="4592" xr:uid="{00000000-0005-0000-0000-0000E1060000}"/>
    <cellStyle name="40% - Accent6 10 2" xfId="13918" xr:uid="{6652BB43-0CA8-4E9C-A127-1B418CF55E31}"/>
    <cellStyle name="40% - Accent6 11" xfId="8769" xr:uid="{8369FE49-3815-490F-BF3A-3BEB88E35DFA}"/>
    <cellStyle name="40% - Accent6 11 2" xfId="18093" xr:uid="{F0678F74-A22E-4E96-A67A-4385E1A81F74}"/>
    <cellStyle name="40% - Accent6 12" xfId="9701" xr:uid="{426B5A66-52AC-407C-80C1-724CC92BB29C}"/>
    <cellStyle name="40% - Accent6 2" xfId="90" xr:uid="{00000000-0005-0000-0000-0000E2060000}"/>
    <cellStyle name="40% - Accent6 2 10" xfId="8803" xr:uid="{3530B69D-EB1D-41EA-A6FB-440FE4FE29AB}"/>
    <cellStyle name="40% - Accent6 2 10 2" xfId="18127" xr:uid="{89BD7769-9910-4D26-BA68-3B34E94BED01}"/>
    <cellStyle name="40% - Accent6 2 11" xfId="9702" xr:uid="{0C5D45EB-206C-4B0E-AE11-743CC7789193}"/>
    <cellStyle name="40% - Accent6 2 2" xfId="91" xr:uid="{00000000-0005-0000-0000-0000E3060000}"/>
    <cellStyle name="40% - Accent6 2 2 10" xfId="9703" xr:uid="{5042E822-B263-44F5-BE75-DA638C0E97A7}"/>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6C3BDBF2-35C9-45A4-925A-B73943578F63}"/>
    <cellStyle name="40% - Accent6 2 2 2 2 2 3" xfId="12263" xr:uid="{5EE5670C-0DCD-4FC0-A5DC-F9F887238A95}"/>
    <cellStyle name="40% - Accent6 2 2 2 2 3" xfId="5009" xr:uid="{00000000-0005-0000-0000-0000E8060000}"/>
    <cellStyle name="40% - Accent6 2 2 2 2 3 2" xfId="14335" xr:uid="{093ADFB3-A903-47C9-AB86-B925E628F0D9}"/>
    <cellStyle name="40% - Accent6 2 2 2 2 4" xfId="9538" xr:uid="{D1801D0B-FDF1-4C59-8DE2-DEC53081BC5D}"/>
    <cellStyle name="40% - Accent6 2 2 2 2 4 2" xfId="18853" xr:uid="{602FB382-677E-4197-B4CB-BC85B5305067}"/>
    <cellStyle name="40% - Accent6 2 2 2 2 5" xfId="10118" xr:uid="{83B48784-BDC3-4949-B3BF-F4B8250F5A09}"/>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4E4C8CD6-28FC-47A6-AC7B-4352D557CDF2}"/>
    <cellStyle name="40% - Accent6 2 2 2 3 2 3" xfId="12676" xr:uid="{A9F40B4E-00EB-418A-A780-912407932A78}"/>
    <cellStyle name="40% - Accent6 2 2 2 3 3" xfId="5422" xr:uid="{00000000-0005-0000-0000-0000EC060000}"/>
    <cellStyle name="40% - Accent6 2 2 2 3 3 2" xfId="14748" xr:uid="{23973884-8A5B-4060-A1C6-F80533CD1217}"/>
    <cellStyle name="40% - Accent6 2 2 2 3 4" xfId="10531" xr:uid="{00357EE4-4A46-4C48-A113-F53BB8F12D7D}"/>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970A0862-ACF1-422F-A496-5CCAD1EBEBA8}"/>
    <cellStyle name="40% - Accent6 2 2 2 4 2 3" xfId="13089" xr:uid="{D2B1420F-ED08-4D98-A48A-AE90D8A9636C}"/>
    <cellStyle name="40% - Accent6 2 2 2 4 3" xfId="5835" xr:uid="{00000000-0005-0000-0000-0000F0060000}"/>
    <cellStyle name="40% - Accent6 2 2 2 4 3 2" xfId="15161" xr:uid="{26A26A6E-BEAE-4F6B-8BDE-CC06766F02E3}"/>
    <cellStyle name="40% - Accent6 2 2 2 4 4" xfId="10944" xr:uid="{C095F6D4-1F7B-4850-BBC8-A4D1DEA42658}"/>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CDA646A1-9DD0-4A82-B535-519D55B91217}"/>
    <cellStyle name="40% - Accent6 2 2 2 5 2 3" xfId="13502" xr:uid="{9A650164-3682-4BA9-A65A-B4A192DB5946}"/>
    <cellStyle name="40% - Accent6 2 2 2 5 3" xfId="6248" xr:uid="{00000000-0005-0000-0000-0000F4060000}"/>
    <cellStyle name="40% - Accent6 2 2 2 5 3 2" xfId="15574" xr:uid="{31875A3E-046F-4D60-9B2A-070B7CC0F83C}"/>
    <cellStyle name="40% - Accent6 2 2 2 5 4" xfId="11357" xr:uid="{3666C0DB-D893-4B2E-815B-CBA1ABA115E5}"/>
    <cellStyle name="40% - Accent6 2 2 2 6" xfId="2355" xr:uid="{00000000-0005-0000-0000-0000F5060000}"/>
    <cellStyle name="40% - Accent6 2 2 2 6 2" xfId="6661" xr:uid="{00000000-0005-0000-0000-0000F6060000}"/>
    <cellStyle name="40% - Accent6 2 2 2 6 2 2" xfId="15987" xr:uid="{1A57E269-B1EF-4044-AC4A-8AD828E9FE29}"/>
    <cellStyle name="40% - Accent6 2 2 2 6 3" xfId="11770" xr:uid="{3C5743C8-AF22-4056-8990-F3AE04DDFA1A}"/>
    <cellStyle name="40% - Accent6 2 2 2 7" xfId="4595" xr:uid="{00000000-0005-0000-0000-0000F7060000}"/>
    <cellStyle name="40% - Accent6 2 2 2 7 2" xfId="13921" xr:uid="{EE511AC0-AD8A-44EF-B073-D31541FBF467}"/>
    <cellStyle name="40% - Accent6 2 2 2 8" xfId="9113" xr:uid="{D9373B4A-E1DA-437A-874A-FCE4D00708EB}"/>
    <cellStyle name="40% - Accent6 2 2 2 8 2" xfId="18437" xr:uid="{7D5FF1B8-8ADA-478D-93F7-5FD077C09EB1}"/>
    <cellStyle name="40% - Accent6 2 2 2 9" xfId="9704" xr:uid="{ED12FBF2-5FEF-4473-A864-F7C1458D45A5}"/>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39828E2E-E52D-43E0-B7E0-94D17B4D6E31}"/>
    <cellStyle name="40% - Accent6 2 2 3 2 3" xfId="12262" xr:uid="{7A1F36A4-D5C0-4764-95EA-6C9512A39892}"/>
    <cellStyle name="40% - Accent6 2 2 3 3" xfId="5008" xr:uid="{00000000-0005-0000-0000-0000FB060000}"/>
    <cellStyle name="40% - Accent6 2 2 3 3 2" xfId="14334" xr:uid="{5BF5AD93-ECCF-4FA7-84AD-C1549053828E}"/>
    <cellStyle name="40% - Accent6 2 2 3 4" xfId="9331" xr:uid="{223B62DA-AA8A-4703-B6D5-D6AA8918B034}"/>
    <cellStyle name="40% - Accent6 2 2 3 4 2" xfId="18646" xr:uid="{1CC6B6FE-F84D-4121-A1D1-1213441F0839}"/>
    <cellStyle name="40% - Accent6 2 2 3 5" xfId="10117" xr:uid="{FD960546-C752-46C3-A0B0-C2C58CA47C17}"/>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0B5DAF65-41E0-453F-9D34-5447465F9354}"/>
    <cellStyle name="40% - Accent6 2 2 4 2 3" xfId="12675" xr:uid="{C6EB1501-F8D3-41D9-9994-6C966643D8C8}"/>
    <cellStyle name="40% - Accent6 2 2 4 3" xfId="5421" xr:uid="{00000000-0005-0000-0000-0000FF060000}"/>
    <cellStyle name="40% - Accent6 2 2 4 3 2" xfId="14747" xr:uid="{9E41E9E8-3EE1-43E2-AA43-0F1014CD0CC0}"/>
    <cellStyle name="40% - Accent6 2 2 4 4" xfId="10530" xr:uid="{DF6FA53E-06CD-4D5D-BD8D-2A6B4873E7C5}"/>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C1A924E2-5AE7-4F49-8ADC-47E868790D9D}"/>
    <cellStyle name="40% - Accent6 2 2 5 2 3" xfId="13088" xr:uid="{CB18D805-B449-498D-A926-EE795FB39A39}"/>
    <cellStyle name="40% - Accent6 2 2 5 3" xfId="5834" xr:uid="{00000000-0005-0000-0000-000003070000}"/>
    <cellStyle name="40% - Accent6 2 2 5 3 2" xfId="15160" xr:uid="{0394B18D-3B18-474C-B3FF-125B76148C45}"/>
    <cellStyle name="40% - Accent6 2 2 5 4" xfId="10943" xr:uid="{471901C9-7D43-4011-98A0-0848BF858BB5}"/>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3CC2F132-0EEF-45CC-B687-FA0DF4FB905D}"/>
    <cellStyle name="40% - Accent6 2 2 6 2 3" xfId="13501" xr:uid="{3912F983-AEB5-4AF0-A838-751B5D81CB8A}"/>
    <cellStyle name="40% - Accent6 2 2 6 3" xfId="6247" xr:uid="{00000000-0005-0000-0000-000007070000}"/>
    <cellStyle name="40% - Accent6 2 2 6 3 2" xfId="15573" xr:uid="{394619AF-58C2-4B98-9E8C-1CFAA2E01238}"/>
    <cellStyle name="40% - Accent6 2 2 6 4" xfId="11356" xr:uid="{C4EE5A5D-6F12-4D98-A98D-DF04A519CFD2}"/>
    <cellStyle name="40% - Accent6 2 2 7" xfId="2354" xr:uid="{00000000-0005-0000-0000-000008070000}"/>
    <cellStyle name="40% - Accent6 2 2 7 2" xfId="6660" xr:uid="{00000000-0005-0000-0000-000009070000}"/>
    <cellStyle name="40% - Accent6 2 2 7 2 2" xfId="15986" xr:uid="{65F7BBA5-8A21-4166-8A03-E52D0F416090}"/>
    <cellStyle name="40% - Accent6 2 2 7 3" xfId="11769" xr:uid="{59F170F2-2AA7-4188-9FE2-60475A7EF041}"/>
    <cellStyle name="40% - Accent6 2 2 8" xfId="4594" xr:uid="{00000000-0005-0000-0000-00000A070000}"/>
    <cellStyle name="40% - Accent6 2 2 8 2" xfId="13920" xr:uid="{00A71026-87D7-4C9A-A814-1D37425C38E7}"/>
    <cellStyle name="40% - Accent6 2 2 9" xfId="8906" xr:uid="{C30FCA09-BA1A-4F54-9397-4FC676425C46}"/>
    <cellStyle name="40% - Accent6 2 2 9 2" xfId="18230" xr:uid="{D7F4AED4-F4A5-4916-8C71-C6DC9066F7DB}"/>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7D04DED2-352C-492D-B8BC-7011DF18306B}"/>
    <cellStyle name="40% - Accent6 2 3 2 2 3" xfId="12264" xr:uid="{BF4A3279-E95C-4595-B5E0-DBE04D95167A}"/>
    <cellStyle name="40% - Accent6 2 3 2 3" xfId="5010" xr:uid="{00000000-0005-0000-0000-00000F070000}"/>
    <cellStyle name="40% - Accent6 2 3 2 3 2" xfId="14336" xr:uid="{1F89C394-21B0-428E-AF22-7740D39D80B0}"/>
    <cellStyle name="40% - Accent6 2 3 2 4" xfId="9435" xr:uid="{36535681-1736-4584-8CB6-F8F38C9E0E5B}"/>
    <cellStyle name="40% - Accent6 2 3 2 4 2" xfId="18750" xr:uid="{8F70CEDE-F830-4EF3-98EB-42FDE0E571DA}"/>
    <cellStyle name="40% - Accent6 2 3 2 5" xfId="10119" xr:uid="{2B701EE2-E3C9-4436-A205-799D7B2B0418}"/>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D1479180-5599-4212-AAD8-889B236DB1C0}"/>
    <cellStyle name="40% - Accent6 2 3 3 2 3" xfId="12677" xr:uid="{68C5C7A5-3C0F-49D6-A203-50A4F1E0B30A}"/>
    <cellStyle name="40% - Accent6 2 3 3 3" xfId="5423" xr:uid="{00000000-0005-0000-0000-000013070000}"/>
    <cellStyle name="40% - Accent6 2 3 3 3 2" xfId="14749" xr:uid="{5963D44B-6079-4424-A614-2F910CDE111D}"/>
    <cellStyle name="40% - Accent6 2 3 3 4" xfId="10532" xr:uid="{43B10412-5698-47EA-83E0-F5AD5B180B39}"/>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F8D46566-F993-4C8C-8499-60421BEFBE87}"/>
    <cellStyle name="40% - Accent6 2 3 4 2 3" xfId="13090" xr:uid="{917C495C-7D54-4270-A4C2-6454A9B3C2C4}"/>
    <cellStyle name="40% - Accent6 2 3 4 3" xfId="5836" xr:uid="{00000000-0005-0000-0000-000017070000}"/>
    <cellStyle name="40% - Accent6 2 3 4 3 2" xfId="15162" xr:uid="{F8D36425-341A-4C74-A262-F7286CB66946}"/>
    <cellStyle name="40% - Accent6 2 3 4 4" xfId="10945" xr:uid="{1964D904-F16A-4E42-AB4D-591CE7DA74EB}"/>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BFED06E8-A848-4A62-8F87-8B963567385E}"/>
    <cellStyle name="40% - Accent6 2 3 5 2 3" xfId="13503" xr:uid="{65505C5A-7C94-4C2D-8932-91901EA5F7E2}"/>
    <cellStyle name="40% - Accent6 2 3 5 3" xfId="6249" xr:uid="{00000000-0005-0000-0000-00001B070000}"/>
    <cellStyle name="40% - Accent6 2 3 5 3 2" xfId="15575" xr:uid="{D083F096-0B70-427E-ABCF-208235E51BE6}"/>
    <cellStyle name="40% - Accent6 2 3 5 4" xfId="11358" xr:uid="{B3355BC4-397B-43FC-8189-213F23384CA3}"/>
    <cellStyle name="40% - Accent6 2 3 6" xfId="2356" xr:uid="{00000000-0005-0000-0000-00001C070000}"/>
    <cellStyle name="40% - Accent6 2 3 6 2" xfId="6662" xr:uid="{00000000-0005-0000-0000-00001D070000}"/>
    <cellStyle name="40% - Accent6 2 3 6 2 2" xfId="15988" xr:uid="{7C0FE085-C72A-40DC-AE87-571F464D5E69}"/>
    <cellStyle name="40% - Accent6 2 3 6 3" xfId="11771" xr:uid="{55F68F27-046C-4241-B533-2AAF477FE8C2}"/>
    <cellStyle name="40% - Accent6 2 3 7" xfId="4596" xr:uid="{00000000-0005-0000-0000-00001E070000}"/>
    <cellStyle name="40% - Accent6 2 3 7 2" xfId="13922" xr:uid="{09DEC877-2B77-4F62-A5C5-3B1C30A3386C}"/>
    <cellStyle name="40% - Accent6 2 3 8" xfId="9010" xr:uid="{63E1B5F8-FE5F-441F-B768-94B1D98CB2B1}"/>
    <cellStyle name="40% - Accent6 2 3 8 2" xfId="18334" xr:uid="{2C4C3FD3-9799-484A-A8B8-CE1D4B99F151}"/>
    <cellStyle name="40% - Accent6 2 3 9" xfId="9705" xr:uid="{676EE2B9-6AB9-4984-B673-4F468895AEF3}"/>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61D53080-88F2-456E-B4CD-18EC2A6E6BDE}"/>
    <cellStyle name="40% - Accent6 2 4 2 3" xfId="12261" xr:uid="{51F01785-7533-46C1-9EE5-9B3C2DF4957F}"/>
    <cellStyle name="40% - Accent6 2 4 3" xfId="5007" xr:uid="{00000000-0005-0000-0000-000022070000}"/>
    <cellStyle name="40% - Accent6 2 4 3 2" xfId="14333" xr:uid="{93EA722F-CE4F-4CDA-B4C9-82E9D1C31A83}"/>
    <cellStyle name="40% - Accent6 2 4 4" xfId="9227" xr:uid="{61BC3AC1-FAE9-47DF-8143-7EECE05FF8D3}"/>
    <cellStyle name="40% - Accent6 2 4 4 2" xfId="18543" xr:uid="{A2FD395A-D936-42C5-B539-4E02C3EC1712}"/>
    <cellStyle name="40% - Accent6 2 4 5" xfId="10116" xr:uid="{6F7791CB-C868-4162-B923-A76001B360BF}"/>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724F3267-45F9-4059-B206-ECB598907B6C}"/>
    <cellStyle name="40% - Accent6 2 5 2 3" xfId="12674" xr:uid="{8FA1D183-0C21-4A1C-9ED3-FE407A044922}"/>
    <cellStyle name="40% - Accent6 2 5 3" xfId="5420" xr:uid="{00000000-0005-0000-0000-000026070000}"/>
    <cellStyle name="40% - Accent6 2 5 3 2" xfId="14746" xr:uid="{79C68AB2-0D26-4A95-A476-025C7B88F07C}"/>
    <cellStyle name="40% - Accent6 2 5 4" xfId="10529" xr:uid="{BC3703C3-9D84-420A-8E85-A86026D7F4F9}"/>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9442E464-4955-4696-A9F0-97FA1CF99E3D}"/>
    <cellStyle name="40% - Accent6 2 6 2 3" xfId="13087" xr:uid="{F135FEE8-F6CD-4396-97DD-A22142308313}"/>
    <cellStyle name="40% - Accent6 2 6 3" xfId="5833" xr:uid="{00000000-0005-0000-0000-00002A070000}"/>
    <cellStyle name="40% - Accent6 2 6 3 2" xfId="15159" xr:uid="{014345F2-0331-4EC8-B275-2E5E401D4101}"/>
    <cellStyle name="40% - Accent6 2 6 4" xfId="10942" xr:uid="{5759D37E-FC15-46DA-9CDC-990A8683BE11}"/>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6FA142B8-C328-4DDA-B95B-B124E2DF61CE}"/>
    <cellStyle name="40% - Accent6 2 7 2 3" xfId="13500" xr:uid="{ECED1330-363D-4387-8800-84799653D431}"/>
    <cellStyle name="40% - Accent6 2 7 3" xfId="6246" xr:uid="{00000000-0005-0000-0000-00002E070000}"/>
    <cellStyle name="40% - Accent6 2 7 3 2" xfId="15572" xr:uid="{1F82F12C-C842-4799-8BE9-E9CD61B7824A}"/>
    <cellStyle name="40% - Accent6 2 7 4" xfId="11355" xr:uid="{9457887C-D091-4FFC-A24B-EE88F5EA4F61}"/>
    <cellStyle name="40% - Accent6 2 8" xfId="2353" xr:uid="{00000000-0005-0000-0000-00002F070000}"/>
    <cellStyle name="40% - Accent6 2 8 2" xfId="6659" xr:uid="{00000000-0005-0000-0000-000030070000}"/>
    <cellStyle name="40% - Accent6 2 8 2 2" xfId="15985" xr:uid="{4E8E34B7-BE8D-456C-A6EF-F2DA0C2657BC}"/>
    <cellStyle name="40% - Accent6 2 8 3" xfId="11768" xr:uid="{C9BAC995-AA4F-4234-81FF-1936E7E38C9A}"/>
    <cellStyle name="40% - Accent6 2 9" xfId="4593" xr:uid="{00000000-0005-0000-0000-000031070000}"/>
    <cellStyle name="40% - Accent6 2 9 2" xfId="13919" xr:uid="{10E529B4-77DC-45EF-92E4-3AAA46FB82CE}"/>
    <cellStyle name="40% - Accent6 3" xfId="94" xr:uid="{00000000-0005-0000-0000-000032070000}"/>
    <cellStyle name="40% - Accent6 3 10" xfId="9706" xr:uid="{5A18A502-047D-4F64-8F2E-809A04F7799A}"/>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6F5FB226-1C08-44A0-854F-630ECD936852}"/>
    <cellStyle name="40% - Accent6 3 2 2 2 3" xfId="12266" xr:uid="{0502CD57-842F-4AFB-91FD-36B601C32B18}"/>
    <cellStyle name="40% - Accent6 3 2 2 3" xfId="5012" xr:uid="{00000000-0005-0000-0000-000037070000}"/>
    <cellStyle name="40% - Accent6 3 2 2 3 2" xfId="14338" xr:uid="{FB9CD929-D5BF-4F54-8562-12D7656CE27C}"/>
    <cellStyle name="40% - Accent6 3 2 2 4" xfId="9504" xr:uid="{23E46585-FD8F-4BA3-8B65-284D6884E4FD}"/>
    <cellStyle name="40% - Accent6 3 2 2 4 2" xfId="18819" xr:uid="{FC880E79-CE8C-4C29-A22C-91106DB87BDA}"/>
    <cellStyle name="40% - Accent6 3 2 2 5" xfId="10121" xr:uid="{87FDB252-133A-4A53-A361-2964C379C2AB}"/>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2BAB6992-6AF9-487D-9714-C74A7E073993}"/>
    <cellStyle name="40% - Accent6 3 2 3 2 3" xfId="12679" xr:uid="{71540BC6-F532-4F32-94D3-7CD47A517EBF}"/>
    <cellStyle name="40% - Accent6 3 2 3 3" xfId="5425" xr:uid="{00000000-0005-0000-0000-00003B070000}"/>
    <cellStyle name="40% - Accent6 3 2 3 3 2" xfId="14751" xr:uid="{AFFEC6D4-CF5D-42E4-98A9-CE750A4DE03D}"/>
    <cellStyle name="40% - Accent6 3 2 3 4" xfId="10534" xr:uid="{790A4FE4-2B31-4A0C-AD9D-FB94177F7DDD}"/>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321C0DAB-B3E6-4B0C-A444-2B3CAAB05A42}"/>
    <cellStyle name="40% - Accent6 3 2 4 2 3" xfId="13092" xr:uid="{8550D152-98E0-40E2-9A74-E6A73C6E778F}"/>
    <cellStyle name="40% - Accent6 3 2 4 3" xfId="5838" xr:uid="{00000000-0005-0000-0000-00003F070000}"/>
    <cellStyle name="40% - Accent6 3 2 4 3 2" xfId="15164" xr:uid="{7D3AC441-68C9-45BE-8B63-D7B5EF60D224}"/>
    <cellStyle name="40% - Accent6 3 2 4 4" xfId="10947" xr:uid="{4BAB7EA7-8D94-46FF-9A8A-5E73D4FB76EE}"/>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B7989421-31D3-4E27-AA62-A654F242195B}"/>
    <cellStyle name="40% - Accent6 3 2 5 2 3" xfId="13505" xr:uid="{8DEDD525-007A-429A-8692-CEDB46B56D20}"/>
    <cellStyle name="40% - Accent6 3 2 5 3" xfId="6251" xr:uid="{00000000-0005-0000-0000-000043070000}"/>
    <cellStyle name="40% - Accent6 3 2 5 3 2" xfId="15577" xr:uid="{E39880B8-9D98-499F-855A-228E253B71C3}"/>
    <cellStyle name="40% - Accent6 3 2 5 4" xfId="11360" xr:uid="{00A6E577-934A-46D6-86C2-5663BB256221}"/>
    <cellStyle name="40% - Accent6 3 2 6" xfId="2358" xr:uid="{00000000-0005-0000-0000-000044070000}"/>
    <cellStyle name="40% - Accent6 3 2 6 2" xfId="6664" xr:uid="{00000000-0005-0000-0000-000045070000}"/>
    <cellStyle name="40% - Accent6 3 2 6 2 2" xfId="15990" xr:uid="{2C33455C-C0D0-4A8A-899A-908C646B385D}"/>
    <cellStyle name="40% - Accent6 3 2 6 3" xfId="11773" xr:uid="{72B1D07D-BE71-40AA-BD05-2B4307BBE414}"/>
    <cellStyle name="40% - Accent6 3 2 7" xfId="4598" xr:uid="{00000000-0005-0000-0000-000046070000}"/>
    <cellStyle name="40% - Accent6 3 2 7 2" xfId="13924" xr:uid="{40702999-B5A9-44C0-AFE8-70DB90102EBE}"/>
    <cellStyle name="40% - Accent6 3 2 8" xfId="9079" xr:uid="{7FA93E2E-699F-4676-8533-A3CC5F80D807}"/>
    <cellStyle name="40% - Accent6 3 2 8 2" xfId="18403" xr:uid="{F78F806F-1A92-4747-922D-D40AAA0417E0}"/>
    <cellStyle name="40% - Accent6 3 2 9" xfId="9707" xr:uid="{735766E3-5BD3-41DC-9D2C-1B99BCF4BC12}"/>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6F0BA00C-9764-4152-8955-86E0CC0311C8}"/>
    <cellStyle name="40% - Accent6 3 3 2 3" xfId="12265" xr:uid="{B0CE91DC-E94D-43C4-9682-BCC4B059D991}"/>
    <cellStyle name="40% - Accent6 3 3 3" xfId="5011" xr:uid="{00000000-0005-0000-0000-00004A070000}"/>
    <cellStyle name="40% - Accent6 3 3 3 2" xfId="14337" xr:uid="{66898DFC-A490-49A7-A4B5-7DB2D3C70143}"/>
    <cellStyle name="40% - Accent6 3 3 4" xfId="9297" xr:uid="{1226E28F-09E7-4580-8D19-7F14AC1CB4B3}"/>
    <cellStyle name="40% - Accent6 3 3 4 2" xfId="18612" xr:uid="{71C22C4D-157A-4EF6-8FB2-7A51C1B0CB8A}"/>
    <cellStyle name="40% - Accent6 3 3 5" xfId="10120" xr:uid="{E79E303B-4517-4945-9A6E-55B45F099747}"/>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53F5D78D-F2DA-4D06-B878-6869ABFF6891}"/>
    <cellStyle name="40% - Accent6 3 4 2 3" xfId="12678" xr:uid="{1B2D0BC8-5A6C-43E6-A801-4B12D43C9871}"/>
    <cellStyle name="40% - Accent6 3 4 3" xfId="5424" xr:uid="{00000000-0005-0000-0000-00004E070000}"/>
    <cellStyle name="40% - Accent6 3 4 3 2" xfId="14750" xr:uid="{EDA6C183-92DF-4B73-A59C-3F3A63D57431}"/>
    <cellStyle name="40% - Accent6 3 4 4" xfId="10533" xr:uid="{EE694348-5791-4277-9947-6059653C6950}"/>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753BDF2A-EBE6-49D4-BFC9-332EEEB3110C}"/>
    <cellStyle name="40% - Accent6 3 5 2 3" xfId="13091" xr:uid="{B95A276F-3BC2-4EE5-9ACC-0877B6CCE889}"/>
    <cellStyle name="40% - Accent6 3 5 3" xfId="5837" xr:uid="{00000000-0005-0000-0000-000052070000}"/>
    <cellStyle name="40% - Accent6 3 5 3 2" xfId="15163" xr:uid="{2607A2DC-6C13-484F-94D7-09D176FD47D1}"/>
    <cellStyle name="40% - Accent6 3 5 4" xfId="10946" xr:uid="{32C174B9-373E-42F8-9579-F359332A3D7C}"/>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E124483E-5FC5-484D-9F07-4E1D903300B2}"/>
    <cellStyle name="40% - Accent6 3 6 2 3" xfId="13504" xr:uid="{CBFB265F-7A73-4A76-8284-1CE8EAE2FD41}"/>
    <cellStyle name="40% - Accent6 3 6 3" xfId="6250" xr:uid="{00000000-0005-0000-0000-000056070000}"/>
    <cellStyle name="40% - Accent6 3 6 3 2" xfId="15576" xr:uid="{60EF179E-FB7B-4AD0-8930-E3E5E8324A15}"/>
    <cellStyle name="40% - Accent6 3 6 4" xfId="11359" xr:uid="{43B74E12-AD15-4726-B7D0-B25B6D5A92B2}"/>
    <cellStyle name="40% - Accent6 3 7" xfId="2357" xr:uid="{00000000-0005-0000-0000-000057070000}"/>
    <cellStyle name="40% - Accent6 3 7 2" xfId="6663" xr:uid="{00000000-0005-0000-0000-000058070000}"/>
    <cellStyle name="40% - Accent6 3 7 2 2" xfId="15989" xr:uid="{65657F26-6E49-4EC3-85B1-A1CD186E5AED}"/>
    <cellStyle name="40% - Accent6 3 7 3" xfId="11772" xr:uid="{9AE2238D-54F5-4F1B-93AA-B8F80CCDE42E}"/>
    <cellStyle name="40% - Accent6 3 8" xfId="4597" xr:uid="{00000000-0005-0000-0000-000059070000}"/>
    <cellStyle name="40% - Accent6 3 8 2" xfId="13923" xr:uid="{5142E2D6-100A-470A-A2A1-3FFD2EC73187}"/>
    <cellStyle name="40% - Accent6 3 9" xfId="8872" xr:uid="{E018AF0F-504E-4DED-BF70-CC97997D74E9}"/>
    <cellStyle name="40% - Accent6 3 9 2" xfId="18196" xr:uid="{86B771DB-8732-4886-B8AC-AFC3454F5193}"/>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F8C587C2-F1C4-4480-B0B0-DCB8BDDBDA51}"/>
    <cellStyle name="40% - Accent6 4 2 2 3" xfId="12267" xr:uid="{F1EDA8B4-14EC-44DF-80B5-DDC490E8CC27}"/>
    <cellStyle name="40% - Accent6 4 2 3" xfId="5013" xr:uid="{00000000-0005-0000-0000-00005E070000}"/>
    <cellStyle name="40% - Accent6 4 2 3 2" xfId="14339" xr:uid="{1E19C6CF-8303-46E1-ACB7-BC959E6BA05B}"/>
    <cellStyle name="40% - Accent6 4 2 4" xfId="9383" xr:uid="{07C7426F-B517-4815-A0BF-2BAE02B26B53}"/>
    <cellStyle name="40% - Accent6 4 2 4 2" xfId="18698" xr:uid="{9140C414-E776-4A5A-889C-B079D9665196}"/>
    <cellStyle name="40% - Accent6 4 2 5" xfId="10122" xr:uid="{B909339E-EE0F-45B4-AF3C-E1DAC1DD9691}"/>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D51E2573-5824-4A56-B3C0-9BE28B877FC5}"/>
    <cellStyle name="40% - Accent6 4 3 2 3" xfId="12680" xr:uid="{125FBA1D-BC44-4469-897D-CE056AB0CDF6}"/>
    <cellStyle name="40% - Accent6 4 3 3" xfId="5426" xr:uid="{00000000-0005-0000-0000-000062070000}"/>
    <cellStyle name="40% - Accent6 4 3 3 2" xfId="14752" xr:uid="{200E1AF3-BEBF-44DA-97C0-73E725112C51}"/>
    <cellStyle name="40% - Accent6 4 3 4" xfId="10535" xr:uid="{9EB4055D-559A-44EC-BAB1-70CC05E5B05F}"/>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8CA097DB-12DF-44F2-AD43-7349808E8768}"/>
    <cellStyle name="40% - Accent6 4 4 2 3" xfId="13093" xr:uid="{E40DE535-D88E-40F8-9B3A-3342A3E1B993}"/>
    <cellStyle name="40% - Accent6 4 4 3" xfId="5839" xr:uid="{00000000-0005-0000-0000-000066070000}"/>
    <cellStyle name="40% - Accent6 4 4 3 2" xfId="15165" xr:uid="{FF7185DE-22D7-49A2-A37D-8AE93596CCC2}"/>
    <cellStyle name="40% - Accent6 4 4 4" xfId="10948" xr:uid="{107EA3C6-10A7-445A-8CDF-6B7EADF0ECBE}"/>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D2FF2095-0F3A-4168-A82B-0C5962C76E7A}"/>
    <cellStyle name="40% - Accent6 4 5 2 3" xfId="13506" xr:uid="{112E9A73-840A-4D4D-9C7F-54EAA87347FF}"/>
    <cellStyle name="40% - Accent6 4 5 3" xfId="6252" xr:uid="{00000000-0005-0000-0000-00006A070000}"/>
    <cellStyle name="40% - Accent6 4 5 3 2" xfId="15578" xr:uid="{51EB9E0C-ADE6-4E13-AE40-6A480D2A26CF}"/>
    <cellStyle name="40% - Accent6 4 5 4" xfId="11361" xr:uid="{838DE613-FA92-4C9A-9E9C-5C22818760DD}"/>
    <cellStyle name="40% - Accent6 4 6" xfId="2359" xr:uid="{00000000-0005-0000-0000-00006B070000}"/>
    <cellStyle name="40% - Accent6 4 6 2" xfId="6665" xr:uid="{00000000-0005-0000-0000-00006C070000}"/>
    <cellStyle name="40% - Accent6 4 6 2 2" xfId="15991" xr:uid="{F067C03C-8569-477A-87E2-8DED0BA92EF8}"/>
    <cellStyle name="40% - Accent6 4 6 3" xfId="11774" xr:uid="{A7F77F00-4F57-4B5F-9C51-292170339766}"/>
    <cellStyle name="40% - Accent6 4 7" xfId="4599" xr:uid="{00000000-0005-0000-0000-00006D070000}"/>
    <cellStyle name="40% - Accent6 4 7 2" xfId="13925" xr:uid="{B79B9E91-7A1A-4780-BD39-DB2B53F68662}"/>
    <cellStyle name="40% - Accent6 4 8" xfId="8958" xr:uid="{058203D5-6D6D-4106-8D68-93F66B236239}"/>
    <cellStyle name="40% - Accent6 4 8 2" xfId="18282" xr:uid="{252F8942-B5D1-4512-B807-684F47C749CD}"/>
    <cellStyle name="40% - Accent6 4 9" xfId="9708" xr:uid="{377550D8-0E95-4A73-B6FB-DC872247E606}"/>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1710838D-0BE6-4C19-9086-26E5BC71B33B}"/>
    <cellStyle name="40% - Accent6 5 2 3" xfId="12260" xr:uid="{99028809-5F96-4597-B411-F1C4F7A9B8F0}"/>
    <cellStyle name="40% - Accent6 5 3" xfId="5006" xr:uid="{00000000-0005-0000-0000-000071070000}"/>
    <cellStyle name="40% - Accent6 5 3 2" xfId="14332" xr:uid="{A4F33DDA-BFEC-4135-8584-D3C75A9E7E9A}"/>
    <cellStyle name="40% - Accent6 5 4" xfId="9192" xr:uid="{19661A88-B46A-4EF9-A9F3-4BCF8E242108}"/>
    <cellStyle name="40% - Accent6 5 4 2" xfId="18509" xr:uid="{4225CBE6-B29A-47D5-B757-254D398AE719}"/>
    <cellStyle name="40% - Accent6 5 5" xfId="10115" xr:uid="{9EEE6620-9C07-445D-BDCB-30ADAF26C4FE}"/>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39DCBD79-4D34-43CB-BFA3-E4D7476B5B61}"/>
    <cellStyle name="40% - Accent6 6 2 3" xfId="12673" xr:uid="{18A002DD-5FAA-4A6D-9339-F001FC942587}"/>
    <cellStyle name="40% - Accent6 6 3" xfId="5419" xr:uid="{00000000-0005-0000-0000-000075070000}"/>
    <cellStyle name="40% - Accent6 6 3 2" xfId="14745" xr:uid="{904581E9-08F4-4331-8C6F-3D392BBD1417}"/>
    <cellStyle name="40% - Accent6 6 4" xfId="10528" xr:uid="{488BB374-9558-42BE-8BF3-7C11CBC98DCF}"/>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F419D2D0-5DF4-4286-B050-3EDDEAA310C4}"/>
    <cellStyle name="40% - Accent6 7 2 3" xfId="13086" xr:uid="{E289596C-9371-49DF-8D95-5EA16423C06A}"/>
    <cellStyle name="40% - Accent6 7 3" xfId="5832" xr:uid="{00000000-0005-0000-0000-000079070000}"/>
    <cellStyle name="40% - Accent6 7 3 2" xfId="15158" xr:uid="{F59BCDAD-D69A-4E76-BD8A-EB959DBF9BF5}"/>
    <cellStyle name="40% - Accent6 7 4" xfId="10941" xr:uid="{169D937C-0DCF-44D2-9D3D-FAC7EEABBC3F}"/>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EE0F70D7-8BDE-4422-9D49-F110BA34C76E}"/>
    <cellStyle name="40% - Accent6 8 2 3" xfId="13499" xr:uid="{2C33C721-C421-4545-93C4-5179B89CFB34}"/>
    <cellStyle name="40% - Accent6 8 3" xfId="6245" xr:uid="{00000000-0005-0000-0000-00007D070000}"/>
    <cellStyle name="40% - Accent6 8 3 2" xfId="15571" xr:uid="{FB4186EC-0C93-4CCD-832F-4BA1D2D1CFB6}"/>
    <cellStyle name="40% - Accent6 8 4" xfId="11354" xr:uid="{04D6A186-9CBA-48EE-A673-0D60C4528D05}"/>
    <cellStyle name="40% - Accent6 9" xfId="2352" xr:uid="{00000000-0005-0000-0000-00007E070000}"/>
    <cellStyle name="40% - Accent6 9 2" xfId="6658" xr:uid="{00000000-0005-0000-0000-00007F070000}"/>
    <cellStyle name="40% - Accent6 9 2 2" xfId="15984" xr:uid="{EC0E051C-220E-429F-9D8A-3528BD23D366}"/>
    <cellStyle name="40% - Accent6 9 3" xfId="11767" xr:uid="{7619CA6E-34D4-4B64-98F6-2BE9AC91706A}"/>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5A53095C-0BF2-4735-ADC4-D256CE3FF2EA}"/>
    <cellStyle name="Comma 4 2 2 2 10 3" xfId="12092" xr:uid="{41A640FA-DF41-4460-B05D-12B47C2F76AB}"/>
    <cellStyle name="Comma 4 2 2 2 11" xfId="4600" xr:uid="{00000000-0005-0000-0000-0000A3070000}"/>
    <cellStyle name="Comma 4 2 2 2 11 2" xfId="13926" xr:uid="{BF51C32A-AD9E-4F25-82C7-C1EFCA18BF49}"/>
    <cellStyle name="Comma 4 2 2 2 12" xfId="8806" xr:uid="{6C773D0B-D2E3-4A8C-B041-8DA2843B9E25}"/>
    <cellStyle name="Comma 4 2 2 2 12 2" xfId="18130" xr:uid="{32414C3B-57A7-4EB2-A2A3-F7CE41EAE094}"/>
    <cellStyle name="Comma 4 2 2 2 13" xfId="9709" xr:uid="{8234E0EC-7D50-4DD3-A56F-EA138368210B}"/>
    <cellStyle name="Comma 4 2 2 2 2" xfId="129" xr:uid="{00000000-0005-0000-0000-0000A4070000}"/>
    <cellStyle name="Comma 4 2 2 2 2 10" xfId="4601" xr:uid="{00000000-0005-0000-0000-0000A5070000}"/>
    <cellStyle name="Comma 4 2 2 2 2 10 2" xfId="13927" xr:uid="{0AE312EE-7817-4F83-8EAE-A55A3E8C1C87}"/>
    <cellStyle name="Comma 4 2 2 2 2 11" xfId="8909" xr:uid="{477FCE05-1F49-4658-A03C-A8A5E7983C47}"/>
    <cellStyle name="Comma 4 2 2 2 2 11 2" xfId="18233" xr:uid="{354FFF42-D19B-4957-9AD6-05FE75677020}"/>
    <cellStyle name="Comma 4 2 2 2 2 12" xfId="9710" xr:uid="{217F0F23-941E-40B5-97D9-572619C9FD10}"/>
    <cellStyle name="Comma 4 2 2 2 2 2" xfId="130" xr:uid="{00000000-0005-0000-0000-0000A6070000}"/>
    <cellStyle name="Comma 4 2 2 2 2 2 10" xfId="9116" xr:uid="{7A07505D-6B4C-4086-90B5-B5D345FB7611}"/>
    <cellStyle name="Comma 4 2 2 2 2 2 10 2" xfId="18440" xr:uid="{5730AB54-411E-484F-AC7E-C3589BA8D4BD}"/>
    <cellStyle name="Comma 4 2 2 2 2 2 11" xfId="9711" xr:uid="{1935CE1D-C465-4CDE-A376-DA8B9A69AF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F1A46407-B59C-4033-9490-9AC3A5D95A4E}"/>
    <cellStyle name="Comma 4 2 2 2 2 2 2 2 3" xfId="12270" xr:uid="{995222E1-07CE-4D4F-90F4-8DFBC9E9F5E8}"/>
    <cellStyle name="Comma 4 2 2 2 2 2 2 3" xfId="5016" xr:uid="{00000000-0005-0000-0000-0000AA070000}"/>
    <cellStyle name="Comma 4 2 2 2 2 2 2 3 2" xfId="14342" xr:uid="{ECB299EA-A663-4D66-914E-C54DC3A35338}"/>
    <cellStyle name="Comma 4 2 2 2 2 2 2 4" xfId="9541" xr:uid="{21DC771E-83A2-48BA-BE40-3E9E8454DE28}"/>
    <cellStyle name="Comma 4 2 2 2 2 2 2 4 2" xfId="18856" xr:uid="{D15FAD17-7FA2-42F7-BC3D-BFA557299F38}"/>
    <cellStyle name="Comma 4 2 2 2 2 2 2 5" xfId="10125" xr:uid="{936E5AD2-4C11-4ACE-9C14-3694E89CAB45}"/>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7FC6AB24-5D3F-4B62-9DC9-36EA7F8B06D7}"/>
    <cellStyle name="Comma 4 2 2 2 2 2 3 2 3" xfId="12683" xr:uid="{F482B563-D78D-4D96-9116-D78441C0A569}"/>
    <cellStyle name="Comma 4 2 2 2 2 2 3 3" xfId="5429" xr:uid="{00000000-0005-0000-0000-0000AE070000}"/>
    <cellStyle name="Comma 4 2 2 2 2 2 3 3 2" xfId="14755" xr:uid="{F0D9CF8A-5DC9-4C66-B1A8-1A2332CBB743}"/>
    <cellStyle name="Comma 4 2 2 2 2 2 3 4" xfId="10538" xr:uid="{F25B38FE-63DF-4CEC-84A3-D86E73C303B1}"/>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ED0A5D9C-D3D8-4AF8-A8C5-31C6CFECB4A2}"/>
    <cellStyle name="Comma 4 2 2 2 2 2 4 2 3" xfId="13096" xr:uid="{C33D4712-3293-4AE6-B6C1-D3036D017A71}"/>
    <cellStyle name="Comma 4 2 2 2 2 2 4 3" xfId="5842" xr:uid="{00000000-0005-0000-0000-0000B2070000}"/>
    <cellStyle name="Comma 4 2 2 2 2 2 4 3 2" xfId="15168" xr:uid="{25640CD7-A6D8-4E50-AA7A-0AC22F16A775}"/>
    <cellStyle name="Comma 4 2 2 2 2 2 4 4" xfId="10951" xr:uid="{FD9E2359-589C-4488-B0EC-25B8763B431A}"/>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B1DAA416-42A0-4C1E-AD0C-5E6464ADBBD7}"/>
    <cellStyle name="Comma 4 2 2 2 2 2 5 2 3" xfId="13509" xr:uid="{B1C14F95-969A-4071-9CF0-3F9B8006657A}"/>
    <cellStyle name="Comma 4 2 2 2 2 2 5 3" xfId="6255" xr:uid="{00000000-0005-0000-0000-0000B6070000}"/>
    <cellStyle name="Comma 4 2 2 2 2 2 5 3 2" xfId="15581" xr:uid="{B57361C2-8664-4A5F-BCC4-8AA83986D318}"/>
    <cellStyle name="Comma 4 2 2 2 2 2 5 4" xfId="11364" xr:uid="{EFF5C33D-1466-47DB-8AFB-25135EC7FD31}"/>
    <cellStyle name="Comma 4 2 2 2 2 2 6" xfId="2384" xr:uid="{00000000-0005-0000-0000-0000B7070000}"/>
    <cellStyle name="Comma 4 2 2 2 2 2 6 2" xfId="6668" xr:uid="{00000000-0005-0000-0000-0000B8070000}"/>
    <cellStyle name="Comma 4 2 2 2 2 2 6 2 2" xfId="15994" xr:uid="{F5048780-DEA8-4968-A177-9F4ED2655466}"/>
    <cellStyle name="Comma 4 2 2 2 2 2 6 3" xfId="11777" xr:uid="{BD06A8D8-51FD-437B-BF41-776B9FCEECBA}"/>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77DDF178-3C69-4126-A20E-4127F8BF9FBA}"/>
    <cellStyle name="Comma 4 2 2 2 2 2 8 3" xfId="12094" xr:uid="{842E18C3-3CE8-4B56-85EE-8FBB175CAD32}"/>
    <cellStyle name="Comma 4 2 2 2 2 2 9" xfId="4602" xr:uid="{00000000-0005-0000-0000-0000BC070000}"/>
    <cellStyle name="Comma 4 2 2 2 2 2 9 2" xfId="13928" xr:uid="{F4295DBB-1C6D-4667-B590-88D08FD10499}"/>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FE508488-165D-47A4-A1E0-81B1AD22F960}"/>
    <cellStyle name="Comma 4 2 2 2 2 3 2 3" xfId="12269" xr:uid="{4F51548F-60DD-4A31-BFD4-ABE215C3D41F}"/>
    <cellStyle name="Comma 4 2 2 2 2 3 3" xfId="5015" xr:uid="{00000000-0005-0000-0000-0000C0070000}"/>
    <cellStyle name="Comma 4 2 2 2 2 3 3 2" xfId="14341" xr:uid="{E8CC093C-CD5C-4F55-9733-80BF73694FF5}"/>
    <cellStyle name="Comma 4 2 2 2 2 3 4" xfId="9334" xr:uid="{50E8807F-6450-4082-BD30-0A86C2E78D0E}"/>
    <cellStyle name="Comma 4 2 2 2 2 3 4 2" xfId="18649" xr:uid="{89F89392-DE38-451D-89C5-4A3843AFBD64}"/>
    <cellStyle name="Comma 4 2 2 2 2 3 5" xfId="10124" xr:uid="{7AAB20A3-B986-4BC9-9AD8-D9B241CAB016}"/>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2E684F17-ED58-4DCA-AF3E-EA2B3D44BD43}"/>
    <cellStyle name="Comma 4 2 2 2 2 4 2 3" xfId="12682" xr:uid="{40A0E801-9DC5-4F78-A9EE-162D2F694B2E}"/>
    <cellStyle name="Comma 4 2 2 2 2 4 3" xfId="5428" xr:uid="{00000000-0005-0000-0000-0000C4070000}"/>
    <cellStyle name="Comma 4 2 2 2 2 4 3 2" xfId="14754" xr:uid="{0A98716F-B5C4-4832-8DF8-A6B060CFBC96}"/>
    <cellStyle name="Comma 4 2 2 2 2 4 4" xfId="10537" xr:uid="{E6CFC062-8796-4B66-8FD3-AA7A8863D148}"/>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54882129-E789-4BA8-B893-DCA26FC287C0}"/>
    <cellStyle name="Comma 4 2 2 2 2 5 2 3" xfId="13095" xr:uid="{31501B41-3B28-4470-B198-077BA2191811}"/>
    <cellStyle name="Comma 4 2 2 2 2 5 3" xfId="5841" xr:uid="{00000000-0005-0000-0000-0000C8070000}"/>
    <cellStyle name="Comma 4 2 2 2 2 5 3 2" xfId="15167" xr:uid="{CF455F16-D77F-4BEF-87DF-F6F9D9AF6E2D}"/>
    <cellStyle name="Comma 4 2 2 2 2 5 4" xfId="10950" xr:uid="{C8E14561-E154-40E0-845E-4729A753F0A3}"/>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EC9C9263-2EC7-4474-8C09-DE03CA80834F}"/>
    <cellStyle name="Comma 4 2 2 2 2 6 2 3" xfId="13508" xr:uid="{78E8ABB5-569F-48A6-98AD-49E455BFDD52}"/>
    <cellStyle name="Comma 4 2 2 2 2 6 3" xfId="6254" xr:uid="{00000000-0005-0000-0000-0000CC070000}"/>
    <cellStyle name="Comma 4 2 2 2 2 6 3 2" xfId="15580" xr:uid="{4DF5E083-B3A5-4A34-B56E-06C768B2E6E3}"/>
    <cellStyle name="Comma 4 2 2 2 2 6 4" xfId="11363" xr:uid="{D54B763E-43B2-4F1E-AEAA-770709EA7C14}"/>
    <cellStyle name="Comma 4 2 2 2 2 7" xfId="2383" xr:uid="{00000000-0005-0000-0000-0000CD070000}"/>
    <cellStyle name="Comma 4 2 2 2 2 7 2" xfId="6667" xr:uid="{00000000-0005-0000-0000-0000CE070000}"/>
    <cellStyle name="Comma 4 2 2 2 2 7 2 2" xfId="15993" xr:uid="{08CF837D-E5F2-4D7F-8F60-C340B3F8D318}"/>
    <cellStyle name="Comma 4 2 2 2 2 7 3" xfId="11776" xr:uid="{57C8006F-C594-4C7B-8130-BBB25EA70E90}"/>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4B5A9365-AECA-4A51-BA9A-5B7206F4EA26}"/>
    <cellStyle name="Comma 4 2 2 2 2 9 3" xfId="12093" xr:uid="{A70BFE1D-6088-493D-A7AC-30D11AB2F7DD}"/>
    <cellStyle name="Comma 4 2 2 2 3" xfId="131" xr:uid="{00000000-0005-0000-0000-0000D2070000}"/>
    <cellStyle name="Comma 4 2 2 2 3 10" xfId="9013" xr:uid="{D7491CA1-A7A0-4099-A659-9FB418CDDACA}"/>
    <cellStyle name="Comma 4 2 2 2 3 10 2" xfId="18337" xr:uid="{6DF58DC9-3ED8-4F5D-980B-B9A8B5A4D3D7}"/>
    <cellStyle name="Comma 4 2 2 2 3 11" xfId="9712" xr:uid="{419FAE7F-572F-4046-B08E-D2E496CD134E}"/>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6F36B5C6-FE94-4DAE-93EC-939C74DB39F9}"/>
    <cellStyle name="Comma 4 2 2 2 3 2 2 3" xfId="12271" xr:uid="{9C6F2914-53B4-4396-8EE3-455722C7600E}"/>
    <cellStyle name="Comma 4 2 2 2 3 2 3" xfId="5017" xr:uid="{00000000-0005-0000-0000-0000D6070000}"/>
    <cellStyle name="Comma 4 2 2 2 3 2 3 2" xfId="14343" xr:uid="{80F3E76E-50A7-4BD1-9DEE-CED2D04C5C92}"/>
    <cellStyle name="Comma 4 2 2 2 3 2 4" xfId="9438" xr:uid="{8E9C4341-814A-43D1-8D35-8CCC512A2E32}"/>
    <cellStyle name="Comma 4 2 2 2 3 2 4 2" xfId="18753" xr:uid="{42640CE1-1AD1-4415-8A17-56D6F1557F53}"/>
    <cellStyle name="Comma 4 2 2 2 3 2 5" xfId="10126" xr:uid="{1B6970DF-30CA-476F-AE60-4E1A5CC8FD68}"/>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80A7B60C-29FB-498F-A07E-0D68034ED1AB}"/>
    <cellStyle name="Comma 4 2 2 2 3 3 2 3" xfId="12684" xr:uid="{EAF8B275-7A75-4297-95B0-D0352517A24E}"/>
    <cellStyle name="Comma 4 2 2 2 3 3 3" xfId="5430" xr:uid="{00000000-0005-0000-0000-0000DA070000}"/>
    <cellStyle name="Comma 4 2 2 2 3 3 3 2" xfId="14756" xr:uid="{78DEA404-4EA6-44A1-8B86-137FDCF53DD8}"/>
    <cellStyle name="Comma 4 2 2 2 3 3 4" xfId="10539" xr:uid="{1D5F4929-50AF-4B7B-8834-C119F47C6439}"/>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D89A54F1-D9B4-4FAF-A8AF-69FB95A6B49D}"/>
    <cellStyle name="Comma 4 2 2 2 3 4 2 3" xfId="13097" xr:uid="{71FC2462-6661-4060-B294-8C23781B6F1A}"/>
    <cellStyle name="Comma 4 2 2 2 3 4 3" xfId="5843" xr:uid="{00000000-0005-0000-0000-0000DE070000}"/>
    <cellStyle name="Comma 4 2 2 2 3 4 3 2" xfId="15169" xr:uid="{50273B4A-605D-416D-A197-13926A33BCBB}"/>
    <cellStyle name="Comma 4 2 2 2 3 4 4" xfId="10952" xr:uid="{08347614-17ED-4FD1-B7ED-8A060EA2E0BA}"/>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587A3A7F-9E05-4975-B5A5-F6C38687E346}"/>
    <cellStyle name="Comma 4 2 2 2 3 5 2 3" xfId="13510" xr:uid="{725745C0-631B-4696-AC35-8FB63C4CFB85}"/>
    <cellStyle name="Comma 4 2 2 2 3 5 3" xfId="6256" xr:uid="{00000000-0005-0000-0000-0000E2070000}"/>
    <cellStyle name="Comma 4 2 2 2 3 5 3 2" xfId="15582" xr:uid="{827D24E0-F93A-4B52-80BA-2F1545A39864}"/>
    <cellStyle name="Comma 4 2 2 2 3 5 4" xfId="11365" xr:uid="{3109557D-14C6-44B9-A12A-EB37850CCACB}"/>
    <cellStyle name="Comma 4 2 2 2 3 6" xfId="2385" xr:uid="{00000000-0005-0000-0000-0000E3070000}"/>
    <cellStyle name="Comma 4 2 2 2 3 6 2" xfId="6669" xr:uid="{00000000-0005-0000-0000-0000E4070000}"/>
    <cellStyle name="Comma 4 2 2 2 3 6 2 2" xfId="15995" xr:uid="{DF3EA25C-3137-4440-88ED-86F1484F453A}"/>
    <cellStyle name="Comma 4 2 2 2 3 6 3" xfId="11778" xr:uid="{AC35F9CC-8A05-485C-8B61-EF32890BE121}"/>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E9376EF3-2597-439D-8FEC-962BEC0DC1DC}"/>
    <cellStyle name="Comma 4 2 2 2 3 8 3" xfId="12095" xr:uid="{519FAE23-FFB5-4B66-B4A4-B7AE62BAF375}"/>
    <cellStyle name="Comma 4 2 2 2 3 9" xfId="4603" xr:uid="{00000000-0005-0000-0000-0000E8070000}"/>
    <cellStyle name="Comma 4 2 2 2 3 9 2" xfId="13929" xr:uid="{F06D8611-717A-4865-A190-518388EC3F71}"/>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ADBDEF3C-8516-4EF3-B9CF-AC10D0815B30}"/>
    <cellStyle name="Comma 4 2 2 2 4 2 3" xfId="12268" xr:uid="{54946A6F-A42D-44AF-B536-F1C87E13D021}"/>
    <cellStyle name="Comma 4 2 2 2 4 3" xfId="5014" xr:uid="{00000000-0005-0000-0000-0000EC070000}"/>
    <cellStyle name="Comma 4 2 2 2 4 3 2" xfId="14340" xr:uid="{9DD3C13F-634F-481C-9BB3-48807748EBA2}"/>
    <cellStyle name="Comma 4 2 2 2 4 4" xfId="9231" xr:uid="{31DAC97A-9492-467B-9850-183797A56FBE}"/>
    <cellStyle name="Comma 4 2 2 2 4 4 2" xfId="18546" xr:uid="{30CA219A-305D-416C-900B-8E5CFD59885D}"/>
    <cellStyle name="Comma 4 2 2 2 4 5" xfId="10123" xr:uid="{A44D9AB2-03E6-46DD-A34C-EECD0D731F70}"/>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653E6044-93A1-429A-A7A3-201011B5BC32}"/>
    <cellStyle name="Comma 4 2 2 2 5 2 3" xfId="12681" xr:uid="{BB2E96FB-537E-4747-9BB2-20AE8299FB35}"/>
    <cellStyle name="Comma 4 2 2 2 5 3" xfId="5427" xr:uid="{00000000-0005-0000-0000-0000F0070000}"/>
    <cellStyle name="Comma 4 2 2 2 5 3 2" xfId="14753" xr:uid="{B2256077-E31B-492F-BCF6-7966655A7D34}"/>
    <cellStyle name="Comma 4 2 2 2 5 4" xfId="10536" xr:uid="{60E55DB0-33D6-47EC-85A0-AAD70E8E1DA4}"/>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0DFA555E-FE53-4699-BE8E-E17A4E220556}"/>
    <cellStyle name="Comma 4 2 2 2 6 2 3" xfId="13094" xr:uid="{4C8BFF1C-F687-48BD-8184-84C6C680914B}"/>
    <cellStyle name="Comma 4 2 2 2 6 3" xfId="5840" xr:uid="{00000000-0005-0000-0000-0000F4070000}"/>
    <cellStyle name="Comma 4 2 2 2 6 3 2" xfId="15166" xr:uid="{A162171B-56C6-4223-A1BC-18EAED001A66}"/>
    <cellStyle name="Comma 4 2 2 2 6 4" xfId="10949" xr:uid="{283A6C98-800D-4256-A515-854867594890}"/>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32BF4F6C-D371-4E6B-813F-C808D8E5698E}"/>
    <cellStyle name="Comma 4 2 2 2 7 2 3" xfId="13507" xr:uid="{40BE955E-B563-4262-AC7E-A845D62FF7B3}"/>
    <cellStyle name="Comma 4 2 2 2 7 3" xfId="6253" xr:uid="{00000000-0005-0000-0000-0000F8070000}"/>
    <cellStyle name="Comma 4 2 2 2 7 3 2" xfId="15579" xr:uid="{F74A9809-3049-4128-A3E5-77C3BA47515C}"/>
    <cellStyle name="Comma 4 2 2 2 7 4" xfId="11362" xr:uid="{D0EC3CC2-0EE3-4672-90FB-38056320B8AE}"/>
    <cellStyle name="Comma 4 2 2 2 8" xfId="2382" xr:uid="{00000000-0005-0000-0000-0000F9070000}"/>
    <cellStyle name="Comma 4 2 2 2 8 2" xfId="6666" xr:uid="{00000000-0005-0000-0000-0000FA070000}"/>
    <cellStyle name="Comma 4 2 2 2 8 2 2" xfId="15992" xr:uid="{192A3AF0-7411-4889-B871-781B6AE86A27}"/>
    <cellStyle name="Comma 4 2 2 2 8 3" xfId="11775" xr:uid="{468E12D7-BD12-4956-A154-6B9891EF71C5}"/>
    <cellStyle name="Comma 4 2 2 2 9" xfId="2381" xr:uid="{00000000-0005-0000-0000-0000FB070000}"/>
    <cellStyle name="Comma 4 2 2 3" xfId="132" xr:uid="{00000000-0005-0000-0000-0000FC070000}"/>
    <cellStyle name="Comma 4 2 2 3 10" xfId="4604" xr:uid="{00000000-0005-0000-0000-0000FD070000}"/>
    <cellStyle name="Comma 4 2 2 3 10 2" xfId="13930" xr:uid="{73BB56AD-9D85-4AFC-93A4-511828B4B5F0}"/>
    <cellStyle name="Comma 4 2 2 3 11" xfId="8889" xr:uid="{93813409-C042-4436-8561-B0237A135E7D}"/>
    <cellStyle name="Comma 4 2 2 3 11 2" xfId="18213" xr:uid="{0100341F-AFCB-444B-9909-6F5E7C69EAA7}"/>
    <cellStyle name="Comma 4 2 2 3 12" xfId="9713" xr:uid="{A7AADEBA-6E27-4816-8443-E915E5CA5479}"/>
    <cellStyle name="Comma 4 2 2 3 2" xfId="133" xr:uid="{00000000-0005-0000-0000-0000FE070000}"/>
    <cellStyle name="Comma 4 2 2 3 2 10" xfId="9096" xr:uid="{C395B6CC-7E3E-452B-B5AB-BBF992A45CEB}"/>
    <cellStyle name="Comma 4 2 2 3 2 10 2" xfId="18420" xr:uid="{032E0BC4-2D0A-4457-9B9F-A0DB7BE1528F}"/>
    <cellStyle name="Comma 4 2 2 3 2 11" xfId="9714" xr:uid="{FCF8AB16-8C3D-4422-980B-692BB1ED2414}"/>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565B6CF9-519F-42E3-BFC0-E9E9847BFAE9}"/>
    <cellStyle name="Comma 4 2 2 3 2 2 2 3" xfId="12273" xr:uid="{6AE8B7DA-A13A-40FD-A64B-42CECB9C1344}"/>
    <cellStyle name="Comma 4 2 2 3 2 2 3" xfId="5019" xr:uid="{00000000-0005-0000-0000-000002080000}"/>
    <cellStyle name="Comma 4 2 2 3 2 2 3 2" xfId="14345" xr:uid="{3430FAB1-8239-40B6-8C9F-4E98AFA0B7D4}"/>
    <cellStyle name="Comma 4 2 2 3 2 2 4" xfId="9521" xr:uid="{8F14F654-C711-4E70-8A06-71F68E70E2E0}"/>
    <cellStyle name="Comma 4 2 2 3 2 2 4 2" xfId="18836" xr:uid="{1E465A2A-3EBA-41EB-963B-DA0DC4742189}"/>
    <cellStyle name="Comma 4 2 2 3 2 2 5" xfId="10128" xr:uid="{3BD78A86-3967-4398-BB3F-9B3B35CF29E5}"/>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1A6809F5-AE69-469C-960E-4A58A08B8981}"/>
    <cellStyle name="Comma 4 2 2 3 2 3 2 3" xfId="12686" xr:uid="{D42AAC0A-D07B-44D5-BABA-ACCA30AB63C8}"/>
    <cellStyle name="Comma 4 2 2 3 2 3 3" xfId="5432" xr:uid="{00000000-0005-0000-0000-000006080000}"/>
    <cellStyle name="Comma 4 2 2 3 2 3 3 2" xfId="14758" xr:uid="{E8AB1BBD-B3E6-4279-9F09-5903B7DF2B91}"/>
    <cellStyle name="Comma 4 2 2 3 2 3 4" xfId="10541" xr:uid="{87DF6198-FE0B-48A6-9E54-188988786F30}"/>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724E9F89-0393-4163-AF3E-A6DD11E52D66}"/>
    <cellStyle name="Comma 4 2 2 3 2 4 2 3" xfId="13099" xr:uid="{1294A312-01B8-4291-881A-9D6348FB41D3}"/>
    <cellStyle name="Comma 4 2 2 3 2 4 3" xfId="5845" xr:uid="{00000000-0005-0000-0000-00000A080000}"/>
    <cellStyle name="Comma 4 2 2 3 2 4 3 2" xfId="15171" xr:uid="{92C389A1-3E13-4207-BA23-448B997B3B03}"/>
    <cellStyle name="Comma 4 2 2 3 2 4 4" xfId="10954" xr:uid="{BCC67804-3201-4493-B1B2-D940B08F42EF}"/>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1E53E5B2-9084-427D-977B-6044D72EDC05}"/>
    <cellStyle name="Comma 4 2 2 3 2 5 2 3" xfId="13512" xr:uid="{FE4B275F-21CB-4B09-BFC5-F2B631B1CD18}"/>
    <cellStyle name="Comma 4 2 2 3 2 5 3" xfId="6258" xr:uid="{00000000-0005-0000-0000-00000E080000}"/>
    <cellStyle name="Comma 4 2 2 3 2 5 3 2" xfId="15584" xr:uid="{45DC345D-4571-4E34-971D-DB00A94DDEEB}"/>
    <cellStyle name="Comma 4 2 2 3 2 5 4" xfId="11367" xr:uid="{256C2B96-BEA0-4402-8652-04B26964AD6D}"/>
    <cellStyle name="Comma 4 2 2 3 2 6" xfId="2387" xr:uid="{00000000-0005-0000-0000-00000F080000}"/>
    <cellStyle name="Comma 4 2 2 3 2 6 2" xfId="6671" xr:uid="{00000000-0005-0000-0000-000010080000}"/>
    <cellStyle name="Comma 4 2 2 3 2 6 2 2" xfId="15997" xr:uid="{64B2C6FB-4677-42B8-87DA-CFFBBDF73CC9}"/>
    <cellStyle name="Comma 4 2 2 3 2 6 3" xfId="11780" xr:uid="{36E19E19-16DF-431E-832E-6410136C021D}"/>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98216F30-E560-42AF-9AC7-AA3C6B69DCA3}"/>
    <cellStyle name="Comma 4 2 2 3 2 8 3" xfId="12097" xr:uid="{D427104E-E7A0-4078-B424-68E9407738DF}"/>
    <cellStyle name="Comma 4 2 2 3 2 9" xfId="4605" xr:uid="{00000000-0005-0000-0000-000014080000}"/>
    <cellStyle name="Comma 4 2 2 3 2 9 2" xfId="13931" xr:uid="{2CAF6682-4B71-4D06-8012-81AEB229A006}"/>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A269E82E-3315-48A9-B8F0-D8F89FEB7D25}"/>
    <cellStyle name="Comma 4 2 2 3 3 2 3" xfId="12272" xr:uid="{DEAC531D-C870-4165-94C9-82CDEA2CDA43}"/>
    <cellStyle name="Comma 4 2 2 3 3 3" xfId="5018" xr:uid="{00000000-0005-0000-0000-000018080000}"/>
    <cellStyle name="Comma 4 2 2 3 3 3 2" xfId="14344" xr:uid="{50F88743-A858-4278-83C9-3DA8EAE47354}"/>
    <cellStyle name="Comma 4 2 2 3 3 4" xfId="9314" xr:uid="{A74197AE-1229-40FC-8212-8FB289D74FF6}"/>
    <cellStyle name="Comma 4 2 2 3 3 4 2" xfId="18629" xr:uid="{199FF4F4-5470-4F8B-AF07-6D750E8DC715}"/>
    <cellStyle name="Comma 4 2 2 3 3 5" xfId="10127" xr:uid="{6A94EAD0-F16D-497D-ACD5-DEC0A14D590D}"/>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3245DBC7-F617-4CB4-8B5E-AC7C562C8F3E}"/>
    <cellStyle name="Comma 4 2 2 3 4 2 3" xfId="12685" xr:uid="{84EC9409-EDA5-4DA1-AC3D-A8EC12F313F0}"/>
    <cellStyle name="Comma 4 2 2 3 4 3" xfId="5431" xr:uid="{00000000-0005-0000-0000-00001C080000}"/>
    <cellStyle name="Comma 4 2 2 3 4 3 2" xfId="14757" xr:uid="{7170CBBD-6505-46A8-9727-F1CC3112FED5}"/>
    <cellStyle name="Comma 4 2 2 3 4 4" xfId="10540" xr:uid="{2EA93C94-CD68-4261-BB4D-EAE341788C83}"/>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F0AFE81D-971E-45DF-AC3C-19ABDF980A69}"/>
    <cellStyle name="Comma 4 2 2 3 5 2 3" xfId="13098" xr:uid="{4C6B62B4-9338-4990-AD0F-D3175A63AF44}"/>
    <cellStyle name="Comma 4 2 2 3 5 3" xfId="5844" xr:uid="{00000000-0005-0000-0000-000020080000}"/>
    <cellStyle name="Comma 4 2 2 3 5 3 2" xfId="15170" xr:uid="{C2C0942B-7293-483D-A437-A95B68920ACD}"/>
    <cellStyle name="Comma 4 2 2 3 5 4" xfId="10953" xr:uid="{5686FF58-B13A-4BCC-B038-C18A92DC0DC5}"/>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DA6E01CB-208C-4902-A109-23E4BBFEF6ED}"/>
    <cellStyle name="Comma 4 2 2 3 6 2 3" xfId="13511" xr:uid="{CD1D18E3-D2D5-4ADE-9D9D-92B59739CD8B}"/>
    <cellStyle name="Comma 4 2 2 3 6 3" xfId="6257" xr:uid="{00000000-0005-0000-0000-000024080000}"/>
    <cellStyle name="Comma 4 2 2 3 6 3 2" xfId="15583" xr:uid="{AD9DF453-E220-4090-AD48-E20950E5F1C6}"/>
    <cellStyle name="Comma 4 2 2 3 6 4" xfId="11366" xr:uid="{C3BAD589-D1A7-4955-B1B8-6E3EA52A8FEF}"/>
    <cellStyle name="Comma 4 2 2 3 7" xfId="2386" xr:uid="{00000000-0005-0000-0000-000025080000}"/>
    <cellStyle name="Comma 4 2 2 3 7 2" xfId="6670" xr:uid="{00000000-0005-0000-0000-000026080000}"/>
    <cellStyle name="Comma 4 2 2 3 7 2 2" xfId="15996" xr:uid="{63E2D87B-5962-42B2-B83E-078CEE3944CE}"/>
    <cellStyle name="Comma 4 2 2 3 7 3" xfId="11779" xr:uid="{8A3AD3B3-006E-4FA4-B23F-3D09B26D9DF1}"/>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85C8F7A4-DBCA-4E4A-82DA-D0AB945F8C69}"/>
    <cellStyle name="Comma 4 2 2 3 9 3" xfId="12096" xr:uid="{A4FEBFDF-DC49-41C2-B8CB-BFBAF9BD0587}"/>
    <cellStyle name="Comma 4 2 2 4" xfId="134" xr:uid="{00000000-0005-0000-0000-00002A080000}"/>
    <cellStyle name="Comma 4 2 2 4 10" xfId="8993" xr:uid="{2969CB69-37C4-4C43-BC9D-87F92556F829}"/>
    <cellStyle name="Comma 4 2 2 4 10 2" xfId="18317" xr:uid="{151EF9B9-A9F4-45E0-ADB9-D522A0BEE163}"/>
    <cellStyle name="Comma 4 2 2 4 11" xfId="9715" xr:uid="{F2CF2A89-31A9-4BE2-953D-8C4002E1490D}"/>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82E80368-1732-47F7-91E0-409310C5452F}"/>
    <cellStyle name="Comma 4 2 2 4 2 2 3" xfId="12274" xr:uid="{13B8C0E5-4DAE-4186-90EF-3011CCA29BD5}"/>
    <cellStyle name="Comma 4 2 2 4 2 3" xfId="5020" xr:uid="{00000000-0005-0000-0000-00002E080000}"/>
    <cellStyle name="Comma 4 2 2 4 2 3 2" xfId="14346" xr:uid="{971F6F44-7985-4C9D-8C05-E1DE804F2980}"/>
    <cellStyle name="Comma 4 2 2 4 2 4" xfId="9418" xr:uid="{F2EB07B7-2227-485D-9411-A8F75EC2F9DA}"/>
    <cellStyle name="Comma 4 2 2 4 2 4 2" xfId="18733" xr:uid="{317E654E-D599-4A55-AE52-F1181E5A4D28}"/>
    <cellStyle name="Comma 4 2 2 4 2 5" xfId="10129" xr:uid="{5EC7C7CC-741C-4878-BAD7-3AACA661BA76}"/>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F9427657-0717-4F08-A86B-2E9CF680B5BB}"/>
    <cellStyle name="Comma 4 2 2 4 3 2 3" xfId="12687" xr:uid="{004853DA-7507-4670-AB96-D29345C12870}"/>
    <cellStyle name="Comma 4 2 2 4 3 3" xfId="5433" xr:uid="{00000000-0005-0000-0000-000032080000}"/>
    <cellStyle name="Comma 4 2 2 4 3 3 2" xfId="14759" xr:uid="{6FB03A6A-E7B9-45CA-990F-5C01802C4DC2}"/>
    <cellStyle name="Comma 4 2 2 4 3 4" xfId="10542" xr:uid="{23C9B34B-6C23-48AA-A9CE-44019C074AD5}"/>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F966FBD6-0F77-4B48-8C0B-218550FF1910}"/>
    <cellStyle name="Comma 4 2 2 4 4 2 3" xfId="13100" xr:uid="{6B9DA359-BA75-4E57-AF34-181F18C3C8CD}"/>
    <cellStyle name="Comma 4 2 2 4 4 3" xfId="5846" xr:uid="{00000000-0005-0000-0000-000036080000}"/>
    <cellStyle name="Comma 4 2 2 4 4 3 2" xfId="15172" xr:uid="{9D76F98E-479D-42F5-9071-B95DEF738AF4}"/>
    <cellStyle name="Comma 4 2 2 4 4 4" xfId="10955" xr:uid="{C06046B4-C6D0-432A-923F-9AAC1C674D66}"/>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CF338BD0-CEB4-4320-9EEB-FC8E38CDD1A6}"/>
    <cellStyle name="Comma 4 2 2 4 5 2 3" xfId="13513" xr:uid="{3754E7CF-02FB-44F9-98B0-24AF45060BBA}"/>
    <cellStyle name="Comma 4 2 2 4 5 3" xfId="6259" xr:uid="{00000000-0005-0000-0000-00003A080000}"/>
    <cellStyle name="Comma 4 2 2 4 5 3 2" xfId="15585" xr:uid="{FF48AE30-A904-4FA3-A2A8-5042C489A725}"/>
    <cellStyle name="Comma 4 2 2 4 5 4" xfId="11368" xr:uid="{E298693A-2A6B-42FB-B534-9EF1DD4E324A}"/>
    <cellStyle name="Comma 4 2 2 4 6" xfId="2388" xr:uid="{00000000-0005-0000-0000-00003B080000}"/>
    <cellStyle name="Comma 4 2 2 4 6 2" xfId="6672" xr:uid="{00000000-0005-0000-0000-00003C080000}"/>
    <cellStyle name="Comma 4 2 2 4 6 2 2" xfId="15998" xr:uid="{54C5D417-B759-46B0-A397-747DADFB596F}"/>
    <cellStyle name="Comma 4 2 2 4 6 3" xfId="11781" xr:uid="{1E99E30D-3848-4BB6-9804-B7A4EFA2E80A}"/>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BBB971D7-485E-4033-8A9B-D4B718A9EE9A}"/>
    <cellStyle name="Comma 4 2 2 4 8 3" xfId="12098" xr:uid="{C1E0FBCD-96DD-4C2D-909F-613D1B855CEB}"/>
    <cellStyle name="Comma 4 2 2 4 9" xfId="4606" xr:uid="{00000000-0005-0000-0000-000040080000}"/>
    <cellStyle name="Comma 4 2 2 4 9 2" xfId="13932" xr:uid="{A71FAADB-0A41-43D8-ABC3-F3BF0E4E00B4}"/>
    <cellStyle name="Comma 4 2 2 5" xfId="135" xr:uid="{00000000-0005-0000-0000-000041080000}"/>
    <cellStyle name="Comma 4 2 2 5 10" xfId="9210" xr:uid="{C1F9418B-EF96-4063-883D-A983E131C6A4}"/>
    <cellStyle name="Comma 4 2 2 5 10 2" xfId="18526" xr:uid="{D61A347A-1E06-4E7E-922B-7648A67D4B36}"/>
    <cellStyle name="Comma 4 2 2 5 11" xfId="9716" xr:uid="{BBFEEE5F-92D1-4DC3-9FC7-7C8D80877BDD}"/>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F741FA03-4225-43BC-9443-CA586D54EFD0}"/>
    <cellStyle name="Comma 4 2 2 5 2 2 3" xfId="12275" xr:uid="{05B3CBE9-8FA4-461A-A92A-937C4F53D6D1}"/>
    <cellStyle name="Comma 4 2 2 5 2 3" xfId="5021" xr:uid="{00000000-0005-0000-0000-000045080000}"/>
    <cellStyle name="Comma 4 2 2 5 2 3 2" xfId="14347" xr:uid="{E91B071D-2A66-415E-8374-CD14EA2E7B34}"/>
    <cellStyle name="Comma 4 2 2 5 2 4" xfId="9593" xr:uid="{3B41C66E-2108-4CBE-9776-211459781E55}"/>
    <cellStyle name="Comma 4 2 2 5 2 4 2" xfId="18897" xr:uid="{EFDEA019-C054-47FD-B1FC-78D3F734A765}"/>
    <cellStyle name="Comma 4 2 2 5 2 5" xfId="10130" xr:uid="{EF337B3A-B5C6-46E2-9719-65F9ACF0693F}"/>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0B2B74D9-0B85-4AB9-9530-02BC338B497B}"/>
    <cellStyle name="Comma 4 2 2 5 3 2 3" xfId="12688" xr:uid="{E81D8290-CA1F-475E-9ADD-7CF3427CB8F4}"/>
    <cellStyle name="Comma 4 2 2 5 3 3" xfId="5434" xr:uid="{00000000-0005-0000-0000-000049080000}"/>
    <cellStyle name="Comma 4 2 2 5 3 3 2" xfId="14760" xr:uid="{806A1217-89CA-414D-8AF3-012B746CCF78}"/>
    <cellStyle name="Comma 4 2 2 5 3 4" xfId="10543" xr:uid="{E1DA0F09-6BA1-4E08-9473-1F1E23B8B370}"/>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BFB61622-95B3-4860-9AA7-92A389FF1187}"/>
    <cellStyle name="Comma 4 2 2 5 4 2 3" xfId="13101" xr:uid="{CCB86664-63B1-4D86-9B60-4D859CCD25FE}"/>
    <cellStyle name="Comma 4 2 2 5 4 3" xfId="5847" xr:uid="{00000000-0005-0000-0000-00004D080000}"/>
    <cellStyle name="Comma 4 2 2 5 4 3 2" xfId="15173" xr:uid="{DE170960-EA11-43A8-8B6F-021BFDE71579}"/>
    <cellStyle name="Comma 4 2 2 5 4 4" xfId="10956" xr:uid="{76D0D9EF-67E9-42D2-87ED-608795850529}"/>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36566E82-99DB-4833-809F-1C78DB3EAF0B}"/>
    <cellStyle name="Comma 4 2 2 5 5 2 3" xfId="13514" xr:uid="{7630A133-06C8-481F-89A3-633E362D2FD9}"/>
    <cellStyle name="Comma 4 2 2 5 5 3" xfId="6260" xr:uid="{00000000-0005-0000-0000-000051080000}"/>
    <cellStyle name="Comma 4 2 2 5 5 3 2" xfId="15586" xr:uid="{E0DA8756-CF85-45B1-8666-6BAAF6295D94}"/>
    <cellStyle name="Comma 4 2 2 5 5 4" xfId="11369" xr:uid="{D4F51D5D-9D11-49FE-B07A-F10887D23C08}"/>
    <cellStyle name="Comma 4 2 2 5 6" xfId="2389" xr:uid="{00000000-0005-0000-0000-000052080000}"/>
    <cellStyle name="Comma 4 2 2 5 6 2" xfId="6673" xr:uid="{00000000-0005-0000-0000-000053080000}"/>
    <cellStyle name="Comma 4 2 2 5 6 2 2" xfId="15999" xr:uid="{5E7E815E-77C1-4B26-A263-1FB3F85FB725}"/>
    <cellStyle name="Comma 4 2 2 5 6 3" xfId="11782" xr:uid="{FC048341-275C-4396-9E99-12D2E79AD7AE}"/>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7CF1F4DF-B2EA-4193-ABD0-56B335CEE401}"/>
    <cellStyle name="Comma 4 2 2 5 8 3" xfId="12099" xr:uid="{02E7329A-1DC1-4DFD-B2E4-AEA83B43A82A}"/>
    <cellStyle name="Comma 4 2 2 5 9" xfId="4607" xr:uid="{00000000-0005-0000-0000-000057080000}"/>
    <cellStyle name="Comma 4 2 2 5 9 2" xfId="13933" xr:uid="{0F2E2FD3-A223-4859-B466-6529E2D54A5F}"/>
    <cellStyle name="Comma 4 2 2 6" xfId="9228" xr:uid="{49D8FCED-23A7-48B2-8D10-F90787B2F62D}"/>
    <cellStyle name="Comma 4 2 2 7" xfId="8786" xr:uid="{8FDBE9F4-5F27-4B1B-A262-D62BF874EF16}"/>
    <cellStyle name="Comma 4 2 2 7 2" xfId="18110" xr:uid="{AF9DDE5B-39E5-4865-943C-3F4F103C425D}"/>
    <cellStyle name="Comma 4 2 3" xfId="136" xr:uid="{00000000-0005-0000-0000-000058080000}"/>
    <cellStyle name="Comma 4 2 3 10" xfId="2768" xr:uid="{00000000-0005-0000-0000-000059080000}"/>
    <cellStyle name="Comma 4 2 3 10 2" xfId="6991" xr:uid="{00000000-0005-0000-0000-00005A080000}"/>
    <cellStyle name="Comma 4 2 3 10 2 2" xfId="16317" xr:uid="{64228570-D4CA-4148-AF3C-7D7C1445457E}"/>
    <cellStyle name="Comma 4 2 3 10 3" xfId="12100" xr:uid="{D0C74B01-0932-422E-A1BC-C00213203AA6}"/>
    <cellStyle name="Comma 4 2 3 11" xfId="4608" xr:uid="{00000000-0005-0000-0000-00005B080000}"/>
    <cellStyle name="Comma 4 2 3 11 2" xfId="13934" xr:uid="{972EEDCE-7C70-43B6-BE00-815569356AC1}"/>
    <cellStyle name="Comma 4 2 3 12" xfId="8805" xr:uid="{C45527F6-07B7-4887-BAF3-A6424444BA3B}"/>
    <cellStyle name="Comma 4 2 3 12 2" xfId="18129" xr:uid="{7AA12AE4-1CD3-44C3-B494-A2DA51A842EB}"/>
    <cellStyle name="Comma 4 2 3 13" xfId="9717" xr:uid="{E8F62511-2C61-40E3-98D3-198E66DFD34E}"/>
    <cellStyle name="Comma 4 2 3 2" xfId="137" xr:uid="{00000000-0005-0000-0000-00005C080000}"/>
    <cellStyle name="Comma 4 2 3 2 10" xfId="4609" xr:uid="{00000000-0005-0000-0000-00005D080000}"/>
    <cellStyle name="Comma 4 2 3 2 10 2" xfId="13935" xr:uid="{AC3126F8-00A3-49CC-AB17-1E4957478165}"/>
    <cellStyle name="Comma 4 2 3 2 11" xfId="8908" xr:uid="{E7021C11-E6EB-4392-A0AD-2A78F42B4BB7}"/>
    <cellStyle name="Comma 4 2 3 2 11 2" xfId="18232" xr:uid="{E5EF6A62-3159-4ED0-8294-755704CA2022}"/>
    <cellStyle name="Comma 4 2 3 2 12" xfId="9718" xr:uid="{09475224-AEF7-445A-A904-3CFA5A646EF9}"/>
    <cellStyle name="Comma 4 2 3 2 2" xfId="138" xr:uid="{00000000-0005-0000-0000-00005E080000}"/>
    <cellStyle name="Comma 4 2 3 2 2 10" xfId="9115" xr:uid="{1A31CCC4-B2C0-4E0C-B714-855521500FE8}"/>
    <cellStyle name="Comma 4 2 3 2 2 10 2" xfId="18439" xr:uid="{87C764B9-04D9-4F6D-BF8F-BD6B971CC0F9}"/>
    <cellStyle name="Comma 4 2 3 2 2 11" xfId="9719" xr:uid="{6D6B71A2-1FC4-438D-9DE6-06EE153FCA0F}"/>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B0FC570C-4525-4969-B6AF-1FCCD249D50E}"/>
    <cellStyle name="Comma 4 2 3 2 2 2 2 3" xfId="12278" xr:uid="{CBB219A4-0D9E-4AE6-878E-B42DB0E1A968}"/>
    <cellStyle name="Comma 4 2 3 2 2 2 3" xfId="5024" xr:uid="{00000000-0005-0000-0000-000062080000}"/>
    <cellStyle name="Comma 4 2 3 2 2 2 3 2" xfId="14350" xr:uid="{4B96DC9A-B390-4ECB-BFD1-312FC021340F}"/>
    <cellStyle name="Comma 4 2 3 2 2 2 4" xfId="9540" xr:uid="{F922DD27-FEAE-4DB6-894F-26CD58815668}"/>
    <cellStyle name="Comma 4 2 3 2 2 2 4 2" xfId="18855" xr:uid="{CD85DC05-1D99-4BDE-A048-5CA5E0BDFCC3}"/>
    <cellStyle name="Comma 4 2 3 2 2 2 5" xfId="10133" xr:uid="{8B21F25E-6128-4355-BBB1-7ED7245FD356}"/>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D806E00A-0DD2-4A44-B962-851319F5BCA0}"/>
    <cellStyle name="Comma 4 2 3 2 2 3 2 3" xfId="12691" xr:uid="{B2708EF5-D14B-41B5-9F6B-DE0853D355B1}"/>
    <cellStyle name="Comma 4 2 3 2 2 3 3" xfId="5437" xr:uid="{00000000-0005-0000-0000-000066080000}"/>
    <cellStyle name="Comma 4 2 3 2 2 3 3 2" xfId="14763" xr:uid="{464125BD-A3A6-462B-BA79-0C79E3369E26}"/>
    <cellStyle name="Comma 4 2 3 2 2 3 4" xfId="10546" xr:uid="{9F8C9D15-5A3C-411F-BB56-2DF3BCCAB3A9}"/>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B881B071-A4D3-464B-9CBA-797CAC9A5AA1}"/>
    <cellStyle name="Comma 4 2 3 2 2 4 2 3" xfId="13104" xr:uid="{FA45DFD0-11AD-4423-9801-070CFF558DBA}"/>
    <cellStyle name="Comma 4 2 3 2 2 4 3" xfId="5850" xr:uid="{00000000-0005-0000-0000-00006A080000}"/>
    <cellStyle name="Comma 4 2 3 2 2 4 3 2" xfId="15176" xr:uid="{20B54ED2-2D44-40A8-B673-EAAE87664C9E}"/>
    <cellStyle name="Comma 4 2 3 2 2 4 4" xfId="10959" xr:uid="{DAA3F271-A2E7-4E92-8A56-642555DD34A1}"/>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873C732B-EF1E-40C8-8A99-27F7188D652C}"/>
    <cellStyle name="Comma 4 2 3 2 2 5 2 3" xfId="13517" xr:uid="{1DA80FE1-18DC-4B03-864D-84D88E7C83BA}"/>
    <cellStyle name="Comma 4 2 3 2 2 5 3" xfId="6263" xr:uid="{00000000-0005-0000-0000-00006E080000}"/>
    <cellStyle name="Comma 4 2 3 2 2 5 3 2" xfId="15589" xr:uid="{8EB2B805-E2FF-4B38-A3F8-F9D58FE660A3}"/>
    <cellStyle name="Comma 4 2 3 2 2 5 4" xfId="11372" xr:uid="{33A814D5-5A40-431A-BE74-4BE6454159CF}"/>
    <cellStyle name="Comma 4 2 3 2 2 6" xfId="2392" xr:uid="{00000000-0005-0000-0000-00006F080000}"/>
    <cellStyle name="Comma 4 2 3 2 2 6 2" xfId="6676" xr:uid="{00000000-0005-0000-0000-000070080000}"/>
    <cellStyle name="Comma 4 2 3 2 2 6 2 2" xfId="16002" xr:uid="{254003DD-8B8C-4FC6-8B08-0AEC994DAC5D}"/>
    <cellStyle name="Comma 4 2 3 2 2 6 3" xfId="11785" xr:uid="{0ACD1286-92D9-4A0D-A8C4-7CFD807B1712}"/>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CA26ACE7-1FC7-4100-A5AC-3EDCF4A71E97}"/>
    <cellStyle name="Comma 4 2 3 2 2 8 3" xfId="12102" xr:uid="{2C6A199E-81C3-4E6B-925B-4218A34D843D}"/>
    <cellStyle name="Comma 4 2 3 2 2 9" xfId="4610" xr:uid="{00000000-0005-0000-0000-000074080000}"/>
    <cellStyle name="Comma 4 2 3 2 2 9 2" xfId="13936" xr:uid="{A676E197-AB3A-46EB-A357-760C05438463}"/>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F4C4B8E5-D65A-4C73-B4A0-30EE267F1D73}"/>
    <cellStyle name="Comma 4 2 3 2 3 2 3" xfId="12277" xr:uid="{F66E3DA4-FE05-4F94-88EE-219118C1BDC4}"/>
    <cellStyle name="Comma 4 2 3 2 3 3" xfId="5023" xr:uid="{00000000-0005-0000-0000-000078080000}"/>
    <cellStyle name="Comma 4 2 3 2 3 3 2" xfId="14349" xr:uid="{C27EED20-3CE4-448F-BB48-B934E0229D69}"/>
    <cellStyle name="Comma 4 2 3 2 3 4" xfId="9333" xr:uid="{5C974796-1B06-4FA8-AB2A-F6B34628ACD4}"/>
    <cellStyle name="Comma 4 2 3 2 3 4 2" xfId="18648" xr:uid="{DBA3EDAD-2CF2-42A3-AEF3-AF3E7E82E985}"/>
    <cellStyle name="Comma 4 2 3 2 3 5" xfId="10132" xr:uid="{B5A4AE06-013C-4FB5-9E50-404E2E881FBD}"/>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B44D3E99-0886-4344-B4F0-E87946F7B9D6}"/>
    <cellStyle name="Comma 4 2 3 2 4 2 3" xfId="12690" xr:uid="{15D64F50-AD31-46C4-88BD-44DE0EDA3393}"/>
    <cellStyle name="Comma 4 2 3 2 4 3" xfId="5436" xr:uid="{00000000-0005-0000-0000-00007C080000}"/>
    <cellStyle name="Comma 4 2 3 2 4 3 2" xfId="14762" xr:uid="{136650FF-E153-4C65-B373-7DC95BC8BFB9}"/>
    <cellStyle name="Comma 4 2 3 2 4 4" xfId="10545" xr:uid="{B8655605-24DC-41C5-8FE4-A088B9BBC506}"/>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5F5B1C7D-A9B8-4D23-BF5A-DD150CE259A6}"/>
    <cellStyle name="Comma 4 2 3 2 5 2 3" xfId="13103" xr:uid="{BDD12C3B-3586-4A39-9DE0-22235F07B014}"/>
    <cellStyle name="Comma 4 2 3 2 5 3" xfId="5849" xr:uid="{00000000-0005-0000-0000-000080080000}"/>
    <cellStyle name="Comma 4 2 3 2 5 3 2" xfId="15175" xr:uid="{41CE67F1-C09C-4843-89F7-89D8A6514442}"/>
    <cellStyle name="Comma 4 2 3 2 5 4" xfId="10958" xr:uid="{2C389692-148C-4CFE-BBCA-D059F9C77AD1}"/>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407AA7B9-AC01-4AB6-8A0A-207A574B940A}"/>
    <cellStyle name="Comma 4 2 3 2 6 2 3" xfId="13516" xr:uid="{71AD30E6-19D2-4B61-A5DC-CDEC90821861}"/>
    <cellStyle name="Comma 4 2 3 2 6 3" xfId="6262" xr:uid="{00000000-0005-0000-0000-000084080000}"/>
    <cellStyle name="Comma 4 2 3 2 6 3 2" xfId="15588" xr:uid="{799716E0-BB8C-42D1-BAFF-E9B93DED31F6}"/>
    <cellStyle name="Comma 4 2 3 2 6 4" xfId="11371" xr:uid="{C498B24E-1051-42D0-9EF1-43BEB9B8DBB2}"/>
    <cellStyle name="Comma 4 2 3 2 7" xfId="2391" xr:uid="{00000000-0005-0000-0000-000085080000}"/>
    <cellStyle name="Comma 4 2 3 2 7 2" xfId="6675" xr:uid="{00000000-0005-0000-0000-000086080000}"/>
    <cellStyle name="Comma 4 2 3 2 7 2 2" xfId="16001" xr:uid="{34D760B7-84A5-444A-A1B3-26A6DD115EC4}"/>
    <cellStyle name="Comma 4 2 3 2 7 3" xfId="11784" xr:uid="{08B364D8-7E0A-4A82-8ADE-ADAD28910CC2}"/>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EE5E406C-109F-4B20-A1C4-857B05A80FB4}"/>
    <cellStyle name="Comma 4 2 3 2 9 3" xfId="12101" xr:uid="{B77C687F-BDFE-4577-84BB-068DF84D7189}"/>
    <cellStyle name="Comma 4 2 3 3" xfId="139" xr:uid="{00000000-0005-0000-0000-00008A080000}"/>
    <cellStyle name="Comma 4 2 3 3 10" xfId="9012" xr:uid="{61C0F117-76A9-43CA-B381-88B2CFF6294C}"/>
    <cellStyle name="Comma 4 2 3 3 10 2" xfId="18336" xr:uid="{57957D15-644B-4A92-B15A-61396578C15C}"/>
    <cellStyle name="Comma 4 2 3 3 11" xfId="9720" xr:uid="{56D96730-6F50-459A-97AF-AFBAAC777AE9}"/>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9405083F-7090-479B-A9F5-DE0A2265EC91}"/>
    <cellStyle name="Comma 4 2 3 3 2 2 3" xfId="12279" xr:uid="{81B1A717-AB56-4E8D-B87C-D27FD2928E4E}"/>
    <cellStyle name="Comma 4 2 3 3 2 3" xfId="5025" xr:uid="{00000000-0005-0000-0000-00008E080000}"/>
    <cellStyle name="Comma 4 2 3 3 2 3 2" xfId="14351" xr:uid="{F802DB17-3944-48F7-88AE-916471269D7A}"/>
    <cellStyle name="Comma 4 2 3 3 2 4" xfId="9437" xr:uid="{35C6809B-E49F-4A7F-8CB1-650474E72B0A}"/>
    <cellStyle name="Comma 4 2 3 3 2 4 2" xfId="18752" xr:uid="{2A9BFCE8-186A-4F3A-BE64-04060E47F18A}"/>
    <cellStyle name="Comma 4 2 3 3 2 5" xfId="10134" xr:uid="{DEE0A7C7-D72B-4F2C-AF25-9A8B79661977}"/>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6B9468EC-B4AA-4A30-89BA-0796B74E74D2}"/>
    <cellStyle name="Comma 4 2 3 3 3 2 3" xfId="12692" xr:uid="{FD2D44B3-A7AD-4CC8-831C-6E3FA2E25ED2}"/>
    <cellStyle name="Comma 4 2 3 3 3 3" xfId="5438" xr:uid="{00000000-0005-0000-0000-000092080000}"/>
    <cellStyle name="Comma 4 2 3 3 3 3 2" xfId="14764" xr:uid="{132655AE-A4D5-4F60-9729-61032542612E}"/>
    <cellStyle name="Comma 4 2 3 3 3 4" xfId="10547" xr:uid="{5725E951-DC8D-498B-A20E-E74CBAEFFF75}"/>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968B7CB7-7D9D-4099-B874-AE4D4DBF21B7}"/>
    <cellStyle name="Comma 4 2 3 3 4 2 3" xfId="13105" xr:uid="{506DF43D-20A3-4DA2-9C41-EE9C05C972C0}"/>
    <cellStyle name="Comma 4 2 3 3 4 3" xfId="5851" xr:uid="{00000000-0005-0000-0000-000096080000}"/>
    <cellStyle name="Comma 4 2 3 3 4 3 2" xfId="15177" xr:uid="{6A62B47D-B611-4F16-893C-1F8DC526EEA4}"/>
    <cellStyle name="Comma 4 2 3 3 4 4" xfId="10960" xr:uid="{F2D0C76D-F9D1-4E15-B470-6B6AD6AD9323}"/>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39D6935E-D91D-4C0D-B767-DC1495549787}"/>
    <cellStyle name="Comma 4 2 3 3 5 2 3" xfId="13518" xr:uid="{28C82588-FAAB-4AD6-9CFB-DB5DB5772F87}"/>
    <cellStyle name="Comma 4 2 3 3 5 3" xfId="6264" xr:uid="{00000000-0005-0000-0000-00009A080000}"/>
    <cellStyle name="Comma 4 2 3 3 5 3 2" xfId="15590" xr:uid="{59956923-8D5D-4A8C-AF5D-AFFFB9B5A299}"/>
    <cellStyle name="Comma 4 2 3 3 5 4" xfId="11373" xr:uid="{0063EC26-4645-4A89-924F-9DC232A6894B}"/>
    <cellStyle name="Comma 4 2 3 3 6" xfId="2393" xr:uid="{00000000-0005-0000-0000-00009B080000}"/>
    <cellStyle name="Comma 4 2 3 3 6 2" xfId="6677" xr:uid="{00000000-0005-0000-0000-00009C080000}"/>
    <cellStyle name="Comma 4 2 3 3 6 2 2" xfId="16003" xr:uid="{15983C5B-DB75-431A-BF6B-E032E891C549}"/>
    <cellStyle name="Comma 4 2 3 3 6 3" xfId="11786" xr:uid="{67AC0CBA-0BE4-496B-B469-5FC423190E28}"/>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506618A6-D269-43D3-9DAA-CBE282BF32C7}"/>
    <cellStyle name="Comma 4 2 3 3 8 3" xfId="12103" xr:uid="{DF74E253-861B-4129-9D44-F9540C44811A}"/>
    <cellStyle name="Comma 4 2 3 3 9" xfId="4611" xr:uid="{00000000-0005-0000-0000-0000A0080000}"/>
    <cellStyle name="Comma 4 2 3 3 9 2" xfId="13937" xr:uid="{ED794CCD-8D64-413F-B00C-BFBF809F088F}"/>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0B55062D-E50B-4760-9C5A-A8A9D7932CCC}"/>
    <cellStyle name="Comma 4 2 3 4 2 3" xfId="12276" xr:uid="{B22C4BEB-5B86-4543-B43F-0FEDE365A96D}"/>
    <cellStyle name="Comma 4 2 3 4 3" xfId="5022" xr:uid="{00000000-0005-0000-0000-0000A4080000}"/>
    <cellStyle name="Comma 4 2 3 4 3 2" xfId="14348" xr:uid="{DD50F5CA-FAE6-4D57-8F4D-BE9F26ED7BE2}"/>
    <cellStyle name="Comma 4 2 3 4 4" xfId="9230" xr:uid="{24B6B749-023F-4009-8785-C6CFE1098E24}"/>
    <cellStyle name="Comma 4 2 3 4 4 2" xfId="18545" xr:uid="{47EAA0F0-C4EE-4D3D-B8AD-FA182969C9E6}"/>
    <cellStyle name="Comma 4 2 3 4 5" xfId="10131" xr:uid="{B2B13CCB-9F05-49AD-9C7D-3DA945F74527}"/>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5A3D2420-56C7-4203-8BFF-F55A27E363A6}"/>
    <cellStyle name="Comma 4 2 3 5 2 3" xfId="12689" xr:uid="{0FBE4AE8-7F59-408B-B23F-0B6E7125CEA9}"/>
    <cellStyle name="Comma 4 2 3 5 3" xfId="5435" xr:uid="{00000000-0005-0000-0000-0000A8080000}"/>
    <cellStyle name="Comma 4 2 3 5 3 2" xfId="14761" xr:uid="{DD9AF46B-301C-4F2D-8A90-9D9BCF098A91}"/>
    <cellStyle name="Comma 4 2 3 5 4" xfId="10544" xr:uid="{10629195-CF98-4F22-B0E0-485B348B970F}"/>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8CE6198A-64BF-4270-8D62-5FD153692007}"/>
    <cellStyle name="Comma 4 2 3 6 2 3" xfId="13102" xr:uid="{A16F2C93-B0DC-409B-BD0B-D039A673AC9A}"/>
    <cellStyle name="Comma 4 2 3 6 3" xfId="5848" xr:uid="{00000000-0005-0000-0000-0000AC080000}"/>
    <cellStyle name="Comma 4 2 3 6 3 2" xfId="15174" xr:uid="{03A76E6B-ADB2-4954-B952-D20A1E4CFCC7}"/>
    <cellStyle name="Comma 4 2 3 6 4" xfId="10957" xr:uid="{6572C56C-E7C9-4EA5-B784-82E0C0C13123}"/>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D278F5B4-66A4-452B-9F64-3763F3FEDE06}"/>
    <cellStyle name="Comma 4 2 3 7 2 3" xfId="13515" xr:uid="{A19B8DCA-D5F5-48F8-84CF-2F954806C482}"/>
    <cellStyle name="Comma 4 2 3 7 3" xfId="6261" xr:uid="{00000000-0005-0000-0000-0000B0080000}"/>
    <cellStyle name="Comma 4 2 3 7 3 2" xfId="15587" xr:uid="{3FF8423B-A85D-4B11-8672-8E9660D015FC}"/>
    <cellStyle name="Comma 4 2 3 7 4" xfId="11370" xr:uid="{C3C08307-9E25-4B7F-9802-41D576F05490}"/>
    <cellStyle name="Comma 4 2 3 8" xfId="2390" xr:uid="{00000000-0005-0000-0000-0000B1080000}"/>
    <cellStyle name="Comma 4 2 3 8 2" xfId="6674" xr:uid="{00000000-0005-0000-0000-0000B2080000}"/>
    <cellStyle name="Comma 4 2 3 8 2 2" xfId="16000" xr:uid="{9ED4D96D-9620-4AD0-88F6-1D5F10FA62BB}"/>
    <cellStyle name="Comma 4 2 3 8 3" xfId="11783" xr:uid="{2D152200-1406-41E2-9D03-1842A1BE0C4D}"/>
    <cellStyle name="Comma 4 2 3 9" xfId="2373" xr:uid="{00000000-0005-0000-0000-0000B3080000}"/>
    <cellStyle name="Comma 4 2 4" xfId="140" xr:uid="{00000000-0005-0000-0000-0000B4080000}"/>
    <cellStyle name="Comma 4 2 4 10" xfId="4612" xr:uid="{00000000-0005-0000-0000-0000B5080000}"/>
    <cellStyle name="Comma 4 2 4 10 2" xfId="13938" xr:uid="{0340114B-7427-4A45-B39F-4CF974E018A1}"/>
    <cellStyle name="Comma 4 2 4 11" xfId="8858" xr:uid="{B6A00C95-D04C-44B2-B8AF-67540882256C}"/>
    <cellStyle name="Comma 4 2 4 11 2" xfId="18182" xr:uid="{89CFADE2-E476-422F-B9AD-21CA336ACC7B}"/>
    <cellStyle name="Comma 4 2 4 12" xfId="9721" xr:uid="{FECEB5D5-0EAA-4342-9D5D-E0C103017120}"/>
    <cellStyle name="Comma 4 2 4 2" xfId="141" xr:uid="{00000000-0005-0000-0000-0000B6080000}"/>
    <cellStyle name="Comma 4 2 4 2 10" xfId="9065" xr:uid="{961AA06A-D943-447E-AADB-49B440E7E7CE}"/>
    <cellStyle name="Comma 4 2 4 2 10 2" xfId="18389" xr:uid="{0E829E5E-F872-4A61-AE3B-3A526EB8A419}"/>
    <cellStyle name="Comma 4 2 4 2 11" xfId="9722" xr:uid="{CA0565CF-2DE6-4BE7-A6BF-C0599ADE254F}"/>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0FF8506F-C5ED-4946-9225-20B4CF7C4320}"/>
    <cellStyle name="Comma 4 2 4 2 2 2 3" xfId="12281" xr:uid="{C58B5890-4542-427D-9717-92F83706027D}"/>
    <cellStyle name="Comma 4 2 4 2 2 3" xfId="5027" xr:uid="{00000000-0005-0000-0000-0000BA080000}"/>
    <cellStyle name="Comma 4 2 4 2 2 3 2" xfId="14353" xr:uid="{354D4A89-5512-49C6-AFF1-FD9507D74DC6}"/>
    <cellStyle name="Comma 4 2 4 2 2 4" xfId="9490" xr:uid="{2FAEB1E6-7B41-437B-B2A9-4352AB4F4B98}"/>
    <cellStyle name="Comma 4 2 4 2 2 4 2" xfId="18805" xr:uid="{1E993F8A-2822-4F0E-87CC-1BA84855CF6B}"/>
    <cellStyle name="Comma 4 2 4 2 2 5" xfId="10136" xr:uid="{C45E5EA3-1D0C-44A7-B766-C89FA08525FF}"/>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2BA68C19-A451-40D4-BA1E-21F8FB02796D}"/>
    <cellStyle name="Comma 4 2 4 2 3 2 3" xfId="12694" xr:uid="{0FC8E4C0-D75E-4103-A22C-5A0CF08B05A8}"/>
    <cellStyle name="Comma 4 2 4 2 3 3" xfId="5440" xr:uid="{00000000-0005-0000-0000-0000BE080000}"/>
    <cellStyle name="Comma 4 2 4 2 3 3 2" xfId="14766" xr:uid="{844E84E6-42C9-415B-8A79-E14F50989FEB}"/>
    <cellStyle name="Comma 4 2 4 2 3 4" xfId="10549" xr:uid="{89F23BA8-D54A-4849-B670-E98DFCC9A9F2}"/>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1A3B6B3F-470D-4241-837F-604452D0B8FA}"/>
    <cellStyle name="Comma 4 2 4 2 4 2 3" xfId="13107" xr:uid="{997E27AE-1AF3-4071-87E3-D6D103BA2E6D}"/>
    <cellStyle name="Comma 4 2 4 2 4 3" xfId="5853" xr:uid="{00000000-0005-0000-0000-0000C2080000}"/>
    <cellStyle name="Comma 4 2 4 2 4 3 2" xfId="15179" xr:uid="{1A50250C-9423-4882-AFF8-81D938C3D336}"/>
    <cellStyle name="Comma 4 2 4 2 4 4" xfId="10962" xr:uid="{488D738C-8716-4276-A852-962E2E83FEEC}"/>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12B09E89-CE66-4A0A-924F-449B4ADF6A9D}"/>
    <cellStyle name="Comma 4 2 4 2 5 2 3" xfId="13520" xr:uid="{09C1BF57-F820-42C3-BDAC-8C4500677409}"/>
    <cellStyle name="Comma 4 2 4 2 5 3" xfId="6266" xr:uid="{00000000-0005-0000-0000-0000C6080000}"/>
    <cellStyle name="Comma 4 2 4 2 5 3 2" xfId="15592" xr:uid="{903C4D3B-B1CE-4CD2-9704-3B96C13E145A}"/>
    <cellStyle name="Comma 4 2 4 2 5 4" xfId="11375" xr:uid="{D261F78C-6CC1-4A53-AD86-DCA82AB6F302}"/>
    <cellStyle name="Comma 4 2 4 2 6" xfId="2395" xr:uid="{00000000-0005-0000-0000-0000C7080000}"/>
    <cellStyle name="Comma 4 2 4 2 6 2" xfId="6679" xr:uid="{00000000-0005-0000-0000-0000C8080000}"/>
    <cellStyle name="Comma 4 2 4 2 6 2 2" xfId="16005" xr:uid="{262BAC40-B436-4309-9FD7-96428AFCFC72}"/>
    <cellStyle name="Comma 4 2 4 2 6 3" xfId="11788" xr:uid="{EFE6B586-239D-476D-87EE-FE951B74EAF8}"/>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225C0BB7-08F8-42D9-97EC-D6591DC226E2}"/>
    <cellStyle name="Comma 4 2 4 2 8 3" xfId="12105" xr:uid="{D151622B-54B1-4C45-9FF1-CCF4BFA20C4E}"/>
    <cellStyle name="Comma 4 2 4 2 9" xfId="4613" xr:uid="{00000000-0005-0000-0000-0000CC080000}"/>
    <cellStyle name="Comma 4 2 4 2 9 2" xfId="13939" xr:uid="{2857E272-6578-4D05-86D5-1F5237DB0EA4}"/>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CCA1D3C7-3DAE-4FAC-BC80-711C76AF3FB8}"/>
    <cellStyle name="Comma 4 2 4 3 2 3" xfId="12280" xr:uid="{7E336E00-7C79-45EC-8976-6474B9A3166A}"/>
    <cellStyle name="Comma 4 2 4 3 3" xfId="5026" xr:uid="{00000000-0005-0000-0000-0000D0080000}"/>
    <cellStyle name="Comma 4 2 4 3 3 2" xfId="14352" xr:uid="{242F062D-285F-49C1-96E5-DB0DC75C1D62}"/>
    <cellStyle name="Comma 4 2 4 3 4" xfId="9283" xr:uid="{7E46ED3C-A8F4-4512-93D9-5F41F1AC397C}"/>
    <cellStyle name="Comma 4 2 4 3 4 2" xfId="18598" xr:uid="{D66AFD5D-D358-4CE3-B4D8-EAB911269DE9}"/>
    <cellStyle name="Comma 4 2 4 3 5" xfId="10135" xr:uid="{E0C0CC97-F695-4E5F-9B02-844C11D80D43}"/>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66785DFC-3922-4532-9171-DE83D7AAD283}"/>
    <cellStyle name="Comma 4 2 4 4 2 3" xfId="12693" xr:uid="{5B2EBF6A-465B-4F18-B7B6-FD5D10D25ACE}"/>
    <cellStyle name="Comma 4 2 4 4 3" xfId="5439" xr:uid="{00000000-0005-0000-0000-0000D4080000}"/>
    <cellStyle name="Comma 4 2 4 4 3 2" xfId="14765" xr:uid="{675DE522-B99D-4BAC-A147-3336B641EB11}"/>
    <cellStyle name="Comma 4 2 4 4 4" xfId="10548" xr:uid="{A34FEA59-DE77-4949-A19F-5A917F083570}"/>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272B5464-EA5F-4B9F-8EED-277A6C3A748E}"/>
    <cellStyle name="Comma 4 2 4 5 2 3" xfId="13106" xr:uid="{FEA24DA8-C3F2-4A1F-9B2D-EC2FAE276464}"/>
    <cellStyle name="Comma 4 2 4 5 3" xfId="5852" xr:uid="{00000000-0005-0000-0000-0000D8080000}"/>
    <cellStyle name="Comma 4 2 4 5 3 2" xfId="15178" xr:uid="{6BAE39A6-7D09-44DC-9B20-973F6C58900B}"/>
    <cellStyle name="Comma 4 2 4 5 4" xfId="10961" xr:uid="{F0C4DB26-322E-4156-B260-60180705204D}"/>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B08870A1-9B00-4FDC-8ACF-A99DD6F2E891}"/>
    <cellStyle name="Comma 4 2 4 6 2 3" xfId="13519" xr:uid="{6E26924F-3FE4-4CB5-9ADA-BACE5E691A4B}"/>
    <cellStyle name="Comma 4 2 4 6 3" xfId="6265" xr:uid="{00000000-0005-0000-0000-0000DC080000}"/>
    <cellStyle name="Comma 4 2 4 6 3 2" xfId="15591" xr:uid="{64BA1743-8D22-4D77-A410-959B9094DEB0}"/>
    <cellStyle name="Comma 4 2 4 6 4" xfId="11374" xr:uid="{B3C78193-C6D1-4B77-8988-A8288D3874C4}"/>
    <cellStyle name="Comma 4 2 4 7" xfId="2394" xr:uid="{00000000-0005-0000-0000-0000DD080000}"/>
    <cellStyle name="Comma 4 2 4 7 2" xfId="6678" xr:uid="{00000000-0005-0000-0000-0000DE080000}"/>
    <cellStyle name="Comma 4 2 4 7 2 2" xfId="16004" xr:uid="{E267C1D3-E253-4493-BA03-D25FC0F2D448}"/>
    <cellStyle name="Comma 4 2 4 7 3" xfId="11787" xr:uid="{D178D80E-372E-427C-94FF-80DBB2E1CECF}"/>
    <cellStyle name="Comma 4 2 4 8" xfId="2369" xr:uid="{00000000-0005-0000-0000-0000DF080000}"/>
    <cellStyle name="Comma 4 2 4 9" xfId="2772" xr:uid="{00000000-0005-0000-0000-0000E0080000}"/>
    <cellStyle name="Comma 4 2 4 9 2" xfId="6995" xr:uid="{00000000-0005-0000-0000-0000E1080000}"/>
    <cellStyle name="Comma 4 2 4 9 2 2" xfId="16321" xr:uid="{07E9DFD3-FDF5-4FAC-AAE9-E690799784B3}"/>
    <cellStyle name="Comma 4 2 4 9 3" xfId="12104" xr:uid="{C80DFBA9-ECF3-4D3A-A256-8004CF55CBB5}"/>
    <cellStyle name="Comma 4 2 5" xfId="142" xr:uid="{00000000-0005-0000-0000-0000E2080000}"/>
    <cellStyle name="Comma 4 2 5 10" xfId="8974" xr:uid="{86B0C89A-8A2D-4755-B15D-84E412E1D380}"/>
    <cellStyle name="Comma 4 2 5 10 2" xfId="18298" xr:uid="{D2E22BB2-19E2-4FA3-86FE-3B089657EC99}"/>
    <cellStyle name="Comma 4 2 5 11" xfId="9723" xr:uid="{961876A8-E251-4C07-9F98-EAF738299FAC}"/>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537BA5AF-3487-40F2-A69D-7AD293587FE0}"/>
    <cellStyle name="Comma 4 2 5 2 2 3" xfId="12282" xr:uid="{AAA1CF43-137D-4E7C-8364-682015C3558C}"/>
    <cellStyle name="Comma 4 2 5 2 3" xfId="5028" xr:uid="{00000000-0005-0000-0000-0000E6080000}"/>
    <cellStyle name="Comma 4 2 5 2 3 2" xfId="14354" xr:uid="{7474A95F-465E-405B-BD48-0F766DE19DF9}"/>
    <cellStyle name="Comma 4 2 5 2 4" xfId="9399" xr:uid="{1B388BC7-1FC6-4DC3-B345-755F61B57864}"/>
    <cellStyle name="Comma 4 2 5 2 4 2" xfId="18714" xr:uid="{04F9CC07-DF56-4C36-968A-FA95DB5027B7}"/>
    <cellStyle name="Comma 4 2 5 2 5" xfId="10137" xr:uid="{D7F96527-99CD-452F-9630-2048437227FB}"/>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1470DB99-4883-4274-A828-61A395CC403C}"/>
    <cellStyle name="Comma 4 2 5 3 2 3" xfId="12695" xr:uid="{3025C088-47DD-41F1-BD25-39D6D76541E8}"/>
    <cellStyle name="Comma 4 2 5 3 3" xfId="5441" xr:uid="{00000000-0005-0000-0000-0000EA080000}"/>
    <cellStyle name="Comma 4 2 5 3 3 2" xfId="14767" xr:uid="{6F1A9B6D-1C1E-47CA-9A89-640A0E313E60}"/>
    <cellStyle name="Comma 4 2 5 3 4" xfId="10550" xr:uid="{689C47FE-9CEE-4471-9A6E-7F9386D79AA7}"/>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F07675FA-02AB-4E35-ABD9-FF565835ECB2}"/>
    <cellStyle name="Comma 4 2 5 4 2 3" xfId="13108" xr:uid="{144A7878-35CD-428B-9ADE-9FC8E56A359B}"/>
    <cellStyle name="Comma 4 2 5 4 3" xfId="5854" xr:uid="{00000000-0005-0000-0000-0000EE080000}"/>
    <cellStyle name="Comma 4 2 5 4 3 2" xfId="15180" xr:uid="{4E1AF96C-746D-4E86-89A5-7E99D328C201}"/>
    <cellStyle name="Comma 4 2 5 4 4" xfId="10963" xr:uid="{B78AF1E1-9656-43FE-A43F-8626C0808E45}"/>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9CB27C1A-E75E-4035-8BEF-9CEB9A251EE7}"/>
    <cellStyle name="Comma 4 2 5 5 2 3" xfId="13521" xr:uid="{A84F258B-81D7-4F8F-BB4C-7D93E236F9C4}"/>
    <cellStyle name="Comma 4 2 5 5 3" xfId="6267" xr:uid="{00000000-0005-0000-0000-0000F2080000}"/>
    <cellStyle name="Comma 4 2 5 5 3 2" xfId="15593" xr:uid="{6812AFEE-E5B6-4B35-BE8E-4CEB01979A65}"/>
    <cellStyle name="Comma 4 2 5 5 4" xfId="11376" xr:uid="{F6BEEADD-B3E0-4EE5-8603-918223DC24B9}"/>
    <cellStyle name="Comma 4 2 5 6" xfId="2396" xr:uid="{00000000-0005-0000-0000-0000F3080000}"/>
    <cellStyle name="Comma 4 2 5 6 2" xfId="6680" xr:uid="{00000000-0005-0000-0000-0000F4080000}"/>
    <cellStyle name="Comma 4 2 5 6 2 2" xfId="16006" xr:uid="{86FC84C4-FA97-4925-8970-80164F8A786C}"/>
    <cellStyle name="Comma 4 2 5 6 3" xfId="11789" xr:uid="{E4262784-EE38-4560-9252-30D116E908EE}"/>
    <cellStyle name="Comma 4 2 5 7" xfId="2367" xr:uid="{00000000-0005-0000-0000-0000F5080000}"/>
    <cellStyle name="Comma 4 2 5 8" xfId="2774" xr:uid="{00000000-0005-0000-0000-0000F6080000}"/>
    <cellStyle name="Comma 4 2 5 8 2" xfId="6997" xr:uid="{00000000-0005-0000-0000-0000F7080000}"/>
    <cellStyle name="Comma 4 2 5 8 2 2" xfId="16323" xr:uid="{946D2D31-A819-4AFC-ACEC-E8E1B0FE9C67}"/>
    <cellStyle name="Comma 4 2 5 8 3" xfId="12106" xr:uid="{88C759B5-A057-4E1C-8B6A-ED2A0B8564A2}"/>
    <cellStyle name="Comma 4 2 5 9" xfId="4614" xr:uid="{00000000-0005-0000-0000-0000F8080000}"/>
    <cellStyle name="Comma 4 2 5 9 2" xfId="13940" xr:uid="{9C2CF2E2-4B07-4E37-8F50-5A06E41A1E43}"/>
    <cellStyle name="Comma 4 2 6" xfId="143" xr:uid="{00000000-0005-0000-0000-0000F9080000}"/>
    <cellStyle name="Comma 4 2 6 10" xfId="9177" xr:uid="{A20A3B72-7630-464F-8E57-DA2B9D6E44FB}"/>
    <cellStyle name="Comma 4 2 6 10 2" xfId="18495" xr:uid="{5897D8D1-A88A-49F8-84FD-D64314157777}"/>
    <cellStyle name="Comma 4 2 6 11" xfId="9724" xr:uid="{688D15A3-6B6E-4790-A7A0-C3E2EE1D05A5}"/>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44D738CC-8F2D-4D75-900D-FAB6F9281096}"/>
    <cellStyle name="Comma 4 2 6 2 2 3" xfId="12283" xr:uid="{BDEAB196-5C7B-4947-8FEE-C28BCD011388}"/>
    <cellStyle name="Comma 4 2 6 2 3" xfId="5029" xr:uid="{00000000-0005-0000-0000-0000FD080000}"/>
    <cellStyle name="Comma 4 2 6 2 3 2" xfId="14355" xr:uid="{83CA90F0-7AD6-4CE8-B92C-A149F52E720D}"/>
    <cellStyle name="Comma 4 2 6 2 4" xfId="9594" xr:uid="{CCB8D3FE-19FC-4F7F-9966-44FD23A1A32A}"/>
    <cellStyle name="Comma 4 2 6 2 4 2" xfId="18898" xr:uid="{410F4636-41B9-47D1-A252-30C926FE3486}"/>
    <cellStyle name="Comma 4 2 6 2 5" xfId="10138" xr:uid="{3C15E85D-4862-4766-BD7E-B1B6BAC12C25}"/>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43084B3F-7169-4D74-A122-D1295EC8B814}"/>
    <cellStyle name="Comma 4 2 6 3 2 3" xfId="12696" xr:uid="{48D475BE-240B-4165-96F0-4C8C687D476B}"/>
    <cellStyle name="Comma 4 2 6 3 3" xfId="5442" xr:uid="{00000000-0005-0000-0000-000001090000}"/>
    <cellStyle name="Comma 4 2 6 3 3 2" xfId="14768" xr:uid="{432E3073-EB86-4D0A-B1FE-E4373077002C}"/>
    <cellStyle name="Comma 4 2 6 3 4" xfId="10551" xr:uid="{50829C27-80B9-41B6-9D4D-294E296B0C90}"/>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07D4EC2B-98F0-4EDA-B439-166BBD998CC8}"/>
    <cellStyle name="Comma 4 2 6 4 2 3" xfId="13109" xr:uid="{5A898168-926A-4A71-A39D-00FC432EBC2E}"/>
    <cellStyle name="Comma 4 2 6 4 3" xfId="5855" xr:uid="{00000000-0005-0000-0000-000005090000}"/>
    <cellStyle name="Comma 4 2 6 4 3 2" xfId="15181" xr:uid="{C1079832-610F-45DF-A86F-D6055FF10C3B}"/>
    <cellStyle name="Comma 4 2 6 4 4" xfId="10964" xr:uid="{C66DA155-2BB3-4799-9AA2-4622CDDFE0F6}"/>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552E9CD3-3D74-44D5-A5BD-AFCB2A813426}"/>
    <cellStyle name="Comma 4 2 6 5 2 3" xfId="13522" xr:uid="{B7B69D53-41AC-4A8D-A475-A9EC0DA1AEB2}"/>
    <cellStyle name="Comma 4 2 6 5 3" xfId="6268" xr:uid="{00000000-0005-0000-0000-000009090000}"/>
    <cellStyle name="Comma 4 2 6 5 3 2" xfId="15594" xr:uid="{2AC18619-CF57-4FDC-B2E3-A1759F4CC7A9}"/>
    <cellStyle name="Comma 4 2 6 5 4" xfId="11377" xr:uid="{A3296E32-B819-462E-8845-2A5BE11A5364}"/>
    <cellStyle name="Comma 4 2 6 6" xfId="2397" xr:uid="{00000000-0005-0000-0000-00000A090000}"/>
    <cellStyle name="Comma 4 2 6 6 2" xfId="6681" xr:uid="{00000000-0005-0000-0000-00000B090000}"/>
    <cellStyle name="Comma 4 2 6 6 2 2" xfId="16007" xr:uid="{033F4AE9-9A1B-45F2-BC51-8E4270040A66}"/>
    <cellStyle name="Comma 4 2 6 6 3" xfId="11790" xr:uid="{77506136-49B5-47D1-9203-0C236E31837A}"/>
    <cellStyle name="Comma 4 2 6 7" xfId="2366" xr:uid="{00000000-0005-0000-0000-00000C090000}"/>
    <cellStyle name="Comma 4 2 6 8" xfId="2775" xr:uid="{00000000-0005-0000-0000-00000D090000}"/>
    <cellStyle name="Comma 4 2 6 8 2" xfId="6998" xr:uid="{00000000-0005-0000-0000-00000E090000}"/>
    <cellStyle name="Comma 4 2 6 8 2 2" xfId="16324" xr:uid="{473E5763-804A-47F9-9B33-78890F89BD35}"/>
    <cellStyle name="Comma 4 2 6 8 3" xfId="12107" xr:uid="{51DAC48B-DB5C-4DF7-9BAF-67BE4A3E863D}"/>
    <cellStyle name="Comma 4 2 6 9" xfId="4615" xr:uid="{00000000-0005-0000-0000-00000F090000}"/>
    <cellStyle name="Comma 4 2 6 9 2" xfId="13941" xr:uid="{1E622965-AA37-4E9D-B463-A01BD50A6D9D}"/>
    <cellStyle name="Comma 4 2 7" xfId="9190" xr:uid="{C8B7F6BD-E2DD-41C7-A6AF-A5C7B900A7ED}"/>
    <cellStyle name="Comma 4 2 8" xfId="8755" xr:uid="{40286204-C766-4116-8542-387551AD6364}"/>
    <cellStyle name="Comma 4 2 8 2" xfId="18079" xr:uid="{805AAC85-AB44-4D84-8EB2-DDAA69BEFB4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165B07E0-A358-434C-88F7-E478E73F478F}"/>
    <cellStyle name="Comma 4 3 2 10 3" xfId="12108" xr:uid="{A494D8A2-BEB9-4507-9D1B-7E3BCE5337F9}"/>
    <cellStyle name="Comma 4 3 2 11" xfId="4616" xr:uid="{00000000-0005-0000-0000-000014090000}"/>
    <cellStyle name="Comma 4 3 2 11 2" xfId="13942" xr:uid="{7BF8E54E-8002-4D4A-ABF6-1E49CAC561DD}"/>
    <cellStyle name="Comma 4 3 2 12" xfId="8807" xr:uid="{5C5EF314-D0DB-425B-AE7D-D52FEEE90EC1}"/>
    <cellStyle name="Comma 4 3 2 12 2" xfId="18131" xr:uid="{22ADBE8E-215C-4EC0-8EBE-33821F2F5BDE}"/>
    <cellStyle name="Comma 4 3 2 13" xfId="9725" xr:uid="{2B651A36-6D0A-4B86-8DDB-CAB6516AA3F4}"/>
    <cellStyle name="Comma 4 3 2 2" xfId="146" xr:uid="{00000000-0005-0000-0000-000015090000}"/>
    <cellStyle name="Comma 4 3 2 2 10" xfId="4617" xr:uid="{00000000-0005-0000-0000-000016090000}"/>
    <cellStyle name="Comma 4 3 2 2 10 2" xfId="13943" xr:uid="{31075C9B-8775-4F8C-A24E-97A43CD118B8}"/>
    <cellStyle name="Comma 4 3 2 2 11" xfId="8910" xr:uid="{15019DD0-71A0-438D-B796-68DE42B22692}"/>
    <cellStyle name="Comma 4 3 2 2 11 2" xfId="18234" xr:uid="{F94C7456-6687-4CF1-AFF5-3E04206331BB}"/>
    <cellStyle name="Comma 4 3 2 2 12" xfId="9726" xr:uid="{EA822DD3-BA67-4CAB-B99E-9E8804E19FB5}"/>
    <cellStyle name="Comma 4 3 2 2 2" xfId="147" xr:uid="{00000000-0005-0000-0000-000017090000}"/>
    <cellStyle name="Comma 4 3 2 2 2 10" xfId="9117" xr:uid="{1409F531-DBF2-41E0-9C74-F9317358BA15}"/>
    <cellStyle name="Comma 4 3 2 2 2 10 2" xfId="18441" xr:uid="{C690279F-8A30-4EE3-91A7-7514FAE7380F}"/>
    <cellStyle name="Comma 4 3 2 2 2 11" xfId="9727" xr:uid="{1E34E8BB-FA93-4154-A577-9C61CE30B406}"/>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577B40AF-056A-43DE-AD18-C1868C9C0384}"/>
    <cellStyle name="Comma 4 3 2 2 2 2 2 3" xfId="12286" xr:uid="{F1E4BA06-B39E-4230-82C1-1509DE9722B6}"/>
    <cellStyle name="Comma 4 3 2 2 2 2 3" xfId="5032" xr:uid="{00000000-0005-0000-0000-00001B090000}"/>
    <cellStyle name="Comma 4 3 2 2 2 2 3 2" xfId="14358" xr:uid="{CBA24718-FB52-4D72-9A2C-D4AAA81CBD25}"/>
    <cellStyle name="Comma 4 3 2 2 2 2 4" xfId="9542" xr:uid="{26CD77CC-F017-4839-8245-BBF245D45E53}"/>
    <cellStyle name="Comma 4 3 2 2 2 2 4 2" xfId="18857" xr:uid="{6E9C6193-C59D-4401-93EE-1555CE69798A}"/>
    <cellStyle name="Comma 4 3 2 2 2 2 5" xfId="10141" xr:uid="{D92180B7-AB05-4D4D-AF10-45E6689A879F}"/>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CD3B78B7-3CFA-4FB0-8A6F-B3ADD23E4A15}"/>
    <cellStyle name="Comma 4 3 2 2 2 3 2 3" xfId="12699" xr:uid="{53AFEF45-1D2E-4069-98A6-B5F73EF7A68E}"/>
    <cellStyle name="Comma 4 3 2 2 2 3 3" xfId="5445" xr:uid="{00000000-0005-0000-0000-00001F090000}"/>
    <cellStyle name="Comma 4 3 2 2 2 3 3 2" xfId="14771" xr:uid="{5730589D-C278-4F6F-948B-503114F88FED}"/>
    <cellStyle name="Comma 4 3 2 2 2 3 4" xfId="10554" xr:uid="{E1C1C300-1071-4C35-92A0-66AA084D18B9}"/>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0B996190-D422-4ACD-A994-735155928FDB}"/>
    <cellStyle name="Comma 4 3 2 2 2 4 2 3" xfId="13112" xr:uid="{FB26F8B8-F366-4928-BBF1-20662B7CD2A6}"/>
    <cellStyle name="Comma 4 3 2 2 2 4 3" xfId="5858" xr:uid="{00000000-0005-0000-0000-000023090000}"/>
    <cellStyle name="Comma 4 3 2 2 2 4 3 2" xfId="15184" xr:uid="{CB2D5C27-E817-4B68-884E-39700AB6FE1D}"/>
    <cellStyle name="Comma 4 3 2 2 2 4 4" xfId="10967" xr:uid="{0FD18193-FB72-44A6-92A3-49CCE6E4423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C0CD6FB9-C439-4A0B-82AD-275DEDED81AF}"/>
    <cellStyle name="Comma 4 3 2 2 2 5 2 3" xfId="13525" xr:uid="{25FA224D-8775-4993-AC87-5961A8094489}"/>
    <cellStyle name="Comma 4 3 2 2 2 5 3" xfId="6271" xr:uid="{00000000-0005-0000-0000-000027090000}"/>
    <cellStyle name="Comma 4 3 2 2 2 5 3 2" xfId="15597" xr:uid="{A79C5FE1-0078-41CE-8545-829B089A4B4F}"/>
    <cellStyle name="Comma 4 3 2 2 2 5 4" xfId="11380" xr:uid="{35840DBA-6B9A-41AE-9A5F-A345F3F7750C}"/>
    <cellStyle name="Comma 4 3 2 2 2 6" xfId="2400" xr:uid="{00000000-0005-0000-0000-000028090000}"/>
    <cellStyle name="Comma 4 3 2 2 2 6 2" xfId="6684" xr:uid="{00000000-0005-0000-0000-000029090000}"/>
    <cellStyle name="Comma 4 3 2 2 2 6 2 2" xfId="16010" xr:uid="{09F357EA-B475-4611-AF46-F5EADA132CEF}"/>
    <cellStyle name="Comma 4 3 2 2 2 6 3" xfId="11793" xr:uid="{0FC0E8DF-F87E-44E7-8246-EC26EB06E18B}"/>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4FF83AA9-85DC-41C3-A95E-CEB0BF4697EF}"/>
    <cellStyle name="Comma 4 3 2 2 2 8 3" xfId="12110" xr:uid="{B71B384E-0C9D-434F-BD2F-B07CF1062B76}"/>
    <cellStyle name="Comma 4 3 2 2 2 9" xfId="4618" xr:uid="{00000000-0005-0000-0000-00002D090000}"/>
    <cellStyle name="Comma 4 3 2 2 2 9 2" xfId="13944" xr:uid="{3FF88072-82C2-4F70-BFE1-120FE925A9B1}"/>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A65E054B-75D1-4BD4-87AA-A545625BE0E8}"/>
    <cellStyle name="Comma 4 3 2 2 3 2 3" xfId="12285" xr:uid="{12BC1013-0817-4F06-9AA3-A0855695FC56}"/>
    <cellStyle name="Comma 4 3 2 2 3 3" xfId="5031" xr:uid="{00000000-0005-0000-0000-000031090000}"/>
    <cellStyle name="Comma 4 3 2 2 3 3 2" xfId="14357" xr:uid="{7997A985-7830-4C9B-9551-D304B4E47C54}"/>
    <cellStyle name="Comma 4 3 2 2 3 4" xfId="9335" xr:uid="{BACD532B-C811-4076-B107-03E74D1B7113}"/>
    <cellStyle name="Comma 4 3 2 2 3 4 2" xfId="18650" xr:uid="{658F493D-51C7-40C3-97F2-86F9FF5630CD}"/>
    <cellStyle name="Comma 4 3 2 2 3 5" xfId="10140" xr:uid="{8D4A12E4-D0B4-4BDA-8C4A-33E6F5158D7D}"/>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EECFAA8E-555E-40CA-A5D0-3BCC528C1682}"/>
    <cellStyle name="Comma 4 3 2 2 4 2 3" xfId="12698" xr:uid="{CD06CC7E-EED4-45CC-A08C-22F2E3256EFB}"/>
    <cellStyle name="Comma 4 3 2 2 4 3" xfId="5444" xr:uid="{00000000-0005-0000-0000-000035090000}"/>
    <cellStyle name="Comma 4 3 2 2 4 3 2" xfId="14770" xr:uid="{9B1A4F77-3F2A-4675-BC4D-C4686B6BD79C}"/>
    <cellStyle name="Comma 4 3 2 2 4 4" xfId="10553" xr:uid="{83646521-1A34-4D8C-8C85-7B43851C6382}"/>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417386C2-9638-44F3-AD77-42BB99591B15}"/>
    <cellStyle name="Comma 4 3 2 2 5 2 3" xfId="13111" xr:uid="{DA7D05DE-FDA6-488B-8F00-A23F2F895BF0}"/>
    <cellStyle name="Comma 4 3 2 2 5 3" xfId="5857" xr:uid="{00000000-0005-0000-0000-000039090000}"/>
    <cellStyle name="Comma 4 3 2 2 5 3 2" xfId="15183" xr:uid="{656A0C48-E660-45D4-964A-9406F712CE78}"/>
    <cellStyle name="Comma 4 3 2 2 5 4" xfId="10966" xr:uid="{81D4DD8B-F15C-4EEA-A55B-18E93F08E153}"/>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0200AEC0-6AB5-4410-90AF-71AB3451D885}"/>
    <cellStyle name="Comma 4 3 2 2 6 2 3" xfId="13524" xr:uid="{D3E354B5-AFFA-4D7F-97D3-75D4BADF0389}"/>
    <cellStyle name="Comma 4 3 2 2 6 3" xfId="6270" xr:uid="{00000000-0005-0000-0000-00003D090000}"/>
    <cellStyle name="Comma 4 3 2 2 6 3 2" xfId="15596" xr:uid="{F5133017-C4EC-4A5F-BD6B-89F02DAC4C50}"/>
    <cellStyle name="Comma 4 3 2 2 6 4" xfId="11379" xr:uid="{FA687BE3-7DEF-44BD-B697-22283DFD6322}"/>
    <cellStyle name="Comma 4 3 2 2 7" xfId="2399" xr:uid="{00000000-0005-0000-0000-00003E090000}"/>
    <cellStyle name="Comma 4 3 2 2 7 2" xfId="6683" xr:uid="{00000000-0005-0000-0000-00003F090000}"/>
    <cellStyle name="Comma 4 3 2 2 7 2 2" xfId="16009" xr:uid="{D6B08A09-A934-42F1-90F7-9274638A42BB}"/>
    <cellStyle name="Comma 4 3 2 2 7 3" xfId="11792" xr:uid="{9313A42B-932A-41D9-BBC8-BB3866DD5247}"/>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FBD0B9E5-C52C-414D-A20D-F2519218E407}"/>
    <cellStyle name="Comma 4 3 2 2 9 3" xfId="12109" xr:uid="{FF641A05-C6E8-4F92-8D19-47B48204E275}"/>
    <cellStyle name="Comma 4 3 2 3" xfId="148" xr:uid="{00000000-0005-0000-0000-000043090000}"/>
    <cellStyle name="Comma 4 3 2 3 10" xfId="9014" xr:uid="{46568903-2C47-4BC3-8E78-5A47F62B319C}"/>
    <cellStyle name="Comma 4 3 2 3 10 2" xfId="18338" xr:uid="{EC25A242-7FFE-4778-A1C8-FCB66256C06C}"/>
    <cellStyle name="Comma 4 3 2 3 11" xfId="9728" xr:uid="{273009E7-D37B-4588-B361-28D8310CE5FD}"/>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E00A8C8A-8E22-434C-AEEF-4F0BB7E372CA}"/>
    <cellStyle name="Comma 4 3 2 3 2 2 3" xfId="12287" xr:uid="{35C21B22-0C14-46FF-8253-A02CF7D819AC}"/>
    <cellStyle name="Comma 4 3 2 3 2 3" xfId="5033" xr:uid="{00000000-0005-0000-0000-000047090000}"/>
    <cellStyle name="Comma 4 3 2 3 2 3 2" xfId="14359" xr:uid="{A38A2A12-299B-418E-A7D9-08D097025B49}"/>
    <cellStyle name="Comma 4 3 2 3 2 4" xfId="9439" xr:uid="{2FD116B5-6902-4630-AFC5-CC8B06C5F457}"/>
    <cellStyle name="Comma 4 3 2 3 2 4 2" xfId="18754" xr:uid="{CA1A0493-A3EA-4586-83A9-272D41A0B2AF}"/>
    <cellStyle name="Comma 4 3 2 3 2 5" xfId="10142" xr:uid="{24EDC1E2-767A-4860-90F6-DD631AEEBDB7}"/>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049A0A7D-3221-4E1F-9905-489C71C09516}"/>
    <cellStyle name="Comma 4 3 2 3 3 2 3" xfId="12700" xr:uid="{4B999E9E-DFC5-474B-A95D-8CED79BC4CC2}"/>
    <cellStyle name="Comma 4 3 2 3 3 3" xfId="5446" xr:uid="{00000000-0005-0000-0000-00004B090000}"/>
    <cellStyle name="Comma 4 3 2 3 3 3 2" xfId="14772" xr:uid="{5261D703-D05B-4CDC-A05E-BE34ECC9FB4B}"/>
    <cellStyle name="Comma 4 3 2 3 3 4" xfId="10555" xr:uid="{7094F01F-4942-4BB3-81E8-E4AA36ADB55D}"/>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6214CC43-C1DD-444E-A128-DCF00A9615DA}"/>
    <cellStyle name="Comma 4 3 2 3 4 2 3" xfId="13113" xr:uid="{28818391-85BD-43BF-B5A6-17F6461B92B3}"/>
    <cellStyle name="Comma 4 3 2 3 4 3" xfId="5859" xr:uid="{00000000-0005-0000-0000-00004F090000}"/>
    <cellStyle name="Comma 4 3 2 3 4 3 2" xfId="15185" xr:uid="{A1679713-D2DD-47F7-9504-99953C63F2F0}"/>
    <cellStyle name="Comma 4 3 2 3 4 4" xfId="10968" xr:uid="{1CD5103C-0365-494F-83EF-9E46E1CEE3CB}"/>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A6A6EBFD-8748-40AC-B9DC-D04055F48055}"/>
    <cellStyle name="Comma 4 3 2 3 5 2 3" xfId="13526" xr:uid="{2087B167-EB0C-45CD-BEB9-D82C7D008154}"/>
    <cellStyle name="Comma 4 3 2 3 5 3" xfId="6272" xr:uid="{00000000-0005-0000-0000-000053090000}"/>
    <cellStyle name="Comma 4 3 2 3 5 3 2" xfId="15598" xr:uid="{20952704-C1B7-436A-8FDC-B9AD80CCD7EA}"/>
    <cellStyle name="Comma 4 3 2 3 5 4" xfId="11381" xr:uid="{4CCA1EDB-B963-4B68-BE78-D5C67EA183C2}"/>
    <cellStyle name="Comma 4 3 2 3 6" xfId="2401" xr:uid="{00000000-0005-0000-0000-000054090000}"/>
    <cellStyle name="Comma 4 3 2 3 6 2" xfId="6685" xr:uid="{00000000-0005-0000-0000-000055090000}"/>
    <cellStyle name="Comma 4 3 2 3 6 2 2" xfId="16011" xr:uid="{42D44ABA-E00B-41DC-9AAD-8004EC662BF4}"/>
    <cellStyle name="Comma 4 3 2 3 6 3" xfId="11794" xr:uid="{7299F47D-974B-43AB-B77F-06A72B4E4083}"/>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0F9EBF94-3BE9-4EF8-8D23-796AB129D14A}"/>
    <cellStyle name="Comma 4 3 2 3 8 3" xfId="12111" xr:uid="{3284F96C-A76C-4BA3-A866-3090F744F5C5}"/>
    <cellStyle name="Comma 4 3 2 3 9" xfId="4619" xr:uid="{00000000-0005-0000-0000-000059090000}"/>
    <cellStyle name="Comma 4 3 2 3 9 2" xfId="13945" xr:uid="{6B7052FC-C710-4970-924A-88E9E002A618}"/>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072F6429-E353-4475-8298-0640BD432EC8}"/>
    <cellStyle name="Comma 4 3 2 4 2 3" xfId="12284" xr:uid="{B84E077B-A272-4366-82BE-ECA720A801ED}"/>
    <cellStyle name="Comma 4 3 2 4 3" xfId="5030" xr:uid="{00000000-0005-0000-0000-00005D090000}"/>
    <cellStyle name="Comma 4 3 2 4 3 2" xfId="14356" xr:uid="{92DD1A1D-05EA-42CE-9E1D-5AA4F424A011}"/>
    <cellStyle name="Comma 4 3 2 4 4" xfId="9232" xr:uid="{8193451B-D8F0-40BD-91ED-34E7041117F6}"/>
    <cellStyle name="Comma 4 3 2 4 4 2" xfId="18547" xr:uid="{09024F85-2ACA-4011-B586-755A51609937}"/>
    <cellStyle name="Comma 4 3 2 4 5" xfId="10139" xr:uid="{EFAA308F-E1AA-4F2A-8D4F-F4AA1F75A90F}"/>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BF69B719-92BE-4366-8325-A214EEEE6BF9}"/>
    <cellStyle name="Comma 4 3 2 5 2 3" xfId="12697" xr:uid="{042A3A66-4D3C-4E96-8180-00C162E25DB1}"/>
    <cellStyle name="Comma 4 3 2 5 3" xfId="5443" xr:uid="{00000000-0005-0000-0000-000061090000}"/>
    <cellStyle name="Comma 4 3 2 5 3 2" xfId="14769" xr:uid="{E638B0D6-B043-4FA7-B028-484A38BA3129}"/>
    <cellStyle name="Comma 4 3 2 5 4" xfId="10552" xr:uid="{50DBF013-BFDA-4ABC-96F0-743033FE2C1C}"/>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A4B4E2F5-253D-49E3-82B5-A9B009993250}"/>
    <cellStyle name="Comma 4 3 2 6 2 3" xfId="13110" xr:uid="{664A4622-E3C4-4BA7-BC95-903EE56823C1}"/>
    <cellStyle name="Comma 4 3 2 6 3" xfId="5856" xr:uid="{00000000-0005-0000-0000-000065090000}"/>
    <cellStyle name="Comma 4 3 2 6 3 2" xfId="15182" xr:uid="{C31EBFC9-B253-46A9-A856-1402E868784A}"/>
    <cellStyle name="Comma 4 3 2 6 4" xfId="10965" xr:uid="{BEA94C9B-BED1-4FCA-B46F-2B05C6E707DD}"/>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9380A864-6BB2-489B-9312-9D464C08A5CC}"/>
    <cellStyle name="Comma 4 3 2 7 2 3" xfId="13523" xr:uid="{4EDDF684-B5AC-4539-A7B5-FC90FBB2CC69}"/>
    <cellStyle name="Comma 4 3 2 7 3" xfId="6269" xr:uid="{00000000-0005-0000-0000-000069090000}"/>
    <cellStyle name="Comma 4 3 2 7 3 2" xfId="15595" xr:uid="{9BC71AE3-898B-45F4-A810-00BBFFDC98E3}"/>
    <cellStyle name="Comma 4 3 2 7 4" xfId="11378" xr:uid="{08DBDB21-D7F0-477A-9149-7FF42A418ACC}"/>
    <cellStyle name="Comma 4 3 2 8" xfId="2398" xr:uid="{00000000-0005-0000-0000-00006A090000}"/>
    <cellStyle name="Comma 4 3 2 8 2" xfId="6682" xr:uid="{00000000-0005-0000-0000-00006B090000}"/>
    <cellStyle name="Comma 4 3 2 8 2 2" xfId="16008" xr:uid="{3CB21476-5B2B-4C5C-898F-8C19E42CD1F4}"/>
    <cellStyle name="Comma 4 3 2 8 3" xfId="11791" xr:uid="{9C0DB2E4-77C5-4CED-A841-E5B9431A0C8F}"/>
    <cellStyle name="Comma 4 3 2 9" xfId="2365" xr:uid="{00000000-0005-0000-0000-00006C090000}"/>
    <cellStyle name="Comma 4 3 3" xfId="149" xr:uid="{00000000-0005-0000-0000-00006D090000}"/>
    <cellStyle name="Comma 4 3 3 10" xfId="4620" xr:uid="{00000000-0005-0000-0000-00006E090000}"/>
    <cellStyle name="Comma 4 3 3 10 2" xfId="13946" xr:uid="{A85668FD-E6AF-486B-A5E5-BF51619DA391}"/>
    <cellStyle name="Comma 4 3 3 11" xfId="8881" xr:uid="{ACA3BC7C-CED7-49C2-9DC3-E2A3989962E9}"/>
    <cellStyle name="Comma 4 3 3 11 2" xfId="18205" xr:uid="{F3AA889A-359B-431D-B0F0-5A43398BF28F}"/>
    <cellStyle name="Comma 4 3 3 12" xfId="9729" xr:uid="{EC1A06E3-AD8D-4010-9DE3-9D46878AA108}"/>
    <cellStyle name="Comma 4 3 3 2" xfId="150" xr:uid="{00000000-0005-0000-0000-00006F090000}"/>
    <cellStyle name="Comma 4 3 3 2 10" xfId="9088" xr:uid="{D40CFC42-DEA3-4A4C-8532-2B6CFC29229D}"/>
    <cellStyle name="Comma 4 3 3 2 10 2" xfId="18412" xr:uid="{440AA7C4-AFC7-4CE1-A3FF-F3250ABE7EA3}"/>
    <cellStyle name="Comma 4 3 3 2 11" xfId="9730" xr:uid="{0D6B0B73-FC72-4692-8A2E-C87BDA126D1A}"/>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71161024-7547-448F-9682-E4660D8ECB24}"/>
    <cellStyle name="Comma 4 3 3 2 2 2 3" xfId="12289" xr:uid="{CCB24743-7159-4DE5-A077-6FC07ECD44C3}"/>
    <cellStyle name="Comma 4 3 3 2 2 3" xfId="5035" xr:uid="{00000000-0005-0000-0000-000073090000}"/>
    <cellStyle name="Comma 4 3 3 2 2 3 2" xfId="14361" xr:uid="{EE32B2D6-83C6-468F-A6E5-2EA5E7D913B0}"/>
    <cellStyle name="Comma 4 3 3 2 2 4" xfId="9513" xr:uid="{986E0DAD-8ABC-4DAC-9C56-EF87B6B3B829}"/>
    <cellStyle name="Comma 4 3 3 2 2 4 2" xfId="18828" xr:uid="{B60D4135-7DE5-4FC2-919F-12315F242FC6}"/>
    <cellStyle name="Comma 4 3 3 2 2 5" xfId="10144" xr:uid="{6659BDED-DF89-475B-B5E0-B98F545A20F0}"/>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82FAA017-E991-4898-9946-E674B14B9A9D}"/>
    <cellStyle name="Comma 4 3 3 2 3 2 3" xfId="12702" xr:uid="{3DEC3E60-21F5-4D81-B3D8-BB32B380D136}"/>
    <cellStyle name="Comma 4 3 3 2 3 3" xfId="5448" xr:uid="{00000000-0005-0000-0000-000077090000}"/>
    <cellStyle name="Comma 4 3 3 2 3 3 2" xfId="14774" xr:uid="{745AD795-946C-42D0-A2B6-92F1C296A162}"/>
    <cellStyle name="Comma 4 3 3 2 3 4" xfId="10557" xr:uid="{49C23F7B-3DDE-4CE4-ADD4-B0267F1D4285}"/>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86178DC6-1CB2-472D-AA5E-0A8E329E4294}"/>
    <cellStyle name="Comma 4 3 3 2 4 2 3" xfId="13115" xr:uid="{F7E3C376-BF63-4445-8F06-7C2C6A6797D0}"/>
    <cellStyle name="Comma 4 3 3 2 4 3" xfId="5861" xr:uid="{00000000-0005-0000-0000-00007B090000}"/>
    <cellStyle name="Comma 4 3 3 2 4 3 2" xfId="15187" xr:uid="{087F6887-C018-40DF-937E-3D4A300F7AD4}"/>
    <cellStyle name="Comma 4 3 3 2 4 4" xfId="10970" xr:uid="{BFC6CA19-BB1C-4B27-BFAF-1209747C93BF}"/>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8B60149E-7D2E-40AC-9C42-3F7739A0B0D1}"/>
    <cellStyle name="Comma 4 3 3 2 5 2 3" xfId="13528" xr:uid="{2CA5BDAE-543F-4526-B910-CFF27EEDE423}"/>
    <cellStyle name="Comma 4 3 3 2 5 3" xfId="6274" xr:uid="{00000000-0005-0000-0000-00007F090000}"/>
    <cellStyle name="Comma 4 3 3 2 5 3 2" xfId="15600" xr:uid="{CD6A5832-E33A-40E1-BD72-5FB5BF042FD0}"/>
    <cellStyle name="Comma 4 3 3 2 5 4" xfId="11383" xr:uid="{9DD36DF7-31BF-4FCA-B95B-BA0E4505E209}"/>
    <cellStyle name="Comma 4 3 3 2 6" xfId="2403" xr:uid="{00000000-0005-0000-0000-000080090000}"/>
    <cellStyle name="Comma 4 3 3 2 6 2" xfId="6687" xr:uid="{00000000-0005-0000-0000-000081090000}"/>
    <cellStyle name="Comma 4 3 3 2 6 2 2" xfId="16013" xr:uid="{549B9294-C864-4B8F-867D-97DC2FF5546A}"/>
    <cellStyle name="Comma 4 3 3 2 6 3" xfId="11796" xr:uid="{1494E03A-76D2-4F6D-83C8-5A185A155EC2}"/>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A746EE49-BD10-4DD7-A64A-20D3DD674FFC}"/>
    <cellStyle name="Comma 4 3 3 2 8 3" xfId="12113" xr:uid="{4B10ECDB-F51B-4459-9F36-6627D5629F37}"/>
    <cellStyle name="Comma 4 3 3 2 9" xfId="4621" xr:uid="{00000000-0005-0000-0000-000085090000}"/>
    <cellStyle name="Comma 4 3 3 2 9 2" xfId="13947" xr:uid="{26AB57F3-CCFB-48BD-8425-B97C09C36153}"/>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F83F95A1-B286-4684-8F2C-240598D93B79}"/>
    <cellStyle name="Comma 4 3 3 3 2 3" xfId="12288" xr:uid="{AB1E77D0-DBE6-499E-BF02-FCAECF7D0A20}"/>
    <cellStyle name="Comma 4 3 3 3 3" xfId="5034" xr:uid="{00000000-0005-0000-0000-000089090000}"/>
    <cellStyle name="Comma 4 3 3 3 3 2" xfId="14360" xr:uid="{20B50988-74AF-4AD7-AC90-CDF2F4BCFC95}"/>
    <cellStyle name="Comma 4 3 3 3 4" xfId="9306" xr:uid="{6AC2749B-EC1D-4760-AD4B-F36381A669B6}"/>
    <cellStyle name="Comma 4 3 3 3 4 2" xfId="18621" xr:uid="{784BCB2E-D713-43EA-8413-EA561434EB79}"/>
    <cellStyle name="Comma 4 3 3 3 5" xfId="10143" xr:uid="{C31BFB06-3B48-4FD2-B467-F7FE13CA06FE}"/>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2BC4BD57-2D4A-4766-A9C0-12E8C2C4028A}"/>
    <cellStyle name="Comma 4 3 3 4 2 3" xfId="12701" xr:uid="{41104708-D685-4F8D-94FD-AAB0C5F045E3}"/>
    <cellStyle name="Comma 4 3 3 4 3" xfId="5447" xr:uid="{00000000-0005-0000-0000-00008D090000}"/>
    <cellStyle name="Comma 4 3 3 4 3 2" xfId="14773" xr:uid="{5A5DE731-F72E-4543-9322-F69C3A07A943}"/>
    <cellStyle name="Comma 4 3 3 4 4" xfId="10556" xr:uid="{FBC95013-6FEE-4EC9-9B50-4FDB43BAE2F7}"/>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186B9D30-F0C9-470B-A9F8-6E741889BB32}"/>
    <cellStyle name="Comma 4 3 3 5 2 3" xfId="13114" xr:uid="{560D3C27-D7A8-4F78-A77A-CEF90B21804A}"/>
    <cellStyle name="Comma 4 3 3 5 3" xfId="5860" xr:uid="{00000000-0005-0000-0000-000091090000}"/>
    <cellStyle name="Comma 4 3 3 5 3 2" xfId="15186" xr:uid="{21386245-FA4A-4F5B-8D31-84A8CA8F31B8}"/>
    <cellStyle name="Comma 4 3 3 5 4" xfId="10969" xr:uid="{687FCA08-D730-42EB-9E46-D1B919995F74}"/>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13B6ED99-6A4C-4DB5-9B7B-DF1A20422052}"/>
    <cellStyle name="Comma 4 3 3 6 2 3" xfId="13527" xr:uid="{336CF98C-E7F2-40F5-8197-EC6B57E5EC86}"/>
    <cellStyle name="Comma 4 3 3 6 3" xfId="6273" xr:uid="{00000000-0005-0000-0000-000095090000}"/>
    <cellStyle name="Comma 4 3 3 6 3 2" xfId="15599" xr:uid="{E4541634-8102-4EA8-A33A-7409CFE61CDE}"/>
    <cellStyle name="Comma 4 3 3 6 4" xfId="11382" xr:uid="{CC125704-CBF0-4404-9B16-01D7AFAB2870}"/>
    <cellStyle name="Comma 4 3 3 7" xfId="2402" xr:uid="{00000000-0005-0000-0000-000096090000}"/>
    <cellStyle name="Comma 4 3 3 7 2" xfId="6686" xr:uid="{00000000-0005-0000-0000-000097090000}"/>
    <cellStyle name="Comma 4 3 3 7 2 2" xfId="16012" xr:uid="{E20DFB58-7DF0-47AE-A903-9D5F2FFC1F19}"/>
    <cellStyle name="Comma 4 3 3 7 3" xfId="11795" xr:uid="{68ACFECD-5272-438D-B578-FBDB56B2881F}"/>
    <cellStyle name="Comma 4 3 3 8" xfId="2361" xr:uid="{00000000-0005-0000-0000-000098090000}"/>
    <cellStyle name="Comma 4 3 3 9" xfId="2780" xr:uid="{00000000-0005-0000-0000-000099090000}"/>
    <cellStyle name="Comma 4 3 3 9 2" xfId="7003" xr:uid="{00000000-0005-0000-0000-00009A090000}"/>
    <cellStyle name="Comma 4 3 3 9 2 2" xfId="16329" xr:uid="{B700BEC7-A543-4D53-8B8D-C9ECC92C931A}"/>
    <cellStyle name="Comma 4 3 3 9 3" xfId="12112" xr:uid="{BA26638B-D816-4C27-8D98-C3842CC6C4A2}"/>
    <cellStyle name="Comma 4 3 4" xfId="151" xr:uid="{00000000-0005-0000-0000-00009B090000}"/>
    <cellStyle name="Comma 4 3 4 10" xfId="8985" xr:uid="{E965CEC1-A932-4F91-9E18-794CBF7DC7FC}"/>
    <cellStyle name="Comma 4 3 4 10 2" xfId="18309" xr:uid="{2265AB75-2960-46B8-85D6-0CE5871D165F}"/>
    <cellStyle name="Comma 4 3 4 11" xfId="9731" xr:uid="{7DE5E701-D8A3-4BB1-A84A-53C994739A9B}"/>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EDD8A4A5-528B-47BE-AE26-2989D44F711F}"/>
    <cellStyle name="Comma 4 3 4 2 2 3" xfId="12290" xr:uid="{6E20F265-9C19-4245-81A4-7178F8A49183}"/>
    <cellStyle name="Comma 4 3 4 2 3" xfId="5036" xr:uid="{00000000-0005-0000-0000-00009F090000}"/>
    <cellStyle name="Comma 4 3 4 2 3 2" xfId="14362" xr:uid="{D17A8E7F-E54D-4221-97F5-0CD0F13E9556}"/>
    <cellStyle name="Comma 4 3 4 2 4" xfId="9410" xr:uid="{54DEC146-6204-4AAF-A15F-BAC0A12B5984}"/>
    <cellStyle name="Comma 4 3 4 2 4 2" xfId="18725" xr:uid="{5B9D934E-C161-41A6-8655-84BF88D709DF}"/>
    <cellStyle name="Comma 4 3 4 2 5" xfId="10145" xr:uid="{053E08AB-C7A6-449E-872B-C6855B08156B}"/>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24CD988C-9AF9-4909-8ADF-AED50DF346F3}"/>
    <cellStyle name="Comma 4 3 4 3 2 3" xfId="12703" xr:uid="{C76A2858-11C6-451C-859D-64E48B9CD6FE}"/>
    <cellStyle name="Comma 4 3 4 3 3" xfId="5449" xr:uid="{00000000-0005-0000-0000-0000A3090000}"/>
    <cellStyle name="Comma 4 3 4 3 3 2" xfId="14775" xr:uid="{387F12C1-07BF-4A99-B670-44DDAD557790}"/>
    <cellStyle name="Comma 4 3 4 3 4" xfId="10558" xr:uid="{79D51F63-2640-4B1F-AEF5-D6BC1DA4F0FA}"/>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625A9A33-904A-4099-A4AA-10BAC2BBB5CD}"/>
    <cellStyle name="Comma 4 3 4 4 2 3" xfId="13116" xr:uid="{096D3FBA-2809-446D-9E0E-7D5E9BC6EC7C}"/>
    <cellStyle name="Comma 4 3 4 4 3" xfId="5862" xr:uid="{00000000-0005-0000-0000-0000A7090000}"/>
    <cellStyle name="Comma 4 3 4 4 3 2" xfId="15188" xr:uid="{7CC4BF22-995E-4FA1-97C1-67220991A23A}"/>
    <cellStyle name="Comma 4 3 4 4 4" xfId="10971" xr:uid="{E6503FF3-3E58-40CE-AA9C-FFCC99D9132C}"/>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70993458-74E9-43B5-AF5D-3A50BBF379B4}"/>
    <cellStyle name="Comma 4 3 4 5 2 3" xfId="13529" xr:uid="{8298F615-F8B3-4F59-8D76-5CEE9F99EDF5}"/>
    <cellStyle name="Comma 4 3 4 5 3" xfId="6275" xr:uid="{00000000-0005-0000-0000-0000AB090000}"/>
    <cellStyle name="Comma 4 3 4 5 3 2" xfId="15601" xr:uid="{C9476B27-BF0D-4CB9-8739-FDC3E923856D}"/>
    <cellStyle name="Comma 4 3 4 5 4" xfId="11384" xr:uid="{06DDEEBD-F63A-4F9F-BEC2-443C0B997145}"/>
    <cellStyle name="Comma 4 3 4 6" xfId="2404" xr:uid="{00000000-0005-0000-0000-0000AC090000}"/>
    <cellStyle name="Comma 4 3 4 6 2" xfId="6688" xr:uid="{00000000-0005-0000-0000-0000AD090000}"/>
    <cellStyle name="Comma 4 3 4 6 2 2" xfId="16014" xr:uid="{A9DD0AED-A734-40EE-BAE1-155F98495004}"/>
    <cellStyle name="Comma 4 3 4 6 3" xfId="11797" xr:uid="{DCA6F27A-0E0C-4DFA-85DE-95C4FD74A2BF}"/>
    <cellStyle name="Comma 4 3 4 7" xfId="2700" xr:uid="{00000000-0005-0000-0000-0000AE090000}"/>
    <cellStyle name="Comma 4 3 4 8" xfId="2782" xr:uid="{00000000-0005-0000-0000-0000AF090000}"/>
    <cellStyle name="Comma 4 3 4 8 2" xfId="7005" xr:uid="{00000000-0005-0000-0000-0000B0090000}"/>
    <cellStyle name="Comma 4 3 4 8 2 2" xfId="16331" xr:uid="{D4136332-B942-4D8B-81BE-1909281D59B1}"/>
    <cellStyle name="Comma 4 3 4 8 3" xfId="12114" xr:uid="{E4440E0A-4480-49CD-9CFD-E55A03A6EA3C}"/>
    <cellStyle name="Comma 4 3 4 9" xfId="4622" xr:uid="{00000000-0005-0000-0000-0000B1090000}"/>
    <cellStyle name="Comma 4 3 4 9 2" xfId="13948" xr:uid="{B846A861-B8F1-4DC5-86F3-5ADFE67FD198}"/>
    <cellStyle name="Comma 4 3 5" xfId="152" xr:uid="{00000000-0005-0000-0000-0000B2090000}"/>
    <cellStyle name="Comma 4 3 5 10" xfId="9202" xr:uid="{BF5456DA-E11C-47BD-8210-21F45D9E5F79}"/>
    <cellStyle name="Comma 4 3 5 10 2" xfId="18518" xr:uid="{95794577-581B-4D73-AFE4-4F201BFB62F2}"/>
    <cellStyle name="Comma 4 3 5 11" xfId="9732" xr:uid="{3610F74D-EF68-4509-89F1-D6B65A6E0F8F}"/>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641246D1-E12A-4549-AFB7-AF66522087EB}"/>
    <cellStyle name="Comma 4 3 5 2 2 3" xfId="12291" xr:uid="{D9F0DE29-B3D2-4D5F-95E1-DCF88D91DFEC}"/>
    <cellStyle name="Comma 4 3 5 2 3" xfId="5037" xr:uid="{00000000-0005-0000-0000-0000B6090000}"/>
    <cellStyle name="Comma 4 3 5 2 3 2" xfId="14363" xr:uid="{408F9144-8018-4EBA-96AC-E18775D21583}"/>
    <cellStyle name="Comma 4 3 5 2 4" xfId="9595" xr:uid="{3E6BF710-D2EA-4AFB-83F1-C6BF1C2192FF}"/>
    <cellStyle name="Comma 4 3 5 2 4 2" xfId="18899" xr:uid="{8A1E4508-7663-427F-BBB6-A8DC0F310E3A}"/>
    <cellStyle name="Comma 4 3 5 2 5" xfId="10146" xr:uid="{8506CC6C-2D82-4300-AC34-F57A061D66B3}"/>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5915F7E6-5185-4393-A36F-590D9D219344}"/>
    <cellStyle name="Comma 4 3 5 3 2 3" xfId="12704" xr:uid="{AAFDC07F-89E4-4886-A6F0-D8967DC87693}"/>
    <cellStyle name="Comma 4 3 5 3 3" xfId="5450" xr:uid="{00000000-0005-0000-0000-0000BA090000}"/>
    <cellStyle name="Comma 4 3 5 3 3 2" xfId="14776" xr:uid="{724BC332-9FF3-4989-AAD2-CECE9EF91ED4}"/>
    <cellStyle name="Comma 4 3 5 3 4" xfId="10559" xr:uid="{675224D9-1324-4B44-9BD4-3F3592A8C27C}"/>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286CAD89-EECF-4553-A75A-9D2738FFB96F}"/>
    <cellStyle name="Comma 4 3 5 4 2 3" xfId="13117" xr:uid="{C008352E-E6BB-4F69-A0C3-0AEC72784BB9}"/>
    <cellStyle name="Comma 4 3 5 4 3" xfId="5863" xr:uid="{00000000-0005-0000-0000-0000BE090000}"/>
    <cellStyle name="Comma 4 3 5 4 3 2" xfId="15189" xr:uid="{B20DC455-E72A-4976-B3B4-2626AEE9F645}"/>
    <cellStyle name="Comma 4 3 5 4 4" xfId="10972" xr:uid="{FCF9E753-EDA1-4DB6-9482-3A229068A6CA}"/>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AF9A1E6C-1303-404E-AE36-BFEF4724D30C}"/>
    <cellStyle name="Comma 4 3 5 5 2 3" xfId="13530" xr:uid="{5A1D3C6E-9F0F-4B5D-8BCA-A18DF4657457}"/>
    <cellStyle name="Comma 4 3 5 5 3" xfId="6276" xr:uid="{00000000-0005-0000-0000-0000C2090000}"/>
    <cellStyle name="Comma 4 3 5 5 3 2" xfId="15602" xr:uid="{44EC9CFD-AC7C-458B-9982-6E5A27761C68}"/>
    <cellStyle name="Comma 4 3 5 5 4" xfId="11385" xr:uid="{7F933D93-D06B-4781-9AAC-BC40CE5EC7CB}"/>
    <cellStyle name="Comma 4 3 5 6" xfId="2405" xr:uid="{00000000-0005-0000-0000-0000C3090000}"/>
    <cellStyle name="Comma 4 3 5 6 2" xfId="6689" xr:uid="{00000000-0005-0000-0000-0000C4090000}"/>
    <cellStyle name="Comma 4 3 5 6 2 2" xfId="16015" xr:uid="{656F897C-C368-41E8-AEAC-8DA2FC16DBB7}"/>
    <cellStyle name="Comma 4 3 5 6 3" xfId="11798" xr:uid="{274C8639-6FA6-4249-A0E5-E99B0FE29DFD}"/>
    <cellStyle name="Comma 4 3 5 7" xfId="2701" xr:uid="{00000000-0005-0000-0000-0000C5090000}"/>
    <cellStyle name="Comma 4 3 5 8" xfId="2783" xr:uid="{00000000-0005-0000-0000-0000C6090000}"/>
    <cellStyle name="Comma 4 3 5 8 2" xfId="7006" xr:uid="{00000000-0005-0000-0000-0000C7090000}"/>
    <cellStyle name="Comma 4 3 5 8 2 2" xfId="16332" xr:uid="{6B59F95F-874A-49BE-8147-6152674F1BFF}"/>
    <cellStyle name="Comma 4 3 5 8 3" xfId="12115" xr:uid="{7E2FFE50-67CA-4E0A-8A0B-7DC71F1E94B2}"/>
    <cellStyle name="Comma 4 3 5 9" xfId="4623" xr:uid="{00000000-0005-0000-0000-0000C8090000}"/>
    <cellStyle name="Comma 4 3 5 9 2" xfId="13949" xr:uid="{DB23BC34-7FB9-490F-AC3E-D4783B6DF73E}"/>
    <cellStyle name="Comma 4 3 6" xfId="9582" xr:uid="{F1B74700-6F25-44D3-B4B6-1EFC63A6078B}"/>
    <cellStyle name="Comma 4 3 7" xfId="8778" xr:uid="{01CB0168-3495-42C5-9A13-F25D4D0EF35E}"/>
    <cellStyle name="Comma 4 3 7 2" xfId="18102" xr:uid="{00D45F19-87AE-4A33-AC27-9876A8C6B39D}"/>
    <cellStyle name="Comma 4 4" xfId="153" xr:uid="{00000000-0005-0000-0000-0000C9090000}"/>
    <cellStyle name="Comma 4 4 10" xfId="2784" xr:uid="{00000000-0005-0000-0000-0000CA090000}"/>
    <cellStyle name="Comma 4 4 10 2" xfId="7007" xr:uid="{00000000-0005-0000-0000-0000CB090000}"/>
    <cellStyle name="Comma 4 4 10 2 2" xfId="16333" xr:uid="{2B20EE31-F729-43D2-A977-DB1621A9DB50}"/>
    <cellStyle name="Comma 4 4 10 3" xfId="12116" xr:uid="{B9E94968-7ECC-43F9-9F2D-9D7BA4FF5429}"/>
    <cellStyle name="Comma 4 4 11" xfId="4624" xr:uid="{00000000-0005-0000-0000-0000CC090000}"/>
    <cellStyle name="Comma 4 4 11 2" xfId="13950" xr:uid="{C1CA3C58-530A-484A-83CD-B7E2F8DE1340}"/>
    <cellStyle name="Comma 4 4 12" xfId="8804" xr:uid="{A2BB6322-7771-45CD-845C-77E2FE03AC7A}"/>
    <cellStyle name="Comma 4 4 12 2" xfId="18128" xr:uid="{FB6857EE-38FA-41E2-8099-3527DDE4DE69}"/>
    <cellStyle name="Comma 4 4 13" xfId="9733" xr:uid="{10BBDAA1-513C-4115-960F-4BEF063EC43D}"/>
    <cellStyle name="Comma 4 4 2" xfId="154" xr:uid="{00000000-0005-0000-0000-0000CD090000}"/>
    <cellStyle name="Comma 4 4 2 10" xfId="4625" xr:uid="{00000000-0005-0000-0000-0000CE090000}"/>
    <cellStyle name="Comma 4 4 2 10 2" xfId="13951" xr:uid="{2D0AC381-32E5-4D0B-93DD-D3FEC27763F3}"/>
    <cellStyle name="Comma 4 4 2 11" xfId="8907" xr:uid="{F9F87618-3BA1-4211-A686-62CF5BBA5770}"/>
    <cellStyle name="Comma 4 4 2 11 2" xfId="18231" xr:uid="{A8B081E5-962B-4C6D-B734-5097480C27FA}"/>
    <cellStyle name="Comma 4 4 2 12" xfId="9734" xr:uid="{1C8F48DE-69A0-4B46-8A35-0AA7B6BE024F}"/>
    <cellStyle name="Comma 4 4 2 2" xfId="155" xr:uid="{00000000-0005-0000-0000-0000CF090000}"/>
    <cellStyle name="Comma 4 4 2 2 10" xfId="9114" xr:uid="{871FAC03-A44E-4C24-806C-3CC0605FD124}"/>
    <cellStyle name="Comma 4 4 2 2 10 2" xfId="18438" xr:uid="{6121DA08-3FAE-4125-B7E6-1D86A1523F3B}"/>
    <cellStyle name="Comma 4 4 2 2 11" xfId="9735" xr:uid="{FEE59F47-6FB7-4A26-BFE1-841B27E6B7CA}"/>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B47570B1-3871-4688-BD14-F4D37C29D165}"/>
    <cellStyle name="Comma 4 4 2 2 2 2 3" xfId="12294" xr:uid="{D1767CBB-33D7-43D7-88E7-90C1AB98ABCB}"/>
    <cellStyle name="Comma 4 4 2 2 2 3" xfId="5040" xr:uid="{00000000-0005-0000-0000-0000D3090000}"/>
    <cellStyle name="Comma 4 4 2 2 2 3 2" xfId="14366" xr:uid="{97F716B7-F493-4693-88B2-7667EC1756BF}"/>
    <cellStyle name="Comma 4 4 2 2 2 4" xfId="9539" xr:uid="{6209A471-8158-46C6-9ADA-C828BB6621B2}"/>
    <cellStyle name="Comma 4 4 2 2 2 4 2" xfId="18854" xr:uid="{8D7FA3C8-D341-4CD5-B6B2-9CDC9612EDBE}"/>
    <cellStyle name="Comma 4 4 2 2 2 5" xfId="10149" xr:uid="{D520EAB8-6F24-4E73-AD76-76262A9A1928}"/>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FBF5483D-D5D9-40C1-B8B8-7D8D8DF68CA8}"/>
    <cellStyle name="Comma 4 4 2 2 3 2 3" xfId="12707" xr:uid="{8BCD43F4-D262-4407-93C8-34A875126AFC}"/>
    <cellStyle name="Comma 4 4 2 2 3 3" xfId="5453" xr:uid="{00000000-0005-0000-0000-0000D7090000}"/>
    <cellStyle name="Comma 4 4 2 2 3 3 2" xfId="14779" xr:uid="{052E8F14-C793-4951-84B6-46E2375EA17C}"/>
    <cellStyle name="Comma 4 4 2 2 3 4" xfId="10562" xr:uid="{5486E80F-D2BE-4B77-BB75-4E92593E19B4}"/>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F34F80B6-64F2-48DB-A310-CC0DEA99A6DD}"/>
    <cellStyle name="Comma 4 4 2 2 4 2 3" xfId="13120" xr:uid="{8E3581C9-7BC4-4E23-A434-A1563A17AC89}"/>
    <cellStyle name="Comma 4 4 2 2 4 3" xfId="5866" xr:uid="{00000000-0005-0000-0000-0000DB090000}"/>
    <cellStyle name="Comma 4 4 2 2 4 3 2" xfId="15192" xr:uid="{8043334A-4092-4889-BE25-68F2EF31C0D5}"/>
    <cellStyle name="Comma 4 4 2 2 4 4" xfId="10975" xr:uid="{8498BD0D-6BF1-4DC6-B6D9-B603E24C4F2D}"/>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00DA65F2-86F4-4824-AD25-DC8D4E16A807}"/>
    <cellStyle name="Comma 4 4 2 2 5 2 3" xfId="13533" xr:uid="{23AC5725-49EF-429D-BDE0-2285562E1E78}"/>
    <cellStyle name="Comma 4 4 2 2 5 3" xfId="6279" xr:uid="{00000000-0005-0000-0000-0000DF090000}"/>
    <cellStyle name="Comma 4 4 2 2 5 3 2" xfId="15605" xr:uid="{67FBA0E0-9364-4AF0-9D94-0AD298367184}"/>
    <cellStyle name="Comma 4 4 2 2 5 4" xfId="11388" xr:uid="{D0D8A963-590F-4ED4-863E-284D215F9A79}"/>
    <cellStyle name="Comma 4 4 2 2 6" xfId="2408" xr:uid="{00000000-0005-0000-0000-0000E0090000}"/>
    <cellStyle name="Comma 4 4 2 2 6 2" xfId="6692" xr:uid="{00000000-0005-0000-0000-0000E1090000}"/>
    <cellStyle name="Comma 4 4 2 2 6 2 2" xfId="16018" xr:uid="{74F3890D-291D-4F48-BF9C-16D38614C8E7}"/>
    <cellStyle name="Comma 4 4 2 2 6 3" xfId="11801" xr:uid="{393B508A-0C1C-465A-9D61-05418307F52A}"/>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7AEBAD43-1531-45DA-893A-7CE5D12C4634}"/>
    <cellStyle name="Comma 4 4 2 2 8 3" xfId="12118" xr:uid="{EC81473C-87AF-4298-A4FC-D1D7F9A30877}"/>
    <cellStyle name="Comma 4 4 2 2 9" xfId="4626" xr:uid="{00000000-0005-0000-0000-0000E5090000}"/>
    <cellStyle name="Comma 4 4 2 2 9 2" xfId="13952" xr:uid="{DAACFE89-4792-4050-A052-AD74A46F20B5}"/>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BEB19506-DDA7-40F7-B6C4-DAC0C2066325}"/>
    <cellStyle name="Comma 4 4 2 3 2 3" xfId="12293" xr:uid="{D5372230-50E2-43A6-83C2-44F4B9BD497C}"/>
    <cellStyle name="Comma 4 4 2 3 3" xfId="5039" xr:uid="{00000000-0005-0000-0000-0000E9090000}"/>
    <cellStyle name="Comma 4 4 2 3 3 2" xfId="14365" xr:uid="{9BCACC67-ADCD-4CB8-B561-0AEB64945A6A}"/>
    <cellStyle name="Comma 4 4 2 3 4" xfId="9332" xr:uid="{00F59ECD-64D7-476B-90FD-CD86F054AE4D}"/>
    <cellStyle name="Comma 4 4 2 3 4 2" xfId="18647" xr:uid="{B831C4D5-BD5D-4F72-AAD9-B387EA059CA9}"/>
    <cellStyle name="Comma 4 4 2 3 5" xfId="10148" xr:uid="{FC8532BE-2C9D-4250-A4E3-5F078ED01812}"/>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5A026B4A-7908-4E3F-84CC-B50A400EE3D5}"/>
    <cellStyle name="Comma 4 4 2 4 2 3" xfId="12706" xr:uid="{0B54D710-18A0-4AD9-81B2-32326558696A}"/>
    <cellStyle name="Comma 4 4 2 4 3" xfId="5452" xr:uid="{00000000-0005-0000-0000-0000ED090000}"/>
    <cellStyle name="Comma 4 4 2 4 3 2" xfId="14778" xr:uid="{C40F9C09-D0E9-4108-9A88-9AA21E5DD1AD}"/>
    <cellStyle name="Comma 4 4 2 4 4" xfId="10561" xr:uid="{274B11FA-27EA-4C30-8662-C24AE5CFD8C4}"/>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27C2CC86-3DB3-45F4-AE13-C914E580F8BD}"/>
    <cellStyle name="Comma 4 4 2 5 2 3" xfId="13119" xr:uid="{08239D4E-1E53-4BEE-AAC0-429D3CA1B7D0}"/>
    <cellStyle name="Comma 4 4 2 5 3" xfId="5865" xr:uid="{00000000-0005-0000-0000-0000F1090000}"/>
    <cellStyle name="Comma 4 4 2 5 3 2" xfId="15191" xr:uid="{5FCCA4E6-2CAF-490E-B7E8-F1DF77DE7BB6}"/>
    <cellStyle name="Comma 4 4 2 5 4" xfId="10974" xr:uid="{B40FF7FC-726B-4065-B07A-16E0DD0F3EBE}"/>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347987AB-92B0-4EC7-B970-37B7905FE394}"/>
    <cellStyle name="Comma 4 4 2 6 2 3" xfId="13532" xr:uid="{6212C1F5-F7BD-4B02-90EB-CE037574C811}"/>
    <cellStyle name="Comma 4 4 2 6 3" xfId="6278" xr:uid="{00000000-0005-0000-0000-0000F5090000}"/>
    <cellStyle name="Comma 4 4 2 6 3 2" xfId="15604" xr:uid="{DC2AEACC-9D20-4090-881A-8A82D963FDF4}"/>
    <cellStyle name="Comma 4 4 2 6 4" xfId="11387" xr:uid="{4F58F476-3B7F-4771-B75E-FC67285558C5}"/>
    <cellStyle name="Comma 4 4 2 7" xfId="2407" xr:uid="{00000000-0005-0000-0000-0000F6090000}"/>
    <cellStyle name="Comma 4 4 2 7 2" xfId="6691" xr:uid="{00000000-0005-0000-0000-0000F7090000}"/>
    <cellStyle name="Comma 4 4 2 7 2 2" xfId="16017" xr:uid="{24D95A5B-D5D1-4009-B01B-F3E85DC56B78}"/>
    <cellStyle name="Comma 4 4 2 7 3" xfId="11800" xr:uid="{1E6C38F2-9FE3-4DC4-830F-1FBF82BCA82A}"/>
    <cellStyle name="Comma 4 4 2 8" xfId="2703" xr:uid="{00000000-0005-0000-0000-0000F8090000}"/>
    <cellStyle name="Comma 4 4 2 9" xfId="2785" xr:uid="{00000000-0005-0000-0000-0000F9090000}"/>
    <cellStyle name="Comma 4 4 2 9 2" xfId="7008" xr:uid="{00000000-0005-0000-0000-0000FA090000}"/>
    <cellStyle name="Comma 4 4 2 9 2 2" xfId="16334" xr:uid="{D108F8D8-D7BD-4B91-AFAC-9883592BE8B3}"/>
    <cellStyle name="Comma 4 4 2 9 3" xfId="12117" xr:uid="{31644377-037C-4BBB-A86A-A6BA4520BE7A}"/>
    <cellStyle name="Comma 4 4 3" xfId="156" xr:uid="{00000000-0005-0000-0000-0000FB090000}"/>
    <cellStyle name="Comma 4 4 3 10" xfId="9011" xr:uid="{31ED03AD-AB12-49AF-9AD4-B783F0BF7322}"/>
    <cellStyle name="Comma 4 4 3 10 2" xfId="18335" xr:uid="{F4BF53F7-9FAF-4D98-93D4-1D4B884D306C}"/>
    <cellStyle name="Comma 4 4 3 11" xfId="9736" xr:uid="{4B812E0D-AEB0-4200-87C5-8041C9DD7DEE}"/>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5312BB61-1D70-4583-9F21-C0C0D47606FA}"/>
    <cellStyle name="Comma 4 4 3 2 2 3" xfId="12295" xr:uid="{1D8B0C68-7873-4AEA-9F21-F9ABB7A5F0BC}"/>
    <cellStyle name="Comma 4 4 3 2 3" xfId="5041" xr:uid="{00000000-0005-0000-0000-0000FF090000}"/>
    <cellStyle name="Comma 4 4 3 2 3 2" xfId="14367" xr:uid="{E4885884-43FA-486D-A095-113206494AD3}"/>
    <cellStyle name="Comma 4 4 3 2 4" xfId="9436" xr:uid="{5B7DDC25-9095-4E8E-BD31-668F46BBD33F}"/>
    <cellStyle name="Comma 4 4 3 2 4 2" xfId="18751" xr:uid="{EF277743-2326-463B-94AD-9A1161C8894B}"/>
    <cellStyle name="Comma 4 4 3 2 5" xfId="10150" xr:uid="{F4C7B9DC-121B-4929-9C94-82F0E24B3D63}"/>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07835FE9-22CC-48AA-A68A-C6AF60B7444D}"/>
    <cellStyle name="Comma 4 4 3 3 2 3" xfId="12708" xr:uid="{876BA796-4FDF-4131-B56B-9D1FD156501B}"/>
    <cellStyle name="Comma 4 4 3 3 3" xfId="5454" xr:uid="{00000000-0005-0000-0000-0000030A0000}"/>
    <cellStyle name="Comma 4 4 3 3 3 2" xfId="14780" xr:uid="{7A15B571-EC9C-41AC-A7EA-EB4FF90E1D9C}"/>
    <cellStyle name="Comma 4 4 3 3 4" xfId="10563" xr:uid="{832BEBFE-7AFC-407F-B73A-978DE020EFDA}"/>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34D86DB3-FC7E-4B3B-ACBA-BB49726AD73F}"/>
    <cellStyle name="Comma 4 4 3 4 2 3" xfId="13121" xr:uid="{DE062341-1D34-4EFA-9B58-329C964E53B2}"/>
    <cellStyle name="Comma 4 4 3 4 3" xfId="5867" xr:uid="{00000000-0005-0000-0000-0000070A0000}"/>
    <cellStyle name="Comma 4 4 3 4 3 2" xfId="15193" xr:uid="{865D028D-E070-4C5F-9CB0-C1E34F11EEF8}"/>
    <cellStyle name="Comma 4 4 3 4 4" xfId="10976" xr:uid="{FD234260-2059-4BD0-8CFF-1FE92B096E31}"/>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75C31D66-AFF7-40B3-BBAA-026AB46D1CE7}"/>
    <cellStyle name="Comma 4 4 3 5 2 3" xfId="13534" xr:uid="{4F6942E7-3DFE-4179-BAB8-EBA9BDE05649}"/>
    <cellStyle name="Comma 4 4 3 5 3" xfId="6280" xr:uid="{00000000-0005-0000-0000-00000B0A0000}"/>
    <cellStyle name="Comma 4 4 3 5 3 2" xfId="15606" xr:uid="{8C8A2841-EFB5-4D66-B2A7-5CAE5E5ED141}"/>
    <cellStyle name="Comma 4 4 3 5 4" xfId="11389" xr:uid="{043DAC9E-5088-482C-B057-624D4C0FB838}"/>
    <cellStyle name="Comma 4 4 3 6" xfId="2409" xr:uid="{00000000-0005-0000-0000-00000C0A0000}"/>
    <cellStyle name="Comma 4 4 3 6 2" xfId="6693" xr:uid="{00000000-0005-0000-0000-00000D0A0000}"/>
    <cellStyle name="Comma 4 4 3 6 2 2" xfId="16019" xr:uid="{4F71856E-B826-4ED9-A039-CCC10EAF2742}"/>
    <cellStyle name="Comma 4 4 3 6 3" xfId="11802" xr:uid="{D928717D-E74F-49EF-90C6-0F84D8298B5F}"/>
    <cellStyle name="Comma 4 4 3 7" xfId="2705" xr:uid="{00000000-0005-0000-0000-00000E0A0000}"/>
    <cellStyle name="Comma 4 4 3 8" xfId="2787" xr:uid="{00000000-0005-0000-0000-00000F0A0000}"/>
    <cellStyle name="Comma 4 4 3 8 2" xfId="7010" xr:uid="{00000000-0005-0000-0000-0000100A0000}"/>
    <cellStyle name="Comma 4 4 3 8 2 2" xfId="16336" xr:uid="{E15626BA-9A7F-4537-8406-9320918A459C}"/>
    <cellStyle name="Comma 4 4 3 8 3" xfId="12119" xr:uid="{51D4052D-5A7C-4465-AD1B-37616913EAC2}"/>
    <cellStyle name="Comma 4 4 3 9" xfId="4627" xr:uid="{00000000-0005-0000-0000-0000110A0000}"/>
    <cellStyle name="Comma 4 4 3 9 2" xfId="13953" xr:uid="{8ABD9BD1-4E6E-4C0A-816F-41E89C88A10B}"/>
    <cellStyle name="Comma 4 4 4" xfId="690" xr:uid="{00000000-0005-0000-0000-0000120A0000}"/>
    <cellStyle name="Comma 4 4 4 2" xfId="2961" xr:uid="{00000000-0005-0000-0000-0000130A0000}"/>
    <cellStyle name="Comma 4 4 4 2 2" xfId="7183" xr:uid="{00000000-0005-0000-0000-0000140A0000}"/>
    <cellStyle name="Comma 4 4 4 2 2 2" xfId="16509" xr:uid="{FE13764F-850A-49C1-A390-EACED6C63111}"/>
    <cellStyle name="Comma 4 4 4 2 3" xfId="12292" xr:uid="{B7312D7D-046C-47D5-9EBD-836249BD023F}"/>
    <cellStyle name="Comma 4 4 4 3" xfId="5038" xr:uid="{00000000-0005-0000-0000-0000150A0000}"/>
    <cellStyle name="Comma 4 4 4 3 2" xfId="14364" xr:uid="{81952337-C36C-4652-8BF0-F3395A83A9D3}"/>
    <cellStyle name="Comma 4 4 4 4" xfId="9229" xr:uid="{5D655A80-2199-4116-9BF2-7327D5827395}"/>
    <cellStyle name="Comma 4 4 4 4 2" xfId="18544" xr:uid="{FD128BEB-09E8-4296-B554-DE24AED4D923}"/>
    <cellStyle name="Comma 4 4 4 5" xfId="10147" xr:uid="{6C166776-48F3-4615-9BB5-968DAE7A520B}"/>
    <cellStyle name="Comma 4 4 5" xfId="1143" xr:uid="{00000000-0005-0000-0000-0000160A0000}"/>
    <cellStyle name="Comma 4 4 5 2" xfId="3374" xr:uid="{00000000-0005-0000-0000-0000170A0000}"/>
    <cellStyle name="Comma 4 4 5 2 2" xfId="7596" xr:uid="{00000000-0005-0000-0000-0000180A0000}"/>
    <cellStyle name="Comma 4 4 5 2 2 2" xfId="16922" xr:uid="{F770ECE0-0843-469B-9E74-27D5BCB8CBA8}"/>
    <cellStyle name="Comma 4 4 5 2 3" xfId="12705" xr:uid="{F8289BEC-C632-4BCA-A6F2-9BA082F693D0}"/>
    <cellStyle name="Comma 4 4 5 3" xfId="5451" xr:uid="{00000000-0005-0000-0000-0000190A0000}"/>
    <cellStyle name="Comma 4 4 5 3 2" xfId="14777" xr:uid="{FAFF6A49-FA64-43F2-B3DF-9F229C3BEF46}"/>
    <cellStyle name="Comma 4 4 5 4" xfId="10560" xr:uid="{BAF516D2-987D-494B-906A-3328B08F7F80}"/>
    <cellStyle name="Comma 4 4 6" xfId="1557" xr:uid="{00000000-0005-0000-0000-00001A0A0000}"/>
    <cellStyle name="Comma 4 4 6 2" xfId="3787" xr:uid="{00000000-0005-0000-0000-00001B0A0000}"/>
    <cellStyle name="Comma 4 4 6 2 2" xfId="8009" xr:uid="{00000000-0005-0000-0000-00001C0A0000}"/>
    <cellStyle name="Comma 4 4 6 2 2 2" xfId="17335" xr:uid="{3E2D7ADC-88FE-40A5-9E5F-52A2D404AC9F}"/>
    <cellStyle name="Comma 4 4 6 2 3" xfId="13118" xr:uid="{66A5153E-9F27-4C9F-8C48-AEF5C174C828}"/>
    <cellStyle name="Comma 4 4 6 3" xfId="5864" xr:uid="{00000000-0005-0000-0000-00001D0A0000}"/>
    <cellStyle name="Comma 4 4 6 3 2" xfId="15190" xr:uid="{CCC66C44-213E-4358-9907-769D1EE88C15}"/>
    <cellStyle name="Comma 4 4 6 4" xfId="10973" xr:uid="{2185BCCF-F111-4B40-BF68-07714B1D497A}"/>
    <cellStyle name="Comma 4 4 7" xfId="1971" xr:uid="{00000000-0005-0000-0000-00001E0A0000}"/>
    <cellStyle name="Comma 4 4 7 2" xfId="4200" xr:uid="{00000000-0005-0000-0000-00001F0A0000}"/>
    <cellStyle name="Comma 4 4 7 2 2" xfId="8422" xr:uid="{00000000-0005-0000-0000-0000200A0000}"/>
    <cellStyle name="Comma 4 4 7 2 2 2" xfId="17748" xr:uid="{6CA07EE3-02A6-496A-9CC4-AE9BC8DCC269}"/>
    <cellStyle name="Comma 4 4 7 2 3" xfId="13531" xr:uid="{F6B81BE8-70E3-468F-8D1C-BAB5D0D754ED}"/>
    <cellStyle name="Comma 4 4 7 3" xfId="6277" xr:uid="{00000000-0005-0000-0000-0000210A0000}"/>
    <cellStyle name="Comma 4 4 7 3 2" xfId="15603" xr:uid="{ABD24660-A6DB-4A34-8669-E4F6FC3BD0A8}"/>
    <cellStyle name="Comma 4 4 7 4" xfId="11386" xr:uid="{AEAE9E4D-C942-487D-A98C-15E5B6E9E260}"/>
    <cellStyle name="Comma 4 4 8" xfId="2406" xr:uid="{00000000-0005-0000-0000-0000220A0000}"/>
    <cellStyle name="Comma 4 4 8 2" xfId="6690" xr:uid="{00000000-0005-0000-0000-0000230A0000}"/>
    <cellStyle name="Comma 4 4 8 2 2" xfId="16016" xr:uid="{E82484BE-2275-4EBC-B321-DD2EADABF61A}"/>
    <cellStyle name="Comma 4 4 8 3" xfId="11799" xr:uid="{28D83416-3D0E-4545-9289-B754AFD8D896}"/>
    <cellStyle name="Comma 4 4 9" xfId="2702" xr:uid="{00000000-0005-0000-0000-0000240A0000}"/>
    <cellStyle name="Comma 4 5" xfId="157" xr:uid="{00000000-0005-0000-0000-0000250A0000}"/>
    <cellStyle name="Comma 4 5 10" xfId="4628" xr:uid="{00000000-0005-0000-0000-0000260A0000}"/>
    <cellStyle name="Comma 4 5 10 2" xfId="13954" xr:uid="{9B362BD4-ADE9-480D-B857-EAF85BC2D4D1}"/>
    <cellStyle name="Comma 4 5 11" xfId="8849" xr:uid="{344CCE08-63E3-41E8-B38A-00347480820F}"/>
    <cellStyle name="Comma 4 5 11 2" xfId="18173" xr:uid="{388FB382-0959-49B2-B353-32180765992F}"/>
    <cellStyle name="Comma 4 5 12" xfId="9737" xr:uid="{277288B3-EC70-471E-9048-D9C82AD50313}"/>
    <cellStyle name="Comma 4 5 2" xfId="158" xr:uid="{00000000-0005-0000-0000-0000270A0000}"/>
    <cellStyle name="Comma 4 5 2 10" xfId="9056" xr:uid="{C7C2153B-7EAA-4A13-9C28-1151ACD100A8}"/>
    <cellStyle name="Comma 4 5 2 10 2" xfId="18380" xr:uid="{80044481-33D4-4633-831F-BCEF71CB57C1}"/>
    <cellStyle name="Comma 4 5 2 11" xfId="9738" xr:uid="{0EB12473-D7E4-4639-A781-CFFB00EB884C}"/>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6E05A4B1-5815-4A16-9C56-A9603FA052A1}"/>
    <cellStyle name="Comma 4 5 2 2 2 3" xfId="12297" xr:uid="{3868EC22-CC65-4FDE-B07C-8A5250B6BF8E}"/>
    <cellStyle name="Comma 4 5 2 2 3" xfId="5043" xr:uid="{00000000-0005-0000-0000-00002B0A0000}"/>
    <cellStyle name="Comma 4 5 2 2 3 2" xfId="14369" xr:uid="{C4982389-8A31-4772-8222-51910BFC1E5E}"/>
    <cellStyle name="Comma 4 5 2 2 4" xfId="9481" xr:uid="{47C88F6D-21B1-4457-908C-FFAB8FF83BD1}"/>
    <cellStyle name="Comma 4 5 2 2 4 2" xfId="18796" xr:uid="{1B17675D-21D9-43E6-A1B2-2652BDDACC3B}"/>
    <cellStyle name="Comma 4 5 2 2 5" xfId="10152" xr:uid="{B9536532-0C6F-4CB9-A47F-898FA5A35677}"/>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597B9F02-5609-43AA-BB21-52DA1C47C7CF}"/>
    <cellStyle name="Comma 4 5 2 3 2 3" xfId="12710" xr:uid="{07E71281-17B1-4F37-ADEF-1D08AA5AB326}"/>
    <cellStyle name="Comma 4 5 2 3 3" xfId="5456" xr:uid="{00000000-0005-0000-0000-00002F0A0000}"/>
    <cellStyle name="Comma 4 5 2 3 3 2" xfId="14782" xr:uid="{F017FD12-83A8-4F0A-88CC-381932EDEA08}"/>
    <cellStyle name="Comma 4 5 2 3 4" xfId="10565" xr:uid="{4CF75FDC-CA22-49B1-A0E6-F71C16AF591E}"/>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97078037-84EB-4BF6-B74A-5D70A667218C}"/>
    <cellStyle name="Comma 4 5 2 4 2 3" xfId="13123" xr:uid="{681B0DB8-2F5C-470A-B71E-6BE22B4CEAA1}"/>
    <cellStyle name="Comma 4 5 2 4 3" xfId="5869" xr:uid="{00000000-0005-0000-0000-0000330A0000}"/>
    <cellStyle name="Comma 4 5 2 4 3 2" xfId="15195" xr:uid="{5281BBDF-6807-4E80-BF44-5696356D79A5}"/>
    <cellStyle name="Comma 4 5 2 4 4" xfId="10978" xr:uid="{AF01D630-6E41-4004-A98A-E73A5E126ABB}"/>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28AB33C7-08D1-4FCB-9732-A9CF6DB2B4EE}"/>
    <cellStyle name="Comma 4 5 2 5 2 3" xfId="13536" xr:uid="{889F1FC1-7E42-43DD-91B7-7B280A4CF8DD}"/>
    <cellStyle name="Comma 4 5 2 5 3" xfId="6282" xr:uid="{00000000-0005-0000-0000-0000370A0000}"/>
    <cellStyle name="Comma 4 5 2 5 3 2" xfId="15608" xr:uid="{FBECFE92-DCB3-440E-936A-60B7256D8851}"/>
    <cellStyle name="Comma 4 5 2 5 4" xfId="11391" xr:uid="{5E42A1F2-B5F2-445E-A90E-6401AB81B975}"/>
    <cellStyle name="Comma 4 5 2 6" xfId="2411" xr:uid="{00000000-0005-0000-0000-0000380A0000}"/>
    <cellStyle name="Comma 4 5 2 6 2" xfId="6695" xr:uid="{00000000-0005-0000-0000-0000390A0000}"/>
    <cellStyle name="Comma 4 5 2 6 2 2" xfId="16021" xr:uid="{F73CC45E-4FFD-4A30-9785-4CB560C9C258}"/>
    <cellStyle name="Comma 4 5 2 6 3" xfId="11804" xr:uid="{75364F62-B0BA-4304-B6DC-ED51A904F6F3}"/>
    <cellStyle name="Comma 4 5 2 7" xfId="2707" xr:uid="{00000000-0005-0000-0000-00003A0A0000}"/>
    <cellStyle name="Comma 4 5 2 8" xfId="2789" xr:uid="{00000000-0005-0000-0000-00003B0A0000}"/>
    <cellStyle name="Comma 4 5 2 8 2" xfId="7012" xr:uid="{00000000-0005-0000-0000-00003C0A0000}"/>
    <cellStyle name="Comma 4 5 2 8 2 2" xfId="16338" xr:uid="{C68BA83A-8E4A-4BF6-AB13-B3FC91A4B39E}"/>
    <cellStyle name="Comma 4 5 2 8 3" xfId="12121" xr:uid="{586CF289-31CA-4DCE-B59F-5E4985B6881D}"/>
    <cellStyle name="Comma 4 5 2 9" xfId="4629" xr:uid="{00000000-0005-0000-0000-00003D0A0000}"/>
    <cellStyle name="Comma 4 5 2 9 2" xfId="13955" xr:uid="{2A0DE56F-748B-44CF-83DB-917AFBEAA103}"/>
    <cellStyle name="Comma 4 5 3" xfId="694" xr:uid="{00000000-0005-0000-0000-00003E0A0000}"/>
    <cellStyle name="Comma 4 5 3 2" xfId="2965" xr:uid="{00000000-0005-0000-0000-00003F0A0000}"/>
    <cellStyle name="Comma 4 5 3 2 2" xfId="7187" xr:uid="{00000000-0005-0000-0000-0000400A0000}"/>
    <cellStyle name="Comma 4 5 3 2 2 2" xfId="16513" xr:uid="{9C5EB342-8872-4DBD-B1E2-DBB2A49370A8}"/>
    <cellStyle name="Comma 4 5 3 2 3" xfId="12296" xr:uid="{1639AE94-5639-4136-9631-7AF2E280DAB7}"/>
    <cellStyle name="Comma 4 5 3 3" xfId="5042" xr:uid="{00000000-0005-0000-0000-0000410A0000}"/>
    <cellStyle name="Comma 4 5 3 3 2" xfId="14368" xr:uid="{D17DB363-4E04-406F-AD42-72C28F3FB49F}"/>
    <cellStyle name="Comma 4 5 3 4" xfId="9274" xr:uid="{04AC3EF2-4A78-4DC5-BAB4-87936023C7E5}"/>
    <cellStyle name="Comma 4 5 3 4 2" xfId="18589" xr:uid="{FC1F00CB-9AB3-4C8B-A570-CDAFE54ABC80}"/>
    <cellStyle name="Comma 4 5 3 5" xfId="10151" xr:uid="{C6673535-EF7D-4C0C-B914-D36674370CDD}"/>
    <cellStyle name="Comma 4 5 4" xfId="1147" xr:uid="{00000000-0005-0000-0000-0000420A0000}"/>
    <cellStyle name="Comma 4 5 4 2" xfId="3378" xr:uid="{00000000-0005-0000-0000-0000430A0000}"/>
    <cellStyle name="Comma 4 5 4 2 2" xfId="7600" xr:uid="{00000000-0005-0000-0000-0000440A0000}"/>
    <cellStyle name="Comma 4 5 4 2 2 2" xfId="16926" xr:uid="{11303510-8F54-4043-B709-B91352DE9D64}"/>
    <cellStyle name="Comma 4 5 4 2 3" xfId="12709" xr:uid="{C84D4B36-1D50-4B2E-846F-80E4A3BDAF71}"/>
    <cellStyle name="Comma 4 5 4 3" xfId="5455" xr:uid="{00000000-0005-0000-0000-0000450A0000}"/>
    <cellStyle name="Comma 4 5 4 3 2" xfId="14781" xr:uid="{B77F7DD8-8036-4B6F-9DDE-9F8FCC3F05D3}"/>
    <cellStyle name="Comma 4 5 4 4" xfId="10564" xr:uid="{EF541FDE-684E-414A-AE13-3D7228DC8527}"/>
    <cellStyle name="Comma 4 5 5" xfId="1561" xr:uid="{00000000-0005-0000-0000-0000460A0000}"/>
    <cellStyle name="Comma 4 5 5 2" xfId="3791" xr:uid="{00000000-0005-0000-0000-0000470A0000}"/>
    <cellStyle name="Comma 4 5 5 2 2" xfId="8013" xr:uid="{00000000-0005-0000-0000-0000480A0000}"/>
    <cellStyle name="Comma 4 5 5 2 2 2" xfId="17339" xr:uid="{41F17783-A968-4B2D-88B6-B13D05EE32AC}"/>
    <cellStyle name="Comma 4 5 5 2 3" xfId="13122" xr:uid="{F81889AF-6977-481E-94E4-3CB0DAE1540C}"/>
    <cellStyle name="Comma 4 5 5 3" xfId="5868" xr:uid="{00000000-0005-0000-0000-0000490A0000}"/>
    <cellStyle name="Comma 4 5 5 3 2" xfId="15194" xr:uid="{82DA3D3A-2CF5-40CB-8477-C9C6C04A2A42}"/>
    <cellStyle name="Comma 4 5 5 4" xfId="10977" xr:uid="{7C27A51C-AE5D-4899-8A5E-93E27344374A}"/>
    <cellStyle name="Comma 4 5 6" xfId="1975" xr:uid="{00000000-0005-0000-0000-00004A0A0000}"/>
    <cellStyle name="Comma 4 5 6 2" xfId="4204" xr:uid="{00000000-0005-0000-0000-00004B0A0000}"/>
    <cellStyle name="Comma 4 5 6 2 2" xfId="8426" xr:uid="{00000000-0005-0000-0000-00004C0A0000}"/>
    <cellStyle name="Comma 4 5 6 2 2 2" xfId="17752" xr:uid="{64E6CFB9-EA59-4D68-8A4D-814258F434AE}"/>
    <cellStyle name="Comma 4 5 6 2 3" xfId="13535" xr:uid="{04CC14F1-76B2-4150-8EF5-3BAA56D73E6E}"/>
    <cellStyle name="Comma 4 5 6 3" xfId="6281" xr:uid="{00000000-0005-0000-0000-00004D0A0000}"/>
    <cellStyle name="Comma 4 5 6 3 2" xfId="15607" xr:uid="{21D5BB13-0C23-4A0F-BE53-2B9ABE8AAE39}"/>
    <cellStyle name="Comma 4 5 6 4" xfId="11390" xr:uid="{5CF44FF3-4512-48C5-8BA1-9EC4F4591027}"/>
    <cellStyle name="Comma 4 5 7" xfId="2410" xr:uid="{00000000-0005-0000-0000-00004E0A0000}"/>
    <cellStyle name="Comma 4 5 7 2" xfId="6694" xr:uid="{00000000-0005-0000-0000-00004F0A0000}"/>
    <cellStyle name="Comma 4 5 7 2 2" xfId="16020" xr:uid="{A3B0E85B-10A5-469A-B514-EA8295F0358A}"/>
    <cellStyle name="Comma 4 5 7 3" xfId="11803" xr:uid="{A758E111-5A0D-4A40-A74E-C62AE3B556F0}"/>
    <cellStyle name="Comma 4 5 8" xfId="2706" xr:uid="{00000000-0005-0000-0000-0000500A0000}"/>
    <cellStyle name="Comma 4 5 9" xfId="2788" xr:uid="{00000000-0005-0000-0000-0000510A0000}"/>
    <cellStyle name="Comma 4 5 9 2" xfId="7011" xr:uid="{00000000-0005-0000-0000-0000520A0000}"/>
    <cellStyle name="Comma 4 5 9 2 2" xfId="16337" xr:uid="{A4491025-FB46-46C5-A694-0C8AB1C1B446}"/>
    <cellStyle name="Comma 4 5 9 3" xfId="12120" xr:uid="{DD2DB432-F37C-49CE-8BF4-53EF17E32A82}"/>
    <cellStyle name="Comma 4 6" xfId="159" xr:uid="{00000000-0005-0000-0000-0000530A0000}"/>
    <cellStyle name="Comma 4 6 10" xfId="8965" xr:uid="{FDA33E7D-96B8-46F2-87D8-5CB6C30A4CC6}"/>
    <cellStyle name="Comma 4 6 10 2" xfId="18289" xr:uid="{2E3EA6C7-4651-4FA5-A61F-A2DF04C52891}"/>
    <cellStyle name="Comma 4 6 11" xfId="9739" xr:uid="{5E59AA65-BE61-4BC3-98EA-6DB296603D19}"/>
    <cellStyle name="Comma 4 6 2" xfId="696" xr:uid="{00000000-0005-0000-0000-0000540A0000}"/>
    <cellStyle name="Comma 4 6 2 2" xfId="2967" xr:uid="{00000000-0005-0000-0000-0000550A0000}"/>
    <cellStyle name="Comma 4 6 2 2 2" xfId="7189" xr:uid="{00000000-0005-0000-0000-0000560A0000}"/>
    <cellStyle name="Comma 4 6 2 2 2 2" xfId="16515" xr:uid="{45AAA265-5071-4BED-B174-9D7D69AA089E}"/>
    <cellStyle name="Comma 4 6 2 2 3" xfId="12298" xr:uid="{EEC98D22-61D9-4716-B423-14C59FF92FEB}"/>
    <cellStyle name="Comma 4 6 2 3" xfId="5044" xr:uid="{00000000-0005-0000-0000-0000570A0000}"/>
    <cellStyle name="Comma 4 6 2 3 2" xfId="14370" xr:uid="{E20496F2-4045-4F6C-8362-E6B25FDBE152}"/>
    <cellStyle name="Comma 4 6 2 4" xfId="9390" xr:uid="{F8012948-A58F-476A-B4CF-A63C8F36D5B6}"/>
    <cellStyle name="Comma 4 6 2 4 2" xfId="18705" xr:uid="{1D7528E8-94F1-4CF0-8FFB-83AC59955945}"/>
    <cellStyle name="Comma 4 6 2 5" xfId="10153" xr:uid="{F65D5EE1-C0E0-42EC-BD09-018F0CC19351}"/>
    <cellStyle name="Comma 4 6 3" xfId="1149" xr:uid="{00000000-0005-0000-0000-0000580A0000}"/>
    <cellStyle name="Comma 4 6 3 2" xfId="3380" xr:uid="{00000000-0005-0000-0000-0000590A0000}"/>
    <cellStyle name="Comma 4 6 3 2 2" xfId="7602" xr:uid="{00000000-0005-0000-0000-00005A0A0000}"/>
    <cellStyle name="Comma 4 6 3 2 2 2" xfId="16928" xr:uid="{AAFD6106-EA9E-4EC9-BF0C-F4870AE23C2A}"/>
    <cellStyle name="Comma 4 6 3 2 3" xfId="12711" xr:uid="{E939E20C-F174-48FB-B020-D74CDFA6DE48}"/>
    <cellStyle name="Comma 4 6 3 3" xfId="5457" xr:uid="{00000000-0005-0000-0000-00005B0A0000}"/>
    <cellStyle name="Comma 4 6 3 3 2" xfId="14783" xr:uid="{4A301BDF-83A2-45A0-967D-A13217977DA5}"/>
    <cellStyle name="Comma 4 6 3 4" xfId="10566" xr:uid="{B87DB5B8-6D16-4271-8AC8-13E5F4A48133}"/>
    <cellStyle name="Comma 4 6 4" xfId="1563" xr:uid="{00000000-0005-0000-0000-00005C0A0000}"/>
    <cellStyle name="Comma 4 6 4 2" xfId="3793" xr:uid="{00000000-0005-0000-0000-00005D0A0000}"/>
    <cellStyle name="Comma 4 6 4 2 2" xfId="8015" xr:uid="{00000000-0005-0000-0000-00005E0A0000}"/>
    <cellStyle name="Comma 4 6 4 2 2 2" xfId="17341" xr:uid="{DF8C4586-0F3A-4E80-BFF3-C5229B0A1CAD}"/>
    <cellStyle name="Comma 4 6 4 2 3" xfId="13124" xr:uid="{8823BB02-0205-4708-BFFE-F29C440C672F}"/>
    <cellStyle name="Comma 4 6 4 3" xfId="5870" xr:uid="{00000000-0005-0000-0000-00005F0A0000}"/>
    <cellStyle name="Comma 4 6 4 3 2" xfId="15196" xr:uid="{FAE0DAE7-69A2-41A1-8D50-1557BE7E7871}"/>
    <cellStyle name="Comma 4 6 4 4" xfId="10979" xr:uid="{4E01D5D1-9F70-49D9-9F69-CE3939770D15}"/>
    <cellStyle name="Comma 4 6 5" xfId="1977" xr:uid="{00000000-0005-0000-0000-0000600A0000}"/>
    <cellStyle name="Comma 4 6 5 2" xfId="4206" xr:uid="{00000000-0005-0000-0000-0000610A0000}"/>
    <cellStyle name="Comma 4 6 5 2 2" xfId="8428" xr:uid="{00000000-0005-0000-0000-0000620A0000}"/>
    <cellStyle name="Comma 4 6 5 2 2 2" xfId="17754" xr:uid="{D44D4460-A541-4B70-9E1A-CA927B2127E7}"/>
    <cellStyle name="Comma 4 6 5 2 3" xfId="13537" xr:uid="{1DAB20E2-708C-4B43-A466-E3FB122AE9B0}"/>
    <cellStyle name="Comma 4 6 5 3" xfId="6283" xr:uid="{00000000-0005-0000-0000-0000630A0000}"/>
    <cellStyle name="Comma 4 6 5 3 2" xfId="15609" xr:uid="{095E4794-919D-4F6A-B8E6-37FC861120F2}"/>
    <cellStyle name="Comma 4 6 5 4" xfId="11392" xr:uid="{C50014F6-31F9-468E-BEA2-5735DB7CF61B}"/>
    <cellStyle name="Comma 4 6 6" xfId="2412" xr:uid="{00000000-0005-0000-0000-0000640A0000}"/>
    <cellStyle name="Comma 4 6 6 2" xfId="6696" xr:uid="{00000000-0005-0000-0000-0000650A0000}"/>
    <cellStyle name="Comma 4 6 6 2 2" xfId="16022" xr:uid="{89E83997-5922-4EDD-AEBE-A65C22643229}"/>
    <cellStyle name="Comma 4 6 6 3" xfId="11805" xr:uid="{0D984626-8765-4ABC-88DE-5FC8B2BEBE50}"/>
    <cellStyle name="Comma 4 6 7" xfId="2708" xr:uid="{00000000-0005-0000-0000-0000660A0000}"/>
    <cellStyle name="Comma 4 6 8" xfId="2790" xr:uid="{00000000-0005-0000-0000-0000670A0000}"/>
    <cellStyle name="Comma 4 6 8 2" xfId="7013" xr:uid="{00000000-0005-0000-0000-0000680A0000}"/>
    <cellStyle name="Comma 4 6 8 2 2" xfId="16339" xr:uid="{29895847-93B8-4D92-8DD8-9E001E65B03F}"/>
    <cellStyle name="Comma 4 6 8 3" xfId="12122" xr:uid="{FBAAB5DF-6895-45DA-8638-85C9930CB40C}"/>
    <cellStyle name="Comma 4 6 9" xfId="4630" xr:uid="{00000000-0005-0000-0000-0000690A0000}"/>
    <cellStyle name="Comma 4 6 9 2" xfId="13956" xr:uid="{FF8112D6-0EC1-4392-A827-1508895D1DF2}"/>
    <cellStyle name="Comma 4 7" xfId="160" xr:uid="{00000000-0005-0000-0000-00006A0A0000}"/>
    <cellStyle name="Comma 4 7 10" xfId="9168" xr:uid="{C5EF0C72-87BD-43A9-8A23-92F9D9423F50}"/>
    <cellStyle name="Comma 4 7 10 2" xfId="18486" xr:uid="{682E923D-0E82-4EB2-BB47-6B993CCD4BF3}"/>
    <cellStyle name="Comma 4 7 11" xfId="9740" xr:uid="{4E8091D7-567A-4A84-A558-53A5DA1530E6}"/>
    <cellStyle name="Comma 4 7 2" xfId="697" xr:uid="{00000000-0005-0000-0000-00006B0A0000}"/>
    <cellStyle name="Comma 4 7 2 2" xfId="2968" xr:uid="{00000000-0005-0000-0000-00006C0A0000}"/>
    <cellStyle name="Comma 4 7 2 2 2" xfId="7190" xr:uid="{00000000-0005-0000-0000-00006D0A0000}"/>
    <cellStyle name="Comma 4 7 2 2 2 2" xfId="16516" xr:uid="{EAF02C82-A552-4014-B779-956030C80B18}"/>
    <cellStyle name="Comma 4 7 2 2 3" xfId="12299" xr:uid="{D4C83CE2-3904-49EA-BB34-09F4F2AFC2B6}"/>
    <cellStyle name="Comma 4 7 2 3" xfId="5045" xr:uid="{00000000-0005-0000-0000-00006E0A0000}"/>
    <cellStyle name="Comma 4 7 2 3 2" xfId="14371" xr:uid="{50CB548E-7D81-44C6-B761-769A025B808F}"/>
    <cellStyle name="Comma 4 7 2 4" xfId="9596" xr:uid="{F4A1C070-02C1-4F2A-89F2-15465D9BEBB2}"/>
    <cellStyle name="Comma 4 7 2 4 2" xfId="18900" xr:uid="{7E405EEE-E469-4084-B48E-E8E701F179C1}"/>
    <cellStyle name="Comma 4 7 2 5" xfId="10154" xr:uid="{A5279F19-07F9-4DC3-9438-E19781DBE827}"/>
    <cellStyle name="Comma 4 7 3" xfId="1150" xr:uid="{00000000-0005-0000-0000-00006F0A0000}"/>
    <cellStyle name="Comma 4 7 3 2" xfId="3381" xr:uid="{00000000-0005-0000-0000-0000700A0000}"/>
    <cellStyle name="Comma 4 7 3 2 2" xfId="7603" xr:uid="{00000000-0005-0000-0000-0000710A0000}"/>
    <cellStyle name="Comma 4 7 3 2 2 2" xfId="16929" xr:uid="{D319F623-2379-410F-A7F3-4010B21B9D90}"/>
    <cellStyle name="Comma 4 7 3 2 3" xfId="12712" xr:uid="{143CDD0A-7983-442D-97CF-19AD2BD9591C}"/>
    <cellStyle name="Comma 4 7 3 3" xfId="5458" xr:uid="{00000000-0005-0000-0000-0000720A0000}"/>
    <cellStyle name="Comma 4 7 3 3 2" xfId="14784" xr:uid="{6F836B6E-52C4-462C-80C0-9885CB4E6FE6}"/>
    <cellStyle name="Comma 4 7 3 4" xfId="10567" xr:uid="{8A17E626-2C02-453F-8494-C5BFC943819F}"/>
    <cellStyle name="Comma 4 7 4" xfId="1564" xr:uid="{00000000-0005-0000-0000-0000730A0000}"/>
    <cellStyle name="Comma 4 7 4 2" xfId="3794" xr:uid="{00000000-0005-0000-0000-0000740A0000}"/>
    <cellStyle name="Comma 4 7 4 2 2" xfId="8016" xr:uid="{00000000-0005-0000-0000-0000750A0000}"/>
    <cellStyle name="Comma 4 7 4 2 2 2" xfId="17342" xr:uid="{4B967704-6C35-453B-897E-BA709C65396A}"/>
    <cellStyle name="Comma 4 7 4 2 3" xfId="13125" xr:uid="{6DDDB29D-6EB8-4B9B-8356-50BDAC9154ED}"/>
    <cellStyle name="Comma 4 7 4 3" xfId="5871" xr:uid="{00000000-0005-0000-0000-0000760A0000}"/>
    <cellStyle name="Comma 4 7 4 3 2" xfId="15197" xr:uid="{BCE30D8C-8AE6-48D2-BD19-BDF2E5ACF037}"/>
    <cellStyle name="Comma 4 7 4 4" xfId="10980" xr:uid="{33FBE2E3-DC2B-43DA-AC5C-EBCDB9676252}"/>
    <cellStyle name="Comma 4 7 5" xfId="1978" xr:uid="{00000000-0005-0000-0000-0000770A0000}"/>
    <cellStyle name="Comma 4 7 5 2" xfId="4207" xr:uid="{00000000-0005-0000-0000-0000780A0000}"/>
    <cellStyle name="Comma 4 7 5 2 2" xfId="8429" xr:uid="{00000000-0005-0000-0000-0000790A0000}"/>
    <cellStyle name="Comma 4 7 5 2 2 2" xfId="17755" xr:uid="{E58D631B-D96A-4937-A6D9-8E43F5648F57}"/>
    <cellStyle name="Comma 4 7 5 2 3" xfId="13538" xr:uid="{4E839C70-4B94-4CE1-86CD-2DA0E3EFE4E6}"/>
    <cellStyle name="Comma 4 7 5 3" xfId="6284" xr:uid="{00000000-0005-0000-0000-00007A0A0000}"/>
    <cellStyle name="Comma 4 7 5 3 2" xfId="15610" xr:uid="{355D4D0A-EAE9-4F09-8406-FF2C25B3C815}"/>
    <cellStyle name="Comma 4 7 5 4" xfId="11393" xr:uid="{3E66D97A-2CF9-4A70-9F32-4A9B63160539}"/>
    <cellStyle name="Comma 4 7 6" xfId="2413" xr:uid="{00000000-0005-0000-0000-00007B0A0000}"/>
    <cellStyle name="Comma 4 7 6 2" xfId="6697" xr:uid="{00000000-0005-0000-0000-00007C0A0000}"/>
    <cellStyle name="Comma 4 7 6 2 2" xfId="16023" xr:uid="{65744A3F-A6DD-410E-BBAC-E01A16B9F591}"/>
    <cellStyle name="Comma 4 7 6 3" xfId="11806" xr:uid="{42755611-32ED-44C7-8FD3-93126F058074}"/>
    <cellStyle name="Comma 4 7 7" xfId="2709" xr:uid="{00000000-0005-0000-0000-00007D0A0000}"/>
    <cellStyle name="Comma 4 7 8" xfId="2791" xr:uid="{00000000-0005-0000-0000-00007E0A0000}"/>
    <cellStyle name="Comma 4 7 8 2" xfId="7014" xr:uid="{00000000-0005-0000-0000-00007F0A0000}"/>
    <cellStyle name="Comma 4 7 8 2 2" xfId="16340" xr:uid="{25A1114C-4E9E-4C34-BC69-2656D4AA7D7D}"/>
    <cellStyle name="Comma 4 7 8 3" xfId="12123" xr:uid="{CBDA5A37-D631-437D-BA50-62723FCC421A}"/>
    <cellStyle name="Comma 4 7 9" xfId="4631" xr:uid="{00000000-0005-0000-0000-0000800A0000}"/>
    <cellStyle name="Comma 4 7 9 2" xfId="13957" xr:uid="{50382D23-7824-4121-85A0-C8F290EE0202}"/>
    <cellStyle name="Comma 4 8" xfId="9193" xr:uid="{D2F7B7D5-1187-4B94-96D8-1D61B28E4E34}"/>
    <cellStyle name="Comma 4 9" xfId="8746" xr:uid="{EB6F8E1D-15EE-4A1C-A7FF-36C2A43F5A26}"/>
    <cellStyle name="Comma 4 9 2" xfId="18070" xr:uid="{8C384741-44D4-43EB-9175-C0ED727A15B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5" xr:uid="{721EFF23-09FA-4F3D-878E-C03FEEBB10AC}"/>
    <cellStyle name="Comma 7 3" xfId="9589" xr:uid="{E5FB568C-33F4-49EE-BE6E-4022B43BCBB9}"/>
    <cellStyle name="Comma 7 4" xfId="13825" xr:uid="{57C7EB94-6CC7-4B00-AD81-F97060A732E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785FD359-E4E5-497E-89E7-CED0CA9FB82E}"/>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7BA3AE5D-5A6F-493E-A970-50C2AEC85EF0}"/>
    <cellStyle name="Currency 14 3 2 2 2 2 3" xfId="18058" xr:uid="{63AF9313-2A7E-4FDF-965C-EC92E3EA22BB}"/>
    <cellStyle name="Currency 14 3 2 2 2 3" xfId="18055" xr:uid="{835AF2BC-1516-48F3-A0DC-D7D14D21CF74}"/>
    <cellStyle name="Currency 14 3 2 2 3" xfId="18051" xr:uid="{C7D85836-6881-4926-8799-C8BD1DF0E9A3}"/>
    <cellStyle name="Currency 14 3 2 3" xfId="18048" xr:uid="{C919B77B-8B5C-441F-AA36-62D8F0B1D9E8}"/>
    <cellStyle name="Currency 14 3 3" xfId="18045" xr:uid="{6F0AE860-BE63-444A-9B51-CAC0238178C8}"/>
    <cellStyle name="Currency 14 4" xfId="13828" xr:uid="{DF3210E5-10B7-46CE-BD3F-AAF9C633A54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C99897F9-8D68-4D87-B22D-181B0609E9E1}"/>
    <cellStyle name="Currency 3 2 2 10 3" xfId="12124" xr:uid="{0F586DB7-5AFE-4600-9C87-A7C909E2363B}"/>
    <cellStyle name="Currency 3 2 2 11" xfId="4632" xr:uid="{00000000-0005-0000-0000-0000A50A0000}"/>
    <cellStyle name="Currency 3 2 2 11 2" xfId="13958" xr:uid="{D43EF51F-721D-4B6E-996A-2BEC76AE3A7D}"/>
    <cellStyle name="Currency 3 2 2 12" xfId="8808" xr:uid="{5CD24693-181E-456A-9199-DC057509AC96}"/>
    <cellStyle name="Currency 3 2 2 12 2" xfId="18132" xr:uid="{BEE4562D-4CB7-4333-9216-A910F4FCDA92}"/>
    <cellStyle name="Currency 3 2 2 13" xfId="9741" xr:uid="{CED14B4A-FA02-47C3-8840-B5D0CA3B10F9}"/>
    <cellStyle name="Currency 3 2 2 2" xfId="179" xr:uid="{00000000-0005-0000-0000-0000A60A0000}"/>
    <cellStyle name="Currency 3 2 2 2 10" xfId="4633" xr:uid="{00000000-0005-0000-0000-0000A70A0000}"/>
    <cellStyle name="Currency 3 2 2 2 10 2" xfId="13959" xr:uid="{B958BE80-4762-40FC-B953-AE106B2231A2}"/>
    <cellStyle name="Currency 3 2 2 2 11" xfId="8911" xr:uid="{177A45F7-B130-49DA-829A-AA3BF41B848C}"/>
    <cellStyle name="Currency 3 2 2 2 11 2" xfId="18235" xr:uid="{E542DCF7-6292-4F84-AC01-FCA71611B2A5}"/>
    <cellStyle name="Currency 3 2 2 2 12" xfId="9742" xr:uid="{ECCE5D3A-47EF-418A-AEC7-8B04A43BD75A}"/>
    <cellStyle name="Currency 3 2 2 2 2" xfId="180" xr:uid="{00000000-0005-0000-0000-0000A80A0000}"/>
    <cellStyle name="Currency 3 2 2 2 2 10" xfId="9118" xr:uid="{4DDBDF88-B997-49F5-AF34-322CC93508E5}"/>
    <cellStyle name="Currency 3 2 2 2 2 10 2" xfId="18442" xr:uid="{FA17DF75-7F2C-4795-9D65-8764D283FBA9}"/>
    <cellStyle name="Currency 3 2 2 2 2 11" xfId="9743" xr:uid="{B033ABF4-D011-49C9-B1C3-64E39D969FDC}"/>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FDD8FC86-F24C-45EC-A0DF-637C6984CB9E}"/>
    <cellStyle name="Currency 3 2 2 2 2 2 2 3" xfId="12302" xr:uid="{6D7AA931-AFB7-4C68-9722-332E29210F29}"/>
    <cellStyle name="Currency 3 2 2 2 2 2 3" xfId="5048" xr:uid="{00000000-0005-0000-0000-0000AC0A0000}"/>
    <cellStyle name="Currency 3 2 2 2 2 2 3 2" xfId="14374" xr:uid="{BE9DC7DA-3C11-4AA4-A952-A99CDDB24332}"/>
    <cellStyle name="Currency 3 2 2 2 2 2 4" xfId="9543" xr:uid="{08990697-BAC1-4B06-A86B-C554A35267E6}"/>
    <cellStyle name="Currency 3 2 2 2 2 2 4 2" xfId="18858" xr:uid="{FC1CF5C4-14D1-4E9E-A0AF-92547DBB5DBF}"/>
    <cellStyle name="Currency 3 2 2 2 2 2 5" xfId="10157" xr:uid="{D2965CF2-3B9C-4155-8EED-5CA255417C19}"/>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075B8812-D938-43F2-97D6-DE6F5794311F}"/>
    <cellStyle name="Currency 3 2 2 2 2 3 2 3" xfId="12715" xr:uid="{00EEDA8E-46EC-48D7-96CE-785543D66AE1}"/>
    <cellStyle name="Currency 3 2 2 2 2 3 3" xfId="5461" xr:uid="{00000000-0005-0000-0000-0000B00A0000}"/>
    <cellStyle name="Currency 3 2 2 2 2 3 3 2" xfId="14787" xr:uid="{3F58D891-147C-4905-8A22-4D2F67CB93FB}"/>
    <cellStyle name="Currency 3 2 2 2 2 3 4" xfId="10570" xr:uid="{8CA5C703-B116-46BF-A75B-B52A27DBC55B}"/>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1427BC9F-5B36-4043-8A00-BE1957EC001E}"/>
    <cellStyle name="Currency 3 2 2 2 2 4 2 3" xfId="13128" xr:uid="{76A3DD31-BA16-4775-9D91-E390071665AA}"/>
    <cellStyle name="Currency 3 2 2 2 2 4 3" xfId="5874" xr:uid="{00000000-0005-0000-0000-0000B40A0000}"/>
    <cellStyle name="Currency 3 2 2 2 2 4 3 2" xfId="15200" xr:uid="{6BCEEFE1-71FE-4D96-8388-DBB7BA0620C6}"/>
    <cellStyle name="Currency 3 2 2 2 2 4 4" xfId="10983" xr:uid="{EC30CB4A-CDB9-4A45-9C24-6EAA62FA38A2}"/>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BADBCDC5-A9A1-4A6B-9BBC-906C94A5E59D}"/>
    <cellStyle name="Currency 3 2 2 2 2 5 2 3" xfId="13541" xr:uid="{671CCF07-9A9D-4F04-9B44-9054CA64FDE7}"/>
    <cellStyle name="Currency 3 2 2 2 2 5 3" xfId="6287" xr:uid="{00000000-0005-0000-0000-0000B80A0000}"/>
    <cellStyle name="Currency 3 2 2 2 2 5 3 2" xfId="15613" xr:uid="{062B13B2-4F2B-4DFA-A8CA-FBC98BECB66A}"/>
    <cellStyle name="Currency 3 2 2 2 2 5 4" xfId="11396" xr:uid="{C1077C38-417C-4453-8F4C-7DA4B46FEB46}"/>
    <cellStyle name="Currency 3 2 2 2 2 6" xfId="2416" xr:uid="{00000000-0005-0000-0000-0000B90A0000}"/>
    <cellStyle name="Currency 3 2 2 2 2 6 2" xfId="6700" xr:uid="{00000000-0005-0000-0000-0000BA0A0000}"/>
    <cellStyle name="Currency 3 2 2 2 2 6 2 2" xfId="16026" xr:uid="{4B2E0F45-9B63-40E8-A4FB-37722F8C57AF}"/>
    <cellStyle name="Currency 3 2 2 2 2 6 3" xfId="11809" xr:uid="{2D267052-AD50-4E7A-ABEF-A5DD405292EE}"/>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8CDB9522-2C02-4BBD-A2B9-47D5EEE35311}"/>
    <cellStyle name="Currency 3 2 2 2 2 8 3" xfId="12126" xr:uid="{602891B9-D381-4DC6-8C72-6F04FB3D812A}"/>
    <cellStyle name="Currency 3 2 2 2 2 9" xfId="4634" xr:uid="{00000000-0005-0000-0000-0000BE0A0000}"/>
    <cellStyle name="Currency 3 2 2 2 2 9 2" xfId="13960" xr:uid="{0C48C2B6-BE45-49ED-8C2F-0FA541AE9F0F}"/>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2764F8C8-9085-435E-94BC-542D5993BFEE}"/>
    <cellStyle name="Currency 3 2 2 2 3 2 3" xfId="12301" xr:uid="{01C820C8-4867-4DAE-A652-4CBD60C124A6}"/>
    <cellStyle name="Currency 3 2 2 2 3 3" xfId="5047" xr:uid="{00000000-0005-0000-0000-0000C20A0000}"/>
    <cellStyle name="Currency 3 2 2 2 3 3 2" xfId="14373" xr:uid="{E5E48ED6-9C0B-4350-BDAB-A6ACF45636FA}"/>
    <cellStyle name="Currency 3 2 2 2 3 4" xfId="9336" xr:uid="{F86D5454-A503-484B-B8F3-81FF219E49D0}"/>
    <cellStyle name="Currency 3 2 2 2 3 4 2" xfId="18651" xr:uid="{58EC1147-249D-412E-99C2-AB3420173F76}"/>
    <cellStyle name="Currency 3 2 2 2 3 5" xfId="10156" xr:uid="{660B3DDA-B33F-4931-B289-4EB1566009F7}"/>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3C1934B8-8A6E-4C50-9670-2495C0199F9F}"/>
    <cellStyle name="Currency 3 2 2 2 4 2 3" xfId="12714" xr:uid="{AFD7C583-2E1F-4302-B1B5-AC1AFA3C756E}"/>
    <cellStyle name="Currency 3 2 2 2 4 3" xfId="5460" xr:uid="{00000000-0005-0000-0000-0000C60A0000}"/>
    <cellStyle name="Currency 3 2 2 2 4 3 2" xfId="14786" xr:uid="{51D4036E-FF3F-4EC4-B074-ED4E2289DA94}"/>
    <cellStyle name="Currency 3 2 2 2 4 4" xfId="10569" xr:uid="{B806C7EF-A5DD-4FD8-A0BC-78735CA7B51B}"/>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D2BF051D-25D2-4CDE-9491-66154C1EA0F9}"/>
    <cellStyle name="Currency 3 2 2 2 5 2 3" xfId="13127" xr:uid="{8CEEC4AF-2C51-4AD4-845F-CACEDD73B9A0}"/>
    <cellStyle name="Currency 3 2 2 2 5 3" xfId="5873" xr:uid="{00000000-0005-0000-0000-0000CA0A0000}"/>
    <cellStyle name="Currency 3 2 2 2 5 3 2" xfId="15199" xr:uid="{868F1FC2-40A2-4F9D-B764-060A568DEECE}"/>
    <cellStyle name="Currency 3 2 2 2 5 4" xfId="10982" xr:uid="{48C3C999-7224-4699-9F8C-AB6667964C38}"/>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0D267678-82D7-4C75-8B62-FADB6A7B6862}"/>
    <cellStyle name="Currency 3 2 2 2 6 2 3" xfId="13540" xr:uid="{BD151F28-720D-43C5-8E43-9DAC32FA0B25}"/>
    <cellStyle name="Currency 3 2 2 2 6 3" xfId="6286" xr:uid="{00000000-0005-0000-0000-0000CE0A0000}"/>
    <cellStyle name="Currency 3 2 2 2 6 3 2" xfId="15612" xr:uid="{9D951932-0A17-4AE8-8FD1-A42E3E8FFA5A}"/>
    <cellStyle name="Currency 3 2 2 2 6 4" xfId="11395" xr:uid="{EF24B594-CF5F-40AF-A37F-F0E6B7A83DED}"/>
    <cellStyle name="Currency 3 2 2 2 7" xfId="2415" xr:uid="{00000000-0005-0000-0000-0000CF0A0000}"/>
    <cellStyle name="Currency 3 2 2 2 7 2" xfId="6699" xr:uid="{00000000-0005-0000-0000-0000D00A0000}"/>
    <cellStyle name="Currency 3 2 2 2 7 2 2" xfId="16025" xr:uid="{5464433E-0A7C-4DCB-A086-F0C7019C5AB5}"/>
    <cellStyle name="Currency 3 2 2 2 7 3" xfId="11808" xr:uid="{9C167C5C-75D3-43FD-9F2C-A135EC189A4F}"/>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F39D984A-FA52-42E4-8A69-86E7A9046761}"/>
    <cellStyle name="Currency 3 2 2 2 9 3" xfId="12125" xr:uid="{BF9C5CA8-A67D-4818-882B-FD6328DD81B9}"/>
    <cellStyle name="Currency 3 2 2 3" xfId="181" xr:uid="{00000000-0005-0000-0000-0000D40A0000}"/>
    <cellStyle name="Currency 3 2 2 3 10" xfId="9015" xr:uid="{A1C3FAFC-6FB9-45C5-A279-C90E61794A63}"/>
    <cellStyle name="Currency 3 2 2 3 10 2" xfId="18339" xr:uid="{82813222-4ECF-4125-9B08-E09E2DE2D877}"/>
    <cellStyle name="Currency 3 2 2 3 11" xfId="9744" xr:uid="{9565917F-A792-47D2-93FF-85439C41E62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A1D0B232-6413-4A94-A2E9-CAC035DB0F94}"/>
    <cellStyle name="Currency 3 2 2 3 2 2 3" xfId="12303" xr:uid="{4B8CC118-9E76-4E6E-BA4E-1826037EB70E}"/>
    <cellStyle name="Currency 3 2 2 3 2 3" xfId="5049" xr:uid="{00000000-0005-0000-0000-0000D80A0000}"/>
    <cellStyle name="Currency 3 2 2 3 2 3 2" xfId="14375" xr:uid="{9453E281-6A72-4237-B458-44448A724947}"/>
    <cellStyle name="Currency 3 2 2 3 2 4" xfId="9440" xr:uid="{774D5512-BCA5-4224-A909-3336A63369C8}"/>
    <cellStyle name="Currency 3 2 2 3 2 4 2" xfId="18755" xr:uid="{4C193316-1AF1-4956-9EEE-EAD7B2C05E97}"/>
    <cellStyle name="Currency 3 2 2 3 2 5" xfId="10158" xr:uid="{8A56B317-F537-47FE-9298-1EB88E856D2D}"/>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BC9F98B0-B169-494E-B614-A93F17F1505E}"/>
    <cellStyle name="Currency 3 2 2 3 3 2 3" xfId="12716" xr:uid="{FFA2F04F-A433-46DB-85FF-62854E9D7162}"/>
    <cellStyle name="Currency 3 2 2 3 3 3" xfId="5462" xr:uid="{00000000-0005-0000-0000-0000DC0A0000}"/>
    <cellStyle name="Currency 3 2 2 3 3 3 2" xfId="14788" xr:uid="{B3864857-C161-4E41-9354-B1025D0803EC}"/>
    <cellStyle name="Currency 3 2 2 3 3 4" xfId="10571" xr:uid="{B75B04DB-79AB-4CEB-AC70-7B4CCA7351BC}"/>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F9EE4A6C-1ABC-49A2-9446-43A34129ED06}"/>
    <cellStyle name="Currency 3 2 2 3 4 2 3" xfId="13129" xr:uid="{1EA2BC82-B7F7-46A9-9836-FB7C4AD90443}"/>
    <cellStyle name="Currency 3 2 2 3 4 3" xfId="5875" xr:uid="{00000000-0005-0000-0000-0000E00A0000}"/>
    <cellStyle name="Currency 3 2 2 3 4 3 2" xfId="15201" xr:uid="{1855806E-7117-42B7-A213-CBE203C0779F}"/>
    <cellStyle name="Currency 3 2 2 3 4 4" xfId="10984" xr:uid="{B2341005-8BF0-4722-9002-F500218B17A3}"/>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90D216E1-DE3E-48A9-8AFD-85D6E71A6BA0}"/>
    <cellStyle name="Currency 3 2 2 3 5 2 3" xfId="13542" xr:uid="{5BE120D9-2383-4660-97B3-E484A0A0A578}"/>
    <cellStyle name="Currency 3 2 2 3 5 3" xfId="6288" xr:uid="{00000000-0005-0000-0000-0000E40A0000}"/>
    <cellStyle name="Currency 3 2 2 3 5 3 2" xfId="15614" xr:uid="{9A4CFC6C-B828-4221-8C47-E720C57DAC62}"/>
    <cellStyle name="Currency 3 2 2 3 5 4" xfId="11397" xr:uid="{5208641C-9260-44F6-A4B4-0A2E60A23217}"/>
    <cellStyle name="Currency 3 2 2 3 6" xfId="2417" xr:uid="{00000000-0005-0000-0000-0000E50A0000}"/>
    <cellStyle name="Currency 3 2 2 3 6 2" xfId="6701" xr:uid="{00000000-0005-0000-0000-0000E60A0000}"/>
    <cellStyle name="Currency 3 2 2 3 6 2 2" xfId="16027" xr:uid="{1C399F10-890F-4E7A-B301-943388A14703}"/>
    <cellStyle name="Currency 3 2 2 3 6 3" xfId="11810" xr:uid="{46278FA3-5AB5-45E6-8F26-CFBBD6075EB4}"/>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66BA35D0-30A6-4F71-8EE3-E1EDED5A5CC4}"/>
    <cellStyle name="Currency 3 2 2 3 8 3" xfId="12127" xr:uid="{14FBA4C2-C602-43FB-BA7A-E6995AD08BB6}"/>
    <cellStyle name="Currency 3 2 2 3 9" xfId="4635" xr:uid="{00000000-0005-0000-0000-0000EA0A0000}"/>
    <cellStyle name="Currency 3 2 2 3 9 2" xfId="13961" xr:uid="{3DFD76B1-C0F5-4901-A4B0-3C1A75704E49}"/>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69AAA837-6C0C-4F8E-BCC5-15F3A55730CB}"/>
    <cellStyle name="Currency 3 2 2 4 2 3" xfId="12300" xr:uid="{7FC42876-0F54-466A-8F9A-69A2392809E9}"/>
    <cellStyle name="Currency 3 2 2 4 3" xfId="5046" xr:uid="{00000000-0005-0000-0000-0000EE0A0000}"/>
    <cellStyle name="Currency 3 2 2 4 3 2" xfId="14372" xr:uid="{057DD207-D52A-4B95-BE4E-A05D96C280AD}"/>
    <cellStyle name="Currency 3 2 2 4 4" xfId="9233" xr:uid="{A90843BF-65B1-48E5-9C93-A2651D7B4B13}"/>
    <cellStyle name="Currency 3 2 2 4 4 2" xfId="18548" xr:uid="{0157690A-7156-42C0-80E9-FD53776BBC42}"/>
    <cellStyle name="Currency 3 2 2 4 5" xfId="10155" xr:uid="{053F438D-06D7-430C-BE4D-1107A5D42CAB}"/>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0F6733EE-AB96-47F5-9764-1A105D5E6CA5}"/>
    <cellStyle name="Currency 3 2 2 5 2 3" xfId="12713" xr:uid="{B5A6DB25-0E99-43A4-8495-84E536D59AE2}"/>
    <cellStyle name="Currency 3 2 2 5 3" xfId="5459" xr:uid="{00000000-0005-0000-0000-0000F20A0000}"/>
    <cellStyle name="Currency 3 2 2 5 3 2" xfId="14785" xr:uid="{83FB57E5-B3E4-4A2A-8DA3-4694B410C1F8}"/>
    <cellStyle name="Currency 3 2 2 5 4" xfId="10568" xr:uid="{20991349-4C70-43A6-BC52-F74A066E73EA}"/>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A0743E72-0D34-44A6-BB88-85D3AEA53134}"/>
    <cellStyle name="Currency 3 2 2 6 2 3" xfId="13126" xr:uid="{81FEC53D-17E5-463C-ABF9-0489C358B237}"/>
    <cellStyle name="Currency 3 2 2 6 3" xfId="5872" xr:uid="{00000000-0005-0000-0000-0000F60A0000}"/>
    <cellStyle name="Currency 3 2 2 6 3 2" xfId="15198" xr:uid="{8952178E-C165-422A-935D-26FDDDC1A413}"/>
    <cellStyle name="Currency 3 2 2 6 4" xfId="10981" xr:uid="{98005D67-C030-40A9-A05D-A894778783E7}"/>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6BED2FBF-45EB-4267-9753-A7F86E2F3BFC}"/>
    <cellStyle name="Currency 3 2 2 7 2 3" xfId="13539" xr:uid="{6C1682EE-45C3-44C9-8F80-5076EFC35EF2}"/>
    <cellStyle name="Currency 3 2 2 7 3" xfId="6285" xr:uid="{00000000-0005-0000-0000-0000FA0A0000}"/>
    <cellStyle name="Currency 3 2 2 7 3 2" xfId="15611" xr:uid="{56E5ECBA-DDC6-4D21-A424-D89DDD61C89D}"/>
    <cellStyle name="Currency 3 2 2 7 4" xfId="11394" xr:uid="{086B03FC-59DC-4D50-8FFF-41906ECBF13B}"/>
    <cellStyle name="Currency 3 2 2 8" xfId="2414" xr:uid="{00000000-0005-0000-0000-0000FB0A0000}"/>
    <cellStyle name="Currency 3 2 2 8 2" xfId="6698" xr:uid="{00000000-0005-0000-0000-0000FC0A0000}"/>
    <cellStyle name="Currency 3 2 2 8 2 2" xfId="16024" xr:uid="{FEF5E892-F9B9-4E87-A739-C545E5161371}"/>
    <cellStyle name="Currency 3 2 2 8 3" xfId="11807" xr:uid="{6EAF7FBE-6108-4DBA-8D36-8CB4FCD7B4BD}"/>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3F1EB9C4-9AA4-4A7C-8F0E-1A54691E09C8}"/>
    <cellStyle name="Currency 3 2 3 11" xfId="8893" xr:uid="{8CE28714-D587-402C-9A17-1A08799662D4}"/>
    <cellStyle name="Currency 3 2 3 11 2" xfId="18217" xr:uid="{24BA0F0D-C738-4B2A-B1BF-F1ABD5EA9ED4}"/>
    <cellStyle name="Currency 3 2 3 12" xfId="9745" xr:uid="{900E673C-99F1-4F22-B6FF-FA56ABC9CA87}"/>
    <cellStyle name="Currency 3 2 3 2" xfId="183" xr:uid="{00000000-0005-0000-0000-0000000B0000}"/>
    <cellStyle name="Currency 3 2 3 2 10" xfId="9100" xr:uid="{CEBE1F40-0923-46C6-AB84-DD4DAB20CD81}"/>
    <cellStyle name="Currency 3 2 3 2 10 2" xfId="18424" xr:uid="{C1123999-DE4B-4ED4-AAD4-5D915EEE322A}"/>
    <cellStyle name="Currency 3 2 3 2 11" xfId="9746" xr:uid="{F13CC6E1-F29B-405E-8024-B9600E934CFB}"/>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ECF9271F-30F4-4B8E-A943-DFB8E8062099}"/>
    <cellStyle name="Currency 3 2 3 2 2 2 3" xfId="12305" xr:uid="{A363C48F-59D9-40EF-BD37-F76DA70CD6A3}"/>
    <cellStyle name="Currency 3 2 3 2 2 3" xfId="5051" xr:uid="{00000000-0005-0000-0000-0000040B0000}"/>
    <cellStyle name="Currency 3 2 3 2 2 3 2" xfId="14377" xr:uid="{13973A45-8589-456F-B092-ACCF3EE23BD6}"/>
    <cellStyle name="Currency 3 2 3 2 2 4" xfId="9525" xr:uid="{759374BA-DDD8-4F33-9655-B300986F8700}"/>
    <cellStyle name="Currency 3 2 3 2 2 4 2" xfId="18840" xr:uid="{45643789-FABA-4820-9905-7357E95BFE6B}"/>
    <cellStyle name="Currency 3 2 3 2 2 5" xfId="10160" xr:uid="{D564FE46-9C1F-4393-8673-77B889D16AA3}"/>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06A665B2-FCEF-4009-B5BC-9DA48B5C3E3C}"/>
    <cellStyle name="Currency 3 2 3 2 3 2 3" xfId="12718" xr:uid="{52A10247-2700-42B6-8BB0-9862B61A1363}"/>
    <cellStyle name="Currency 3 2 3 2 3 3" xfId="5464" xr:uid="{00000000-0005-0000-0000-0000080B0000}"/>
    <cellStyle name="Currency 3 2 3 2 3 3 2" xfId="14790" xr:uid="{92F4A6A9-6381-4B39-BC6A-8A3C60FD6A3F}"/>
    <cellStyle name="Currency 3 2 3 2 3 4" xfId="10573" xr:uid="{C92DC86B-7050-461D-B685-0E95B4CFB7B3}"/>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E9CA5B65-AE9F-428F-9128-83B68B661470}"/>
    <cellStyle name="Currency 3 2 3 2 4 2 3" xfId="13131" xr:uid="{0E080B30-AC59-4CAF-9607-70AD48DB48E7}"/>
    <cellStyle name="Currency 3 2 3 2 4 3" xfId="5877" xr:uid="{00000000-0005-0000-0000-00000C0B0000}"/>
    <cellStyle name="Currency 3 2 3 2 4 3 2" xfId="15203" xr:uid="{7478C452-2DEE-450D-BBF2-68752811D503}"/>
    <cellStyle name="Currency 3 2 3 2 4 4" xfId="10986" xr:uid="{3859F9D6-B9E8-4190-9F30-BF29A2E05EAF}"/>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B6BC505F-D85F-46FC-B9BE-A956764FE95B}"/>
    <cellStyle name="Currency 3 2 3 2 5 2 3" xfId="13544" xr:uid="{BC3EDC52-6D06-46EE-B1F1-56A41BE7A3CA}"/>
    <cellStyle name="Currency 3 2 3 2 5 3" xfId="6290" xr:uid="{00000000-0005-0000-0000-0000100B0000}"/>
    <cellStyle name="Currency 3 2 3 2 5 3 2" xfId="15616" xr:uid="{3EA61593-9024-41BB-ACF8-67A662A83967}"/>
    <cellStyle name="Currency 3 2 3 2 5 4" xfId="11399" xr:uid="{7A32D118-89D5-4544-A66C-EB194790A555}"/>
    <cellStyle name="Currency 3 2 3 2 6" xfId="2419" xr:uid="{00000000-0005-0000-0000-0000110B0000}"/>
    <cellStyle name="Currency 3 2 3 2 6 2" xfId="6703" xr:uid="{00000000-0005-0000-0000-0000120B0000}"/>
    <cellStyle name="Currency 3 2 3 2 6 2 2" xfId="16029" xr:uid="{A580EC05-3EDF-42CF-8A5D-ACD2356AA5E0}"/>
    <cellStyle name="Currency 3 2 3 2 6 3" xfId="11812" xr:uid="{C0492F80-3ACD-472C-A918-0D8DDC1AB645}"/>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6D62CF57-203F-429D-828B-2BD41A0C549A}"/>
    <cellStyle name="Currency 3 2 3 2 8 3" xfId="12129" xr:uid="{F0986DCD-7A06-4DB2-A1ED-2A36D204BFE2}"/>
    <cellStyle name="Currency 3 2 3 2 9" xfId="4637" xr:uid="{00000000-0005-0000-0000-0000160B0000}"/>
    <cellStyle name="Currency 3 2 3 2 9 2" xfId="13963" xr:uid="{3AD79C82-32B6-453F-85F7-1E3E92AA2B56}"/>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40E1E5E7-5F60-4406-BD6F-16BAAF28D7A6}"/>
    <cellStyle name="Currency 3 2 3 3 2 3" xfId="12304" xr:uid="{D3CB7B65-7E81-4EA1-8FBA-E82B367FB2B0}"/>
    <cellStyle name="Currency 3 2 3 3 3" xfId="5050" xr:uid="{00000000-0005-0000-0000-00001A0B0000}"/>
    <cellStyle name="Currency 3 2 3 3 3 2" xfId="14376" xr:uid="{59181E0E-E9AF-441A-A2C8-757C29F1A5BD}"/>
    <cellStyle name="Currency 3 2 3 3 4" xfId="9318" xr:uid="{AA73873E-8E72-4FDE-A22E-F5D80E2A87B1}"/>
    <cellStyle name="Currency 3 2 3 3 4 2" xfId="18633" xr:uid="{BE3F8B06-EC41-476E-9DB3-E0481F9034BC}"/>
    <cellStyle name="Currency 3 2 3 3 5" xfId="10159" xr:uid="{7889538B-AD8B-4969-9EFA-AE1DFA7757C8}"/>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A85BCF54-DF4D-48FA-87E2-556DDC2DF498}"/>
    <cellStyle name="Currency 3 2 3 4 2 3" xfId="12717" xr:uid="{5150C639-15B5-432A-B930-8266A7C81BDE}"/>
    <cellStyle name="Currency 3 2 3 4 3" xfId="5463" xr:uid="{00000000-0005-0000-0000-00001E0B0000}"/>
    <cellStyle name="Currency 3 2 3 4 3 2" xfId="14789" xr:uid="{AA83A192-CFBF-4D0D-B28B-01993148384D}"/>
    <cellStyle name="Currency 3 2 3 4 4" xfId="10572" xr:uid="{C48E5265-CA8F-41D5-A740-BFEDF03F6E0A}"/>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EAD93FC1-7ADE-407C-81A4-9E8099970786}"/>
    <cellStyle name="Currency 3 2 3 5 2 3" xfId="13130" xr:uid="{238F5BD8-7426-4A81-90AE-53ABE881E804}"/>
    <cellStyle name="Currency 3 2 3 5 3" xfId="5876" xr:uid="{00000000-0005-0000-0000-0000220B0000}"/>
    <cellStyle name="Currency 3 2 3 5 3 2" xfId="15202" xr:uid="{D9444C17-BF04-4DC6-908B-935B7DA6C9B7}"/>
    <cellStyle name="Currency 3 2 3 5 4" xfId="10985" xr:uid="{0E35E180-21F9-489E-9BAF-6CDD79DFA165}"/>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9FB0FD1E-0677-4A6F-B602-8B30090A4EB5}"/>
    <cellStyle name="Currency 3 2 3 6 2 3" xfId="13543" xr:uid="{BED9037C-27C3-47C6-9E0E-5036BF457E7C}"/>
    <cellStyle name="Currency 3 2 3 6 3" xfId="6289" xr:uid="{00000000-0005-0000-0000-0000260B0000}"/>
    <cellStyle name="Currency 3 2 3 6 3 2" xfId="15615" xr:uid="{A9339881-26C0-438B-AE31-6E56ABC2E5F4}"/>
    <cellStyle name="Currency 3 2 3 6 4" xfId="11398" xr:uid="{805993C1-C0C7-4984-AE65-0E98EB3AAE5D}"/>
    <cellStyle name="Currency 3 2 3 7" xfId="2418" xr:uid="{00000000-0005-0000-0000-0000270B0000}"/>
    <cellStyle name="Currency 3 2 3 7 2" xfId="6702" xr:uid="{00000000-0005-0000-0000-0000280B0000}"/>
    <cellStyle name="Currency 3 2 3 7 2 2" xfId="16028" xr:uid="{329AF462-91A6-4623-8E36-82C6B9B8D431}"/>
    <cellStyle name="Currency 3 2 3 7 3" xfId="11811" xr:uid="{B94783EB-4949-4445-8FF1-A5E81228A4FF}"/>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951871C8-7242-4726-BBF1-8D2298595718}"/>
    <cellStyle name="Currency 3 2 3 9 3" xfId="12128" xr:uid="{AC668EDF-8553-494B-B523-7013AFCB3D8F}"/>
    <cellStyle name="Currency 3 2 4" xfId="184" xr:uid="{00000000-0005-0000-0000-00002C0B0000}"/>
    <cellStyle name="Currency 3 2 4 10" xfId="8997" xr:uid="{DF9FC022-A382-4135-990F-F43A472E13BA}"/>
    <cellStyle name="Currency 3 2 4 10 2" xfId="18321" xr:uid="{058F7A86-217B-40B8-B95A-6DD750F04200}"/>
    <cellStyle name="Currency 3 2 4 11" xfId="9747" xr:uid="{784D1B4C-4C75-42D0-9AB3-48ACF40AAD8F}"/>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69D5CEC3-BA39-42F0-A9F2-F6E57DFA03AD}"/>
    <cellStyle name="Currency 3 2 4 2 2 3" xfId="12306" xr:uid="{2CDA58CA-6F85-43E4-A8F5-6F7A2610946B}"/>
    <cellStyle name="Currency 3 2 4 2 3" xfId="5052" xr:uid="{00000000-0005-0000-0000-0000300B0000}"/>
    <cellStyle name="Currency 3 2 4 2 3 2" xfId="14378" xr:uid="{1EB6C464-DDD5-46E3-AB54-CC6F95B0B92A}"/>
    <cellStyle name="Currency 3 2 4 2 4" xfId="9422" xr:uid="{3049B7CE-611E-437A-AD0B-2E3AA5E2E50D}"/>
    <cellStyle name="Currency 3 2 4 2 4 2" xfId="18737" xr:uid="{61E9188F-4EB8-4220-8329-2BF57F82F6CC}"/>
    <cellStyle name="Currency 3 2 4 2 5" xfId="10161" xr:uid="{3626441B-D85D-4FE0-9C10-482CC348471E}"/>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218E0D96-57C4-4EA1-B067-0B72AAD87D93}"/>
    <cellStyle name="Currency 3 2 4 3 2 3" xfId="12719" xr:uid="{3A61B2DD-DA62-4482-84F7-DDEF5234224A}"/>
    <cellStyle name="Currency 3 2 4 3 3" xfId="5465" xr:uid="{00000000-0005-0000-0000-0000340B0000}"/>
    <cellStyle name="Currency 3 2 4 3 3 2" xfId="14791" xr:uid="{3E26897E-3FCB-4B1C-A74E-23AA05FB29DA}"/>
    <cellStyle name="Currency 3 2 4 3 4" xfId="10574" xr:uid="{3C380F3B-0007-4677-83B7-8AAB884A689E}"/>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FB0D0448-0017-4A99-A364-16798E48DF36}"/>
    <cellStyle name="Currency 3 2 4 4 2 3" xfId="13132" xr:uid="{5EA4BD69-F61F-4482-A237-B3D9177652C1}"/>
    <cellStyle name="Currency 3 2 4 4 3" xfId="5878" xr:uid="{00000000-0005-0000-0000-0000380B0000}"/>
    <cellStyle name="Currency 3 2 4 4 3 2" xfId="15204" xr:uid="{CD6B3774-7C69-47BD-9A2B-700A345553DA}"/>
    <cellStyle name="Currency 3 2 4 4 4" xfId="10987" xr:uid="{CE88E34A-3A0B-4522-B976-757475845944}"/>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76FEABA4-F432-4B9E-8D02-3208D06EDAF7}"/>
    <cellStyle name="Currency 3 2 4 5 2 3" xfId="13545" xr:uid="{85DD9F6E-4176-4269-AEB6-AD742EB1CFEE}"/>
    <cellStyle name="Currency 3 2 4 5 3" xfId="6291" xr:uid="{00000000-0005-0000-0000-00003C0B0000}"/>
    <cellStyle name="Currency 3 2 4 5 3 2" xfId="15617" xr:uid="{6BEA3C59-5B44-41BB-A38D-85CB4F0E028B}"/>
    <cellStyle name="Currency 3 2 4 5 4" xfId="11400" xr:uid="{FD56A119-8165-4EE0-B575-C2056EB6E4CE}"/>
    <cellStyle name="Currency 3 2 4 6" xfId="2420" xr:uid="{00000000-0005-0000-0000-00003D0B0000}"/>
    <cellStyle name="Currency 3 2 4 6 2" xfId="6704" xr:uid="{00000000-0005-0000-0000-00003E0B0000}"/>
    <cellStyle name="Currency 3 2 4 6 2 2" xfId="16030" xr:uid="{D5C06886-BD72-4873-8242-7A1840E2F341}"/>
    <cellStyle name="Currency 3 2 4 6 3" xfId="11813" xr:uid="{64AD1A95-23CA-43A8-9F69-24A6205187D8}"/>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C9E68275-4C25-4E3A-ABD9-57EF06A89225}"/>
    <cellStyle name="Currency 3 2 4 8 3" xfId="12130" xr:uid="{5A58BA96-BEB5-464D-8A3A-9F469980F992}"/>
    <cellStyle name="Currency 3 2 4 9" xfId="4638" xr:uid="{00000000-0005-0000-0000-0000420B0000}"/>
    <cellStyle name="Currency 3 2 4 9 2" xfId="13964" xr:uid="{B30E17BA-A661-4E4F-A561-ACE4FD19DDE2}"/>
    <cellStyle name="Currency 3 2 5" xfId="185" xr:uid="{00000000-0005-0000-0000-0000430B0000}"/>
    <cellStyle name="Currency 3 2 5 10" xfId="9214" xr:uid="{3D0A867F-0B9D-4759-A509-3EC1084E197B}"/>
    <cellStyle name="Currency 3 2 5 10 2" xfId="18530" xr:uid="{83E23808-5634-40E0-BCB0-B806D5BB9860}"/>
    <cellStyle name="Currency 3 2 5 11" xfId="9748" xr:uid="{49FE2023-6C98-47B8-A8CE-791D3AE35157}"/>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0F7B6301-3CBA-48AF-A1D6-617E0AF66606}"/>
    <cellStyle name="Currency 3 2 5 2 2 3" xfId="12307" xr:uid="{C4DA1E93-7AA3-4662-99F3-6886B564E51B}"/>
    <cellStyle name="Currency 3 2 5 2 3" xfId="5053" xr:uid="{00000000-0005-0000-0000-0000470B0000}"/>
    <cellStyle name="Currency 3 2 5 2 3 2" xfId="14379" xr:uid="{4B5FC0D2-C63E-4019-9D6A-B5C1C3B976A9}"/>
    <cellStyle name="Currency 3 2 5 2 4" xfId="9597" xr:uid="{6E2F978E-96E4-4AD8-B4BD-1BE9D7E96A2F}"/>
    <cellStyle name="Currency 3 2 5 2 4 2" xfId="18901" xr:uid="{BF530210-68EA-4C29-AD9C-8F61E4B3E784}"/>
    <cellStyle name="Currency 3 2 5 2 5" xfId="10162" xr:uid="{A84D5E14-0ED4-49F4-836B-E41699F5F8CC}"/>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4251EE96-2E1D-409C-9C76-1DA72D145E8D}"/>
    <cellStyle name="Currency 3 2 5 3 2 3" xfId="12720" xr:uid="{9887B0A0-72E7-4361-993A-AE3D8DB5332E}"/>
    <cellStyle name="Currency 3 2 5 3 3" xfId="5466" xr:uid="{00000000-0005-0000-0000-00004B0B0000}"/>
    <cellStyle name="Currency 3 2 5 3 3 2" xfId="14792" xr:uid="{73A1AB9A-4168-4275-9BF2-BCFBA7CE1A9C}"/>
    <cellStyle name="Currency 3 2 5 3 4" xfId="10575" xr:uid="{98033345-5873-478F-A7B3-BB7AF0F8E24A}"/>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A54C3DF0-6524-4389-BBA4-AD18442779FC}"/>
    <cellStyle name="Currency 3 2 5 4 2 3" xfId="13133" xr:uid="{C393EBD6-C00B-4FFE-A943-F889BDC2ACC3}"/>
    <cellStyle name="Currency 3 2 5 4 3" xfId="5879" xr:uid="{00000000-0005-0000-0000-00004F0B0000}"/>
    <cellStyle name="Currency 3 2 5 4 3 2" xfId="15205" xr:uid="{93C60372-A6BA-43B8-8594-5B1D4029E449}"/>
    <cellStyle name="Currency 3 2 5 4 4" xfId="10988" xr:uid="{8A30E630-336E-485E-A903-5CEDED7A1DED}"/>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ABA22600-3E2F-4849-AA6B-15995489B215}"/>
    <cellStyle name="Currency 3 2 5 5 2 3" xfId="13546" xr:uid="{DA492524-65EA-4B77-A51A-40602252A18D}"/>
    <cellStyle name="Currency 3 2 5 5 3" xfId="6292" xr:uid="{00000000-0005-0000-0000-0000530B0000}"/>
    <cellStyle name="Currency 3 2 5 5 3 2" xfId="15618" xr:uid="{04B4B280-6C74-469A-A4E7-D711DC45956C}"/>
    <cellStyle name="Currency 3 2 5 5 4" xfId="11401" xr:uid="{13B265D6-6F79-4555-9047-D18AB945D25A}"/>
    <cellStyle name="Currency 3 2 5 6" xfId="2421" xr:uid="{00000000-0005-0000-0000-0000540B0000}"/>
    <cellStyle name="Currency 3 2 5 6 2" xfId="6705" xr:uid="{00000000-0005-0000-0000-0000550B0000}"/>
    <cellStyle name="Currency 3 2 5 6 2 2" xfId="16031" xr:uid="{89A176A1-F27B-4153-A091-9F4B97F46FC4}"/>
    <cellStyle name="Currency 3 2 5 6 3" xfId="11814" xr:uid="{AAB0303A-6CD8-46A3-835C-59E59A7B3599}"/>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B62832CE-FD5D-44E6-B417-31B695A337D0}"/>
    <cellStyle name="Currency 3 2 5 8 3" xfId="12131" xr:uid="{29FE19F7-E76F-47B7-B37D-11DDCDC95E8E}"/>
    <cellStyle name="Currency 3 2 5 9" xfId="4639" xr:uid="{00000000-0005-0000-0000-0000590B0000}"/>
    <cellStyle name="Currency 3 2 5 9 2" xfId="13965" xr:uid="{7E1CDB80-BD00-43B5-BC7E-3AC5E764F913}"/>
    <cellStyle name="Currency 3 2 6" xfId="9583" xr:uid="{653EC571-6DFB-4D44-8156-8097E74D2DD4}"/>
    <cellStyle name="Currency 3 2 7" xfId="8790" xr:uid="{4F16186C-C154-4E9A-B12A-0E13D64C3701}"/>
    <cellStyle name="Currency 3 2 7 2" xfId="18114" xr:uid="{5105CDF0-8C45-4175-B386-BD5DFBDFB2E9}"/>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2C2F3657-AEDA-40A8-B6AD-0A38F3A2A0A3}"/>
    <cellStyle name="Currency 5 2 2 2 10 3" xfId="12132" xr:uid="{E94DF7D7-1DF7-4DA4-8B38-FC6BA949A97F}"/>
    <cellStyle name="Currency 5 2 2 2 11" xfId="4640" xr:uid="{00000000-0005-0000-0000-00006C0B0000}"/>
    <cellStyle name="Currency 5 2 2 2 11 2" xfId="13966" xr:uid="{849B7631-820E-4E78-A5B1-11E56B456F45}"/>
    <cellStyle name="Currency 5 2 2 2 12" xfId="8809" xr:uid="{6E2B58BA-BC61-49BF-A0FE-5BC79A050654}"/>
    <cellStyle name="Currency 5 2 2 2 12 2" xfId="18133" xr:uid="{5A159938-04CC-4014-9763-29DD33B50D1C}"/>
    <cellStyle name="Currency 5 2 2 2 13" xfId="9749" xr:uid="{0353F1C0-FE85-46D9-8517-87F6F75C182D}"/>
    <cellStyle name="Currency 5 2 2 2 2" xfId="197" xr:uid="{00000000-0005-0000-0000-00006D0B0000}"/>
    <cellStyle name="Currency 5 2 2 2 2 10" xfId="4641" xr:uid="{00000000-0005-0000-0000-00006E0B0000}"/>
    <cellStyle name="Currency 5 2 2 2 2 10 2" xfId="13967" xr:uid="{99008202-C99F-42E7-8F88-796CB062515E}"/>
    <cellStyle name="Currency 5 2 2 2 2 11" xfId="8912" xr:uid="{4079D27E-F98B-4445-AE20-FFD848158756}"/>
    <cellStyle name="Currency 5 2 2 2 2 11 2" xfId="18236" xr:uid="{33254944-0AEB-467E-9633-BF665A2EB8D4}"/>
    <cellStyle name="Currency 5 2 2 2 2 12" xfId="9750" xr:uid="{15D654F6-EBE3-4F70-AC7F-3472A5444312}"/>
    <cellStyle name="Currency 5 2 2 2 2 2" xfId="198" xr:uid="{00000000-0005-0000-0000-00006F0B0000}"/>
    <cellStyle name="Currency 5 2 2 2 2 2 10" xfId="9119" xr:uid="{2B97CFE9-E9FD-476D-A341-C695293642F3}"/>
    <cellStyle name="Currency 5 2 2 2 2 2 10 2" xfId="18443" xr:uid="{3AB924F4-D87E-40BE-A2C0-D002A2D2D2F5}"/>
    <cellStyle name="Currency 5 2 2 2 2 2 11" xfId="9751" xr:uid="{9C785AC0-B000-4075-88CF-398CA98D6A36}"/>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16391A1D-2541-4E23-BE35-02E362ABC874}"/>
    <cellStyle name="Currency 5 2 2 2 2 2 2 2 3" xfId="12310" xr:uid="{06906271-F25E-4E98-8180-1B4FAEF62779}"/>
    <cellStyle name="Currency 5 2 2 2 2 2 2 3" xfId="5056" xr:uid="{00000000-0005-0000-0000-0000730B0000}"/>
    <cellStyle name="Currency 5 2 2 2 2 2 2 3 2" xfId="14382" xr:uid="{BDF73B25-38C6-4E2D-96F0-B7E83658E194}"/>
    <cellStyle name="Currency 5 2 2 2 2 2 2 4" xfId="9544" xr:uid="{77881B28-843C-4677-B92C-D2A5804BDB97}"/>
    <cellStyle name="Currency 5 2 2 2 2 2 2 4 2" xfId="18859" xr:uid="{9DC5B4BE-E86A-4739-A797-9AAAF50CE873}"/>
    <cellStyle name="Currency 5 2 2 2 2 2 2 5" xfId="10165" xr:uid="{4E0AAD3E-0404-44F4-B684-66E3A167B62A}"/>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176167EA-537A-47F9-A77C-342A73105502}"/>
    <cellStyle name="Currency 5 2 2 2 2 2 3 2 3" xfId="12723" xr:uid="{BE38A9E5-3CAF-4A11-AE0A-7186FD9F4EA8}"/>
    <cellStyle name="Currency 5 2 2 2 2 2 3 3" xfId="5469" xr:uid="{00000000-0005-0000-0000-0000770B0000}"/>
    <cellStyle name="Currency 5 2 2 2 2 2 3 3 2" xfId="14795" xr:uid="{B69D5E0B-1570-4F3C-9E12-1C3A8C9752DE}"/>
    <cellStyle name="Currency 5 2 2 2 2 2 3 4" xfId="10578" xr:uid="{70E58BEC-E432-4FF8-B140-B1BB1C0EEF5C}"/>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4BC9E119-16DC-42CF-8EBE-4F6262AF8002}"/>
    <cellStyle name="Currency 5 2 2 2 2 2 4 2 3" xfId="13136" xr:uid="{DE2981F6-9D9B-430B-905D-76F4ACA0B06A}"/>
    <cellStyle name="Currency 5 2 2 2 2 2 4 3" xfId="5882" xr:uid="{00000000-0005-0000-0000-00007B0B0000}"/>
    <cellStyle name="Currency 5 2 2 2 2 2 4 3 2" xfId="15208" xr:uid="{4B013756-BC29-4F06-85DA-4DB2D3AF7C2E}"/>
    <cellStyle name="Currency 5 2 2 2 2 2 4 4" xfId="10991" xr:uid="{2E0B0948-0133-4029-8A5C-47D5248F6462}"/>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F5FF9B2D-7631-42AA-9960-532740344913}"/>
    <cellStyle name="Currency 5 2 2 2 2 2 5 2 3" xfId="13549" xr:uid="{5310DBD6-A0A0-47E2-9EB8-EF964E52731C}"/>
    <cellStyle name="Currency 5 2 2 2 2 2 5 3" xfId="6295" xr:uid="{00000000-0005-0000-0000-00007F0B0000}"/>
    <cellStyle name="Currency 5 2 2 2 2 2 5 3 2" xfId="15621" xr:uid="{05480BE0-A229-46D5-AB7D-A45758243812}"/>
    <cellStyle name="Currency 5 2 2 2 2 2 5 4" xfId="11404" xr:uid="{F44A3571-E3F4-43BB-A7A6-B60143C943A3}"/>
    <cellStyle name="Currency 5 2 2 2 2 2 6" xfId="2424" xr:uid="{00000000-0005-0000-0000-0000800B0000}"/>
    <cellStyle name="Currency 5 2 2 2 2 2 6 2" xfId="6708" xr:uid="{00000000-0005-0000-0000-0000810B0000}"/>
    <cellStyle name="Currency 5 2 2 2 2 2 6 2 2" xfId="16034" xr:uid="{9DC4D018-B55E-4A12-A459-6AEE3175483F}"/>
    <cellStyle name="Currency 5 2 2 2 2 2 6 3" xfId="11817" xr:uid="{044635D7-7025-4157-954C-6543A4C2B8C7}"/>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7FE7AEB0-C52A-4E27-8DB0-35109AC54054}"/>
    <cellStyle name="Currency 5 2 2 2 2 2 8 3" xfId="12134" xr:uid="{748E452A-47B8-427A-BD89-F02B64D8AE5F}"/>
    <cellStyle name="Currency 5 2 2 2 2 2 9" xfId="4642" xr:uid="{00000000-0005-0000-0000-0000850B0000}"/>
    <cellStyle name="Currency 5 2 2 2 2 2 9 2" xfId="13968" xr:uid="{BBD2FDD3-B91E-4D5A-AC1C-2F90EE621A6C}"/>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17EADC4B-5174-4D4F-B611-47A0D5C31BE7}"/>
    <cellStyle name="Currency 5 2 2 2 2 3 2 3" xfId="12309" xr:uid="{BDA2398A-982B-4244-98F2-C900C82A6E2E}"/>
    <cellStyle name="Currency 5 2 2 2 2 3 3" xfId="5055" xr:uid="{00000000-0005-0000-0000-0000890B0000}"/>
    <cellStyle name="Currency 5 2 2 2 2 3 3 2" xfId="14381" xr:uid="{F2C19E8A-795A-4569-8271-381AFA6BBF5F}"/>
    <cellStyle name="Currency 5 2 2 2 2 3 4" xfId="9337" xr:uid="{A1FF44B9-A8E0-4A4E-9BE9-DA7FD7E326AE}"/>
    <cellStyle name="Currency 5 2 2 2 2 3 4 2" xfId="18652" xr:uid="{89B378FC-40F5-4113-9FDE-A53D803DEDE6}"/>
    <cellStyle name="Currency 5 2 2 2 2 3 5" xfId="10164" xr:uid="{3BAC3ACB-4491-4FD1-B146-6AADA2D7A9BF}"/>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301FA079-F3ED-4752-B0D0-2BA31C88DE03}"/>
    <cellStyle name="Currency 5 2 2 2 2 4 2 3" xfId="12722" xr:uid="{95AA3C11-1155-40F4-874C-BB033EEF8323}"/>
    <cellStyle name="Currency 5 2 2 2 2 4 3" xfId="5468" xr:uid="{00000000-0005-0000-0000-00008D0B0000}"/>
    <cellStyle name="Currency 5 2 2 2 2 4 3 2" xfId="14794" xr:uid="{FD131912-18D3-448E-932D-8D472FF70CAF}"/>
    <cellStyle name="Currency 5 2 2 2 2 4 4" xfId="10577" xr:uid="{A7D5D9C0-E45F-4C02-9FFD-E3E68BF7CD26}"/>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282E9870-A52A-43CF-AD3E-BBBFCCFAE0E2}"/>
    <cellStyle name="Currency 5 2 2 2 2 5 2 3" xfId="13135" xr:uid="{16814D93-5ED1-4599-9CA8-DD8A51BD76ED}"/>
    <cellStyle name="Currency 5 2 2 2 2 5 3" xfId="5881" xr:uid="{00000000-0005-0000-0000-0000910B0000}"/>
    <cellStyle name="Currency 5 2 2 2 2 5 3 2" xfId="15207" xr:uid="{F0C05A82-8FB9-430C-8862-340A78AAF4C9}"/>
    <cellStyle name="Currency 5 2 2 2 2 5 4" xfId="10990" xr:uid="{94E23B52-760B-43C0-8911-24B8ED937F02}"/>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874469ED-0C9A-415C-8319-1D93120CFA2F}"/>
    <cellStyle name="Currency 5 2 2 2 2 6 2 3" xfId="13548" xr:uid="{2D9ADDDF-A666-4EBA-A309-5C1219545AC9}"/>
    <cellStyle name="Currency 5 2 2 2 2 6 3" xfId="6294" xr:uid="{00000000-0005-0000-0000-0000950B0000}"/>
    <cellStyle name="Currency 5 2 2 2 2 6 3 2" xfId="15620" xr:uid="{56F4FD9D-62DD-41D6-A4D6-2EFC8A678409}"/>
    <cellStyle name="Currency 5 2 2 2 2 6 4" xfId="11403" xr:uid="{6EE853F3-4584-4C05-A20E-D547CE43A142}"/>
    <cellStyle name="Currency 5 2 2 2 2 7" xfId="2423" xr:uid="{00000000-0005-0000-0000-0000960B0000}"/>
    <cellStyle name="Currency 5 2 2 2 2 7 2" xfId="6707" xr:uid="{00000000-0005-0000-0000-0000970B0000}"/>
    <cellStyle name="Currency 5 2 2 2 2 7 2 2" xfId="16033" xr:uid="{12114106-2AFE-4C94-87B5-094512F9BC1E}"/>
    <cellStyle name="Currency 5 2 2 2 2 7 3" xfId="11816" xr:uid="{8A5E6DE2-CF7F-441A-8E53-BDCF940280AA}"/>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04BF59BD-673F-4FC2-9E12-9BE5975AD8F3}"/>
    <cellStyle name="Currency 5 2 2 2 2 9 3" xfId="12133" xr:uid="{4882F206-473E-4D52-81D3-42DE5E8C25A8}"/>
    <cellStyle name="Currency 5 2 2 2 3" xfId="199" xr:uid="{00000000-0005-0000-0000-00009B0B0000}"/>
    <cellStyle name="Currency 5 2 2 2 3 10" xfId="9016" xr:uid="{706F9706-E49D-4995-B402-A842C879DBC8}"/>
    <cellStyle name="Currency 5 2 2 2 3 10 2" xfId="18340" xr:uid="{67532C4C-4F62-4E96-849B-148899EEF9DE}"/>
    <cellStyle name="Currency 5 2 2 2 3 11" xfId="9752" xr:uid="{27A43CE4-3DFD-4263-897F-6A835F72BA69}"/>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A3116641-3A0A-4917-8ED3-E8DF7CE54C7C}"/>
    <cellStyle name="Currency 5 2 2 2 3 2 2 3" xfId="12311" xr:uid="{125CA599-F840-4761-B621-57EA1E5983E7}"/>
    <cellStyle name="Currency 5 2 2 2 3 2 3" xfId="5057" xr:uid="{00000000-0005-0000-0000-00009F0B0000}"/>
    <cellStyle name="Currency 5 2 2 2 3 2 3 2" xfId="14383" xr:uid="{3D02DBA4-D8B1-4B26-AE7D-BF2B5B7DA0C2}"/>
    <cellStyle name="Currency 5 2 2 2 3 2 4" xfId="9441" xr:uid="{B7048274-E02F-4E6A-9C9A-FAD4299F19B1}"/>
    <cellStyle name="Currency 5 2 2 2 3 2 4 2" xfId="18756" xr:uid="{41575C22-2C4E-4E30-9EEE-73736547CBF9}"/>
    <cellStyle name="Currency 5 2 2 2 3 2 5" xfId="10166" xr:uid="{51F9E634-E452-4B77-8A5D-FE0DD234AB8F}"/>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D734A095-169C-4C7D-96AE-32FD17F671D2}"/>
    <cellStyle name="Currency 5 2 2 2 3 3 2 3" xfId="12724" xr:uid="{6F59205C-5ACD-4DBD-994D-A4F885630CA2}"/>
    <cellStyle name="Currency 5 2 2 2 3 3 3" xfId="5470" xr:uid="{00000000-0005-0000-0000-0000A30B0000}"/>
    <cellStyle name="Currency 5 2 2 2 3 3 3 2" xfId="14796" xr:uid="{313125F4-110B-47E1-849A-1408B38F9DC8}"/>
    <cellStyle name="Currency 5 2 2 2 3 3 4" xfId="10579" xr:uid="{5BCA5C33-0FEE-41F4-B2EC-47C5B81BF1F6}"/>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30ADA387-0E55-4D9F-9441-87E20BA5B067}"/>
    <cellStyle name="Currency 5 2 2 2 3 4 2 3" xfId="13137" xr:uid="{91DA714C-D54E-4022-8995-AC016929A611}"/>
    <cellStyle name="Currency 5 2 2 2 3 4 3" xfId="5883" xr:uid="{00000000-0005-0000-0000-0000A70B0000}"/>
    <cellStyle name="Currency 5 2 2 2 3 4 3 2" xfId="15209" xr:uid="{5D77B67E-458F-4218-B751-524473C10DF3}"/>
    <cellStyle name="Currency 5 2 2 2 3 4 4" xfId="10992" xr:uid="{5510A231-BCAD-4C38-886A-C9722EBBEE83}"/>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060782EA-C3E8-4AD1-B2A9-007D84870F2F}"/>
    <cellStyle name="Currency 5 2 2 2 3 5 2 3" xfId="13550" xr:uid="{F4DF96D0-0895-4BF2-8FA6-6B2289AD305A}"/>
    <cellStyle name="Currency 5 2 2 2 3 5 3" xfId="6296" xr:uid="{00000000-0005-0000-0000-0000AB0B0000}"/>
    <cellStyle name="Currency 5 2 2 2 3 5 3 2" xfId="15622" xr:uid="{AD887887-6EC4-4541-B9A6-416578EE7E54}"/>
    <cellStyle name="Currency 5 2 2 2 3 5 4" xfId="11405" xr:uid="{D35C9E4D-BACA-4B55-A461-4B97CEA90423}"/>
    <cellStyle name="Currency 5 2 2 2 3 6" xfId="2425" xr:uid="{00000000-0005-0000-0000-0000AC0B0000}"/>
    <cellStyle name="Currency 5 2 2 2 3 6 2" xfId="6709" xr:uid="{00000000-0005-0000-0000-0000AD0B0000}"/>
    <cellStyle name="Currency 5 2 2 2 3 6 2 2" xfId="16035" xr:uid="{3A3C4DB0-6874-4D50-A4E7-BBB83752CD08}"/>
    <cellStyle name="Currency 5 2 2 2 3 6 3" xfId="11818" xr:uid="{9A77FD44-DEA6-4D72-BE9F-6E4705B64DEC}"/>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B9679CC1-AF9E-45FC-8821-369CEE533686}"/>
    <cellStyle name="Currency 5 2 2 2 3 8 3" xfId="12135" xr:uid="{72E879B3-90CF-4E6E-A06D-31A1F7B057F8}"/>
    <cellStyle name="Currency 5 2 2 2 3 9" xfId="4643" xr:uid="{00000000-0005-0000-0000-0000B10B0000}"/>
    <cellStyle name="Currency 5 2 2 2 3 9 2" xfId="13969" xr:uid="{36AABC2C-A9BE-4433-86EA-0BDD42E47F1B}"/>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79385D39-6A87-4576-BDDE-0CC782EB5626}"/>
    <cellStyle name="Currency 5 2 2 2 4 2 3" xfId="12308" xr:uid="{012647FD-1589-4CFD-A68A-63B85C2CDBB1}"/>
    <cellStyle name="Currency 5 2 2 2 4 3" xfId="5054" xr:uid="{00000000-0005-0000-0000-0000B50B0000}"/>
    <cellStyle name="Currency 5 2 2 2 4 3 2" xfId="14380" xr:uid="{883485F5-EC0B-42AC-9F91-F8DDF2A9AD73}"/>
    <cellStyle name="Currency 5 2 2 2 4 4" xfId="9234" xr:uid="{AAF147FE-13D8-48BD-A722-062B96166D61}"/>
    <cellStyle name="Currency 5 2 2 2 4 4 2" xfId="18549" xr:uid="{B0D239A4-1465-4C64-9085-0B53D67C0FD7}"/>
    <cellStyle name="Currency 5 2 2 2 4 5" xfId="10163" xr:uid="{BE49F299-087A-42DF-9925-8CB9582787FB}"/>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4E736C03-86DD-4BF1-BE50-93E9A512CA74}"/>
    <cellStyle name="Currency 5 2 2 2 5 2 3" xfId="12721" xr:uid="{C9CF19A7-884E-4D51-A04F-CB6C35F9FF9D}"/>
    <cellStyle name="Currency 5 2 2 2 5 3" xfId="5467" xr:uid="{00000000-0005-0000-0000-0000B90B0000}"/>
    <cellStyle name="Currency 5 2 2 2 5 3 2" xfId="14793" xr:uid="{15BB5A2F-D0B5-4C7D-B299-CBFEC9C5F1F2}"/>
    <cellStyle name="Currency 5 2 2 2 5 4" xfId="10576" xr:uid="{2316640B-56BA-4AAD-841D-DC6455B3B60A}"/>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71509E67-080E-49F8-AB0A-EB7EEEF98B61}"/>
    <cellStyle name="Currency 5 2 2 2 6 2 3" xfId="13134" xr:uid="{9E7276AB-5313-4A73-BA8A-2212D6D767FB}"/>
    <cellStyle name="Currency 5 2 2 2 6 3" xfId="5880" xr:uid="{00000000-0005-0000-0000-0000BD0B0000}"/>
    <cellStyle name="Currency 5 2 2 2 6 3 2" xfId="15206" xr:uid="{E18497D1-0A13-4F44-8F0E-C26EE520046F}"/>
    <cellStyle name="Currency 5 2 2 2 6 4" xfId="10989" xr:uid="{09D241C5-820C-48B0-9B5F-0C2BE018A1FD}"/>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6D264882-4DED-4390-A348-530AEDDA9653}"/>
    <cellStyle name="Currency 5 2 2 2 7 2 3" xfId="13547" xr:uid="{406A004D-5FC7-4D87-829D-0DF8C9193408}"/>
    <cellStyle name="Currency 5 2 2 2 7 3" xfId="6293" xr:uid="{00000000-0005-0000-0000-0000C10B0000}"/>
    <cellStyle name="Currency 5 2 2 2 7 3 2" xfId="15619" xr:uid="{F4FD6996-811A-44BC-8BF3-9EE3AB076D7C}"/>
    <cellStyle name="Currency 5 2 2 2 7 4" xfId="11402" xr:uid="{8AC38B3F-B265-4288-9646-844D5AC1A392}"/>
    <cellStyle name="Currency 5 2 2 2 8" xfId="2422" xr:uid="{00000000-0005-0000-0000-0000C20B0000}"/>
    <cellStyle name="Currency 5 2 2 2 8 2" xfId="6706" xr:uid="{00000000-0005-0000-0000-0000C30B0000}"/>
    <cellStyle name="Currency 5 2 2 2 8 2 2" xfId="16032" xr:uid="{BB0142FF-0782-4590-9132-447AC503AD1E}"/>
    <cellStyle name="Currency 5 2 2 2 8 3" xfId="11815" xr:uid="{806DBC98-4692-4ACB-9661-8637DE91BA1D}"/>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EC0DE347-19F3-4E08-A8F5-6654808A40CB}"/>
    <cellStyle name="Currency 5 2 2 3 11" xfId="8890" xr:uid="{F313D4EC-7666-4BAA-9452-39176957C213}"/>
    <cellStyle name="Currency 5 2 2 3 11 2" xfId="18214" xr:uid="{8F74F56E-3F05-4AB7-9680-2AD9CCEFBD82}"/>
    <cellStyle name="Currency 5 2 2 3 12" xfId="9753" xr:uid="{D528ACA7-1016-4925-A10D-FE2B78A010EF}"/>
    <cellStyle name="Currency 5 2 2 3 2" xfId="201" xr:uid="{00000000-0005-0000-0000-0000C70B0000}"/>
    <cellStyle name="Currency 5 2 2 3 2 10" xfId="9097" xr:uid="{74199D2F-F17A-42DD-AC8B-D958FBFFCA8B}"/>
    <cellStyle name="Currency 5 2 2 3 2 10 2" xfId="18421" xr:uid="{34D32725-EDBB-4E06-B94A-2487625B827F}"/>
    <cellStyle name="Currency 5 2 2 3 2 11" xfId="9754" xr:uid="{9590210C-34EE-4BD2-8D00-6A12B946B3BA}"/>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1C711BE9-A3E2-44A9-9E09-90F843315281}"/>
    <cellStyle name="Currency 5 2 2 3 2 2 2 3" xfId="12313" xr:uid="{42AF9C55-F6B0-49A4-989E-EDDBB688A408}"/>
    <cellStyle name="Currency 5 2 2 3 2 2 3" xfId="5059" xr:uid="{00000000-0005-0000-0000-0000CB0B0000}"/>
    <cellStyle name="Currency 5 2 2 3 2 2 3 2" xfId="14385" xr:uid="{3849FEB8-F6A8-43D3-8C15-6597C6431B36}"/>
    <cellStyle name="Currency 5 2 2 3 2 2 4" xfId="9522" xr:uid="{58EAFCD4-DA5B-47CB-A637-29DA003AA3FD}"/>
    <cellStyle name="Currency 5 2 2 3 2 2 4 2" xfId="18837" xr:uid="{E53D3453-6255-4282-88B0-39199DA5A414}"/>
    <cellStyle name="Currency 5 2 2 3 2 2 5" xfId="10168" xr:uid="{FE44B616-249F-40DA-88E1-A9C4E7731A2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1A584B69-B0F4-4808-8DE6-099025D2AA5E}"/>
    <cellStyle name="Currency 5 2 2 3 2 3 2 3" xfId="12726" xr:uid="{EC9D60D0-1FBF-41EF-A632-58BD9206B7FC}"/>
    <cellStyle name="Currency 5 2 2 3 2 3 3" xfId="5472" xr:uid="{00000000-0005-0000-0000-0000CF0B0000}"/>
    <cellStyle name="Currency 5 2 2 3 2 3 3 2" xfId="14798" xr:uid="{E07C447E-14B0-4C2C-89FF-70403DF0646C}"/>
    <cellStyle name="Currency 5 2 2 3 2 3 4" xfId="10581" xr:uid="{3DF1741C-654C-4D79-B66C-94880B3F8036}"/>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8F41C8FC-7B39-4AD8-BB66-CE7BE08CD858}"/>
    <cellStyle name="Currency 5 2 2 3 2 4 2 3" xfId="13139" xr:uid="{4CD2F19F-C886-4D74-AE4D-2A020EBEC6A2}"/>
    <cellStyle name="Currency 5 2 2 3 2 4 3" xfId="5885" xr:uid="{00000000-0005-0000-0000-0000D30B0000}"/>
    <cellStyle name="Currency 5 2 2 3 2 4 3 2" xfId="15211" xr:uid="{F2A92E8D-06D0-4BB9-8074-A2784AD8E9FF}"/>
    <cellStyle name="Currency 5 2 2 3 2 4 4" xfId="10994" xr:uid="{D5F43426-7ACD-47FE-8A37-70C0F4808A1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83710D02-B03F-46D4-B51B-AAE512B0838E}"/>
    <cellStyle name="Currency 5 2 2 3 2 5 2 3" xfId="13552" xr:uid="{A407E0AC-F1DA-4BF7-AEFB-19D8344B52C3}"/>
    <cellStyle name="Currency 5 2 2 3 2 5 3" xfId="6298" xr:uid="{00000000-0005-0000-0000-0000D70B0000}"/>
    <cellStyle name="Currency 5 2 2 3 2 5 3 2" xfId="15624" xr:uid="{208078FE-863E-4621-AD29-28473FA18D91}"/>
    <cellStyle name="Currency 5 2 2 3 2 5 4" xfId="11407" xr:uid="{5E193891-B34E-4FDA-83E6-39A26656F363}"/>
    <cellStyle name="Currency 5 2 2 3 2 6" xfId="2427" xr:uid="{00000000-0005-0000-0000-0000D80B0000}"/>
    <cellStyle name="Currency 5 2 2 3 2 6 2" xfId="6711" xr:uid="{00000000-0005-0000-0000-0000D90B0000}"/>
    <cellStyle name="Currency 5 2 2 3 2 6 2 2" xfId="16037" xr:uid="{F860C3EE-AFE9-4F9B-A147-4AE113552C1C}"/>
    <cellStyle name="Currency 5 2 2 3 2 6 3" xfId="11820" xr:uid="{D0E00C59-697A-4BEF-A528-BA221B6B7E56}"/>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728C389E-41A8-407B-9428-90A68F38700D}"/>
    <cellStyle name="Currency 5 2 2 3 2 8 3" xfId="12137" xr:uid="{0EFC80E0-FADB-42B7-8615-D5222693515F}"/>
    <cellStyle name="Currency 5 2 2 3 2 9" xfId="4645" xr:uid="{00000000-0005-0000-0000-0000DD0B0000}"/>
    <cellStyle name="Currency 5 2 2 3 2 9 2" xfId="13971" xr:uid="{726D969F-D824-434C-B7ED-B95870A4F541}"/>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3249969D-5E3C-41A9-9003-8673004ADB8B}"/>
    <cellStyle name="Currency 5 2 2 3 3 2 3" xfId="12312" xr:uid="{D9DF1815-7871-41D9-AA39-8F2118ECA91C}"/>
    <cellStyle name="Currency 5 2 2 3 3 3" xfId="5058" xr:uid="{00000000-0005-0000-0000-0000E10B0000}"/>
    <cellStyle name="Currency 5 2 2 3 3 3 2" xfId="14384" xr:uid="{96E8FF3F-922B-40F2-B9F9-AC1B1EB5CC0E}"/>
    <cellStyle name="Currency 5 2 2 3 3 4" xfId="9315" xr:uid="{A76EC348-1CDB-41C1-B9B8-9215FF30C619}"/>
    <cellStyle name="Currency 5 2 2 3 3 4 2" xfId="18630" xr:uid="{102D6B80-1C56-4F33-90C5-1981501B1F84}"/>
    <cellStyle name="Currency 5 2 2 3 3 5" xfId="10167" xr:uid="{17FB35D9-4B36-4E8C-9323-2FE2E7A8B72C}"/>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D65C2897-A56F-4264-9895-04A21D6505E5}"/>
    <cellStyle name="Currency 5 2 2 3 4 2 3" xfId="12725" xr:uid="{6234BD19-39ED-4F94-A09F-1F2568213631}"/>
    <cellStyle name="Currency 5 2 2 3 4 3" xfId="5471" xr:uid="{00000000-0005-0000-0000-0000E50B0000}"/>
    <cellStyle name="Currency 5 2 2 3 4 3 2" xfId="14797" xr:uid="{0BDDA3E2-9C87-4A5D-8D84-19B4AF0F1077}"/>
    <cellStyle name="Currency 5 2 2 3 4 4" xfId="10580" xr:uid="{99184920-A425-4455-801A-12DB970DA03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29BFF2FF-859A-42D6-9ADD-3A846C0FB017}"/>
    <cellStyle name="Currency 5 2 2 3 5 2 3" xfId="13138" xr:uid="{C92A1E4C-E9B3-423A-9F96-071633844CD7}"/>
    <cellStyle name="Currency 5 2 2 3 5 3" xfId="5884" xr:uid="{00000000-0005-0000-0000-0000E90B0000}"/>
    <cellStyle name="Currency 5 2 2 3 5 3 2" xfId="15210" xr:uid="{C7910F2D-3B59-4E46-B07B-DCE91012AE84}"/>
    <cellStyle name="Currency 5 2 2 3 5 4" xfId="10993" xr:uid="{BF6A32E0-EE67-4327-8A50-5F0C8C3AB00E}"/>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BA19D1D8-D060-4344-8072-0EE13D9E1964}"/>
    <cellStyle name="Currency 5 2 2 3 6 2 3" xfId="13551" xr:uid="{7E475553-2D47-4D20-9694-7E7383436E2D}"/>
    <cellStyle name="Currency 5 2 2 3 6 3" xfId="6297" xr:uid="{00000000-0005-0000-0000-0000ED0B0000}"/>
    <cellStyle name="Currency 5 2 2 3 6 3 2" xfId="15623" xr:uid="{B7F7B59B-90B9-41F5-9C45-3D8EE97CDBA6}"/>
    <cellStyle name="Currency 5 2 2 3 6 4" xfId="11406" xr:uid="{CA6BE374-921C-491A-97E4-B17DF11F97B8}"/>
    <cellStyle name="Currency 5 2 2 3 7" xfId="2426" xr:uid="{00000000-0005-0000-0000-0000EE0B0000}"/>
    <cellStyle name="Currency 5 2 2 3 7 2" xfId="6710" xr:uid="{00000000-0005-0000-0000-0000EF0B0000}"/>
    <cellStyle name="Currency 5 2 2 3 7 2 2" xfId="16036" xr:uid="{8324C9F2-E58E-43D9-9847-CE5184B40C71}"/>
    <cellStyle name="Currency 5 2 2 3 7 3" xfId="11819" xr:uid="{E118D2E2-6034-45C1-9172-AA31D0FF3538}"/>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809D4FC7-A40A-4E81-9B89-B283698C6F5D}"/>
    <cellStyle name="Currency 5 2 2 3 9 3" xfId="12136" xr:uid="{76053E19-9662-4D16-A261-D32BE5F19ACE}"/>
    <cellStyle name="Currency 5 2 2 4" xfId="202" xr:uid="{00000000-0005-0000-0000-0000F30B0000}"/>
    <cellStyle name="Currency 5 2 2 4 10" xfId="8994" xr:uid="{484CCE7A-1288-4C7F-ABD6-C45948DC4EC0}"/>
    <cellStyle name="Currency 5 2 2 4 10 2" xfId="18318" xr:uid="{B79A5C36-9664-4C5C-B1E9-E0220AA3C301}"/>
    <cellStyle name="Currency 5 2 2 4 11" xfId="9755" xr:uid="{19890115-A27C-4FBD-A715-0BD28D4380B5}"/>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C368FA17-4706-49A3-BCD1-54E3DCA2CCEC}"/>
    <cellStyle name="Currency 5 2 2 4 2 2 3" xfId="12314" xr:uid="{1749FEDE-1B61-4366-B842-2C7E2B337A0F}"/>
    <cellStyle name="Currency 5 2 2 4 2 3" xfId="5060" xr:uid="{00000000-0005-0000-0000-0000F70B0000}"/>
    <cellStyle name="Currency 5 2 2 4 2 3 2" xfId="14386" xr:uid="{5D2C29E9-CA98-4F38-80FA-D090B5F916D4}"/>
    <cellStyle name="Currency 5 2 2 4 2 4" xfId="9419" xr:uid="{F03E4D2E-3BA9-4D5B-9C35-959DB128CBAE}"/>
    <cellStyle name="Currency 5 2 2 4 2 4 2" xfId="18734" xr:uid="{2AF32A2E-0729-48F2-BC2D-69CAD0F2752D}"/>
    <cellStyle name="Currency 5 2 2 4 2 5" xfId="10169" xr:uid="{308A27B6-82E7-423F-B19A-A65D42F3006C}"/>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26EA8402-AD40-4CD9-8C39-CA6538DEA0D1}"/>
    <cellStyle name="Currency 5 2 2 4 3 2 3" xfId="12727" xr:uid="{543973D6-5959-4454-AC4C-29942AF650A3}"/>
    <cellStyle name="Currency 5 2 2 4 3 3" xfId="5473" xr:uid="{00000000-0005-0000-0000-0000FB0B0000}"/>
    <cellStyle name="Currency 5 2 2 4 3 3 2" xfId="14799" xr:uid="{9AEB654A-3C8E-4C2B-A378-ADC279D207A7}"/>
    <cellStyle name="Currency 5 2 2 4 3 4" xfId="10582" xr:uid="{ECF7BABB-1427-4292-8A61-DF8B0E4AC3A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4510C4E4-DD68-40B3-8180-5C00D5EB836D}"/>
    <cellStyle name="Currency 5 2 2 4 4 2 3" xfId="13140" xr:uid="{ED6EE512-5442-4D3B-902E-5CA0D3EA37B4}"/>
    <cellStyle name="Currency 5 2 2 4 4 3" xfId="5886" xr:uid="{00000000-0005-0000-0000-0000FF0B0000}"/>
    <cellStyle name="Currency 5 2 2 4 4 3 2" xfId="15212" xr:uid="{3DB6D360-81BA-49C0-AB18-BDF671485204}"/>
    <cellStyle name="Currency 5 2 2 4 4 4" xfId="10995" xr:uid="{3A05D2AE-AC7A-4B9F-8303-0D7252868F0D}"/>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B34D64C1-E690-44FF-BBCF-34D806D5E740}"/>
    <cellStyle name="Currency 5 2 2 4 5 2 3" xfId="13553" xr:uid="{9BE9149C-CBAA-4218-973E-385C81D5961C}"/>
    <cellStyle name="Currency 5 2 2 4 5 3" xfId="6299" xr:uid="{00000000-0005-0000-0000-0000030C0000}"/>
    <cellStyle name="Currency 5 2 2 4 5 3 2" xfId="15625" xr:uid="{0901125C-4C58-4A75-B59A-849E0FF9505D}"/>
    <cellStyle name="Currency 5 2 2 4 5 4" xfId="11408" xr:uid="{9B75AEBF-2E9A-4B61-BF85-26AE5DD0A9B3}"/>
    <cellStyle name="Currency 5 2 2 4 6" xfId="2428" xr:uid="{00000000-0005-0000-0000-0000040C0000}"/>
    <cellStyle name="Currency 5 2 2 4 6 2" xfId="6712" xr:uid="{00000000-0005-0000-0000-0000050C0000}"/>
    <cellStyle name="Currency 5 2 2 4 6 2 2" xfId="16038" xr:uid="{104DB0A5-E984-4510-8DBA-03627D78792B}"/>
    <cellStyle name="Currency 5 2 2 4 6 3" xfId="11821" xr:uid="{AA9B7340-6BF4-43DC-AA06-0EEAE84D6186}"/>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2509CA4F-BA6C-4634-90D7-E1E9EF1B580C}"/>
    <cellStyle name="Currency 5 2 2 4 8 3" xfId="12138" xr:uid="{8985B51E-205A-48FF-A481-EF9E9E7A5A48}"/>
    <cellStyle name="Currency 5 2 2 4 9" xfId="4646" xr:uid="{00000000-0005-0000-0000-0000090C0000}"/>
    <cellStyle name="Currency 5 2 2 4 9 2" xfId="13972" xr:uid="{E071F002-E6A0-419F-93DE-9D9AF7B6B4A4}"/>
    <cellStyle name="Currency 5 2 2 5" xfId="203" xr:uid="{00000000-0005-0000-0000-00000A0C0000}"/>
    <cellStyle name="Currency 5 2 2 5 10" xfId="9211" xr:uid="{586E1D8D-A72F-44A2-BAB5-A0BAD4827F6D}"/>
    <cellStyle name="Currency 5 2 2 5 10 2" xfId="18527" xr:uid="{FA7A2C58-8566-417B-B371-75691FC54178}"/>
    <cellStyle name="Currency 5 2 2 5 11" xfId="9756" xr:uid="{1D6CEC54-13D9-44FC-B15B-5AF799EC2736}"/>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055D61C8-FC7C-492C-A697-D2198D2AE67F}"/>
    <cellStyle name="Currency 5 2 2 5 2 2 3" xfId="12315" xr:uid="{992A186F-0CF2-4134-A0B3-6AB980A5927C}"/>
    <cellStyle name="Currency 5 2 2 5 2 3" xfId="5061" xr:uid="{00000000-0005-0000-0000-00000E0C0000}"/>
    <cellStyle name="Currency 5 2 2 5 2 3 2" xfId="14387" xr:uid="{FD00F2FC-A884-4C84-8E07-E4B5EED58707}"/>
    <cellStyle name="Currency 5 2 2 5 2 4" xfId="9598" xr:uid="{EBD3270B-608E-49E1-8A20-C5ADF81FBC1B}"/>
    <cellStyle name="Currency 5 2 2 5 2 4 2" xfId="18902" xr:uid="{9BDDF231-7F1A-4C84-9CDA-B4486FEFB694}"/>
    <cellStyle name="Currency 5 2 2 5 2 5" xfId="10170" xr:uid="{820684A9-55E7-48BB-9DEB-FB52AE687A94}"/>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48AB2395-D724-4215-A4C4-8824BE9362B5}"/>
    <cellStyle name="Currency 5 2 2 5 3 2 3" xfId="12728" xr:uid="{FF362C4F-4F62-49C0-82A5-5E29EBD1351D}"/>
    <cellStyle name="Currency 5 2 2 5 3 3" xfId="5474" xr:uid="{00000000-0005-0000-0000-0000120C0000}"/>
    <cellStyle name="Currency 5 2 2 5 3 3 2" xfId="14800" xr:uid="{B37D66EF-D488-418B-9589-F32629640E01}"/>
    <cellStyle name="Currency 5 2 2 5 3 4" xfId="10583" xr:uid="{244DFEBE-14AC-4FCC-B965-401D988C75C2}"/>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6014B6EE-1393-451C-B95E-BE9031240A2E}"/>
    <cellStyle name="Currency 5 2 2 5 4 2 3" xfId="13141" xr:uid="{C89D1B92-984A-4BE7-9770-D55BE06C79E0}"/>
    <cellStyle name="Currency 5 2 2 5 4 3" xfId="5887" xr:uid="{00000000-0005-0000-0000-0000160C0000}"/>
    <cellStyle name="Currency 5 2 2 5 4 3 2" xfId="15213" xr:uid="{6FD3B1FE-84FD-4205-B8D7-E6382381F535}"/>
    <cellStyle name="Currency 5 2 2 5 4 4" xfId="10996" xr:uid="{3A5C2C25-E4CD-4A52-9825-D4C4AB9C9846}"/>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6A3A676B-CE20-4749-BEF9-B2C9FC96FF0A}"/>
    <cellStyle name="Currency 5 2 2 5 5 2 3" xfId="13554" xr:uid="{74F7F393-81BE-4004-A19E-DF1D8C66C589}"/>
    <cellStyle name="Currency 5 2 2 5 5 3" xfId="6300" xr:uid="{00000000-0005-0000-0000-00001A0C0000}"/>
    <cellStyle name="Currency 5 2 2 5 5 3 2" xfId="15626" xr:uid="{9C32E31F-B3FF-4D2F-8CAF-690A92BEF759}"/>
    <cellStyle name="Currency 5 2 2 5 5 4" xfId="11409" xr:uid="{B32F7FB9-E3C1-4CC6-86CA-0DE667FEACDF}"/>
    <cellStyle name="Currency 5 2 2 5 6" xfId="2429" xr:uid="{00000000-0005-0000-0000-00001B0C0000}"/>
    <cellStyle name="Currency 5 2 2 5 6 2" xfId="6713" xr:uid="{00000000-0005-0000-0000-00001C0C0000}"/>
    <cellStyle name="Currency 5 2 2 5 6 2 2" xfId="16039" xr:uid="{0936D55E-987F-4B34-98FF-B71F735444A7}"/>
    <cellStyle name="Currency 5 2 2 5 6 3" xfId="11822" xr:uid="{F4A9398B-ACB3-483F-BE7B-F6C19B24A6FE}"/>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AACC5FBF-BDB8-40E2-BFEA-E9793C9BEF96}"/>
    <cellStyle name="Currency 5 2 2 5 8 3" xfId="12139" xr:uid="{0DCC8C52-3DBF-4469-BEE7-3F79D1C12936}"/>
    <cellStyle name="Currency 5 2 2 5 9" xfId="4647" xr:uid="{00000000-0005-0000-0000-0000200C0000}"/>
    <cellStyle name="Currency 5 2 2 5 9 2" xfId="13973" xr:uid="{A0E9FA61-C6E4-4A36-92C5-C88843B5B541}"/>
    <cellStyle name="Currency 5 2 2 6" xfId="9584" xr:uid="{DC5749FB-A314-4F8C-B61F-309C27A570F5}"/>
    <cellStyle name="Currency 5 2 2 7" xfId="8787" xr:uid="{822EE7D8-70A6-49D7-843D-E84C848DC397}"/>
    <cellStyle name="Currency 5 2 2 7 2" xfId="18111" xr:uid="{988801D7-24A3-42EA-828A-F6189425813E}"/>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2A024004-8AD7-4C95-A76C-F891F4300CEF}"/>
    <cellStyle name="Currency 5 2 4 11" xfId="8859" xr:uid="{D3A5F8AD-5F4E-4BEA-A9B4-9A705A015524}"/>
    <cellStyle name="Currency 5 2 4 11 2" xfId="18183" xr:uid="{6F689CA0-4C77-455A-9536-B1641F9949CF}"/>
    <cellStyle name="Currency 5 2 4 12" xfId="9757" xr:uid="{B00F85F1-EFAE-4A0E-B797-1EA00B953C5A}"/>
    <cellStyle name="Currency 5 2 4 2" xfId="206" xr:uid="{00000000-0005-0000-0000-0000250C0000}"/>
    <cellStyle name="Currency 5 2 4 2 10" xfId="9066" xr:uid="{2F7A28AF-2120-4AAF-A58B-33C2E07F597D}"/>
    <cellStyle name="Currency 5 2 4 2 10 2" xfId="18390" xr:uid="{FB80FAA5-BB68-4EDF-9E26-4B43E1FC703D}"/>
    <cellStyle name="Currency 5 2 4 2 11" xfId="9758" xr:uid="{0E4A604B-9752-4840-BB93-4035AECF11DB}"/>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E1203E56-7C25-4E30-AE6D-841CBCD6C5BB}"/>
    <cellStyle name="Currency 5 2 4 2 2 2 3" xfId="12317" xr:uid="{C6AFCA46-F21B-4322-8964-E8BDDF0D5874}"/>
    <cellStyle name="Currency 5 2 4 2 2 3" xfId="5063" xr:uid="{00000000-0005-0000-0000-0000290C0000}"/>
    <cellStyle name="Currency 5 2 4 2 2 3 2" xfId="14389" xr:uid="{94FD7A79-B1CB-441E-9AFC-9003C0D7E185}"/>
    <cellStyle name="Currency 5 2 4 2 2 4" xfId="9491" xr:uid="{64B868C7-9024-4970-9E74-7DF82417BD7A}"/>
    <cellStyle name="Currency 5 2 4 2 2 4 2" xfId="18806" xr:uid="{3995B5C0-0AB6-4C1B-A5FB-C74AAB1C844E}"/>
    <cellStyle name="Currency 5 2 4 2 2 5" xfId="10172" xr:uid="{E0E71E0C-9E06-4236-9CA5-DACC1B846A2E}"/>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D9B1BA48-4102-46D9-B844-F64E243532FB}"/>
    <cellStyle name="Currency 5 2 4 2 3 2 3" xfId="12730" xr:uid="{3EB8DAAC-C96E-409B-9D0A-2E4B8A9D2362}"/>
    <cellStyle name="Currency 5 2 4 2 3 3" xfId="5476" xr:uid="{00000000-0005-0000-0000-00002D0C0000}"/>
    <cellStyle name="Currency 5 2 4 2 3 3 2" xfId="14802" xr:uid="{73297F98-4292-4387-9362-4837C51DC232}"/>
    <cellStyle name="Currency 5 2 4 2 3 4" xfId="10585" xr:uid="{16168D1A-68D7-425B-9C6B-71E012D08D94}"/>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594BDA39-F7A9-405E-87E9-4F932B21EEDE}"/>
    <cellStyle name="Currency 5 2 4 2 4 2 3" xfId="13143" xr:uid="{F9BD82D0-56E5-4F9D-A2AE-6CDB5BB25EE3}"/>
    <cellStyle name="Currency 5 2 4 2 4 3" xfId="5889" xr:uid="{00000000-0005-0000-0000-0000310C0000}"/>
    <cellStyle name="Currency 5 2 4 2 4 3 2" xfId="15215" xr:uid="{6478D275-68C1-4487-8559-D3ECA8DB009C}"/>
    <cellStyle name="Currency 5 2 4 2 4 4" xfId="10998" xr:uid="{C200E700-AA9F-4F47-8656-8402CEB63EAA}"/>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AC17A619-A43D-4FFD-99B6-DA31AC2AF190}"/>
    <cellStyle name="Currency 5 2 4 2 5 2 3" xfId="13556" xr:uid="{B8FD82B5-5E42-495C-9AB4-C1ED93480FB5}"/>
    <cellStyle name="Currency 5 2 4 2 5 3" xfId="6302" xr:uid="{00000000-0005-0000-0000-0000350C0000}"/>
    <cellStyle name="Currency 5 2 4 2 5 3 2" xfId="15628" xr:uid="{B38EDDE4-6272-4F5A-A3C9-E29F6077BCFB}"/>
    <cellStyle name="Currency 5 2 4 2 5 4" xfId="11411" xr:uid="{F5350D83-FE21-4129-9039-643DB8F67C18}"/>
    <cellStyle name="Currency 5 2 4 2 6" xfId="2431" xr:uid="{00000000-0005-0000-0000-0000360C0000}"/>
    <cellStyle name="Currency 5 2 4 2 6 2" xfId="6715" xr:uid="{00000000-0005-0000-0000-0000370C0000}"/>
    <cellStyle name="Currency 5 2 4 2 6 2 2" xfId="16041" xr:uid="{EAFE2D55-BD65-4106-8AF2-82D7080BB6DF}"/>
    <cellStyle name="Currency 5 2 4 2 6 3" xfId="11824" xr:uid="{FD744636-A481-4CA9-B15D-D6D86D281CAF}"/>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7893B904-88FB-4A1A-9848-EDE7805ECEED}"/>
    <cellStyle name="Currency 5 2 4 2 8 3" xfId="12141" xr:uid="{4FE951FD-97C0-4A53-B900-DF980E7F6ED0}"/>
    <cellStyle name="Currency 5 2 4 2 9" xfId="4649" xr:uid="{00000000-0005-0000-0000-00003B0C0000}"/>
    <cellStyle name="Currency 5 2 4 2 9 2" xfId="13975" xr:uid="{47F5BE49-6ECC-4D1B-9108-698701F7DCDF}"/>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AD6B512C-7AE2-43AC-BCC4-2617C607C5A3}"/>
    <cellStyle name="Currency 5 2 4 3 2 3" xfId="12316" xr:uid="{A747F360-AADD-4E62-9465-01E402A127BE}"/>
    <cellStyle name="Currency 5 2 4 3 3" xfId="5062" xr:uid="{00000000-0005-0000-0000-00003F0C0000}"/>
    <cellStyle name="Currency 5 2 4 3 3 2" xfId="14388" xr:uid="{CEA1AD3B-DE93-4A3E-8F0C-F0121D41D29E}"/>
    <cellStyle name="Currency 5 2 4 3 4" xfId="9284" xr:uid="{1D0B72AC-AFAC-428F-8BF0-6DFF9565613D}"/>
    <cellStyle name="Currency 5 2 4 3 4 2" xfId="18599" xr:uid="{B8A48603-D94F-4AB7-9AF0-C5F116DCF352}"/>
    <cellStyle name="Currency 5 2 4 3 5" xfId="10171" xr:uid="{E07D81AC-E098-4A88-9211-33E7F2880214}"/>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67FBD177-8555-4756-ADBA-B7AD4D0C0A7D}"/>
    <cellStyle name="Currency 5 2 4 4 2 3" xfId="12729" xr:uid="{BC40EAC5-9627-4508-B148-6EDC8743756E}"/>
    <cellStyle name="Currency 5 2 4 4 3" xfId="5475" xr:uid="{00000000-0005-0000-0000-0000430C0000}"/>
    <cellStyle name="Currency 5 2 4 4 3 2" xfId="14801" xr:uid="{008CA265-6448-4E90-A278-8D01D4F7CB94}"/>
    <cellStyle name="Currency 5 2 4 4 4" xfId="10584" xr:uid="{1F99E7C4-EFC4-4C47-8C5B-2C28AFD08C36}"/>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2CEBB309-F96A-4C3B-B8AC-9FB044168524}"/>
    <cellStyle name="Currency 5 2 4 5 2 3" xfId="13142" xr:uid="{E533D355-1717-4EB5-A5B3-F2A7EFFFD5F1}"/>
    <cellStyle name="Currency 5 2 4 5 3" xfId="5888" xr:uid="{00000000-0005-0000-0000-0000470C0000}"/>
    <cellStyle name="Currency 5 2 4 5 3 2" xfId="15214" xr:uid="{72B6C678-9FF9-44F2-B2DF-AA55C82B10C9}"/>
    <cellStyle name="Currency 5 2 4 5 4" xfId="10997" xr:uid="{B0E4D5BF-7E93-46DE-9034-57D24B90D182}"/>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610528FD-D889-4290-8DB0-6CD7AFFB2954}"/>
    <cellStyle name="Currency 5 2 4 6 2 3" xfId="13555" xr:uid="{293F5B62-B277-482B-ADAA-EFADCB69BA4A}"/>
    <cellStyle name="Currency 5 2 4 6 3" xfId="6301" xr:uid="{00000000-0005-0000-0000-00004B0C0000}"/>
    <cellStyle name="Currency 5 2 4 6 3 2" xfId="15627" xr:uid="{F4EBF46A-90CA-42E2-AF09-75712E71BB3A}"/>
    <cellStyle name="Currency 5 2 4 6 4" xfId="11410" xr:uid="{08313544-7776-49F1-A5C5-FCE13D267140}"/>
    <cellStyle name="Currency 5 2 4 7" xfId="2430" xr:uid="{00000000-0005-0000-0000-00004C0C0000}"/>
    <cellStyle name="Currency 5 2 4 7 2" xfId="6714" xr:uid="{00000000-0005-0000-0000-00004D0C0000}"/>
    <cellStyle name="Currency 5 2 4 7 2 2" xfId="16040" xr:uid="{36C0EB38-A47E-425E-9895-77D18E74FBA7}"/>
    <cellStyle name="Currency 5 2 4 7 3" xfId="11823" xr:uid="{870EB754-5B49-4A3A-B285-15C95E93CE59}"/>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28CB8B4C-CDC4-4180-A3A7-33B32E78FC63}"/>
    <cellStyle name="Currency 5 2 4 9 3" xfId="12140" xr:uid="{D36B4F94-755E-4C33-94D1-B0173FE1212E}"/>
    <cellStyle name="Currency 5 2 5" xfId="207" xr:uid="{00000000-0005-0000-0000-0000510C0000}"/>
    <cellStyle name="Currency 5 2 5 10" xfId="8975" xr:uid="{3422EC31-C47F-46E0-A50C-FE05B1979387}"/>
    <cellStyle name="Currency 5 2 5 10 2" xfId="18299" xr:uid="{D10C7B85-5C2D-4652-A8AE-0DB6C809F6B9}"/>
    <cellStyle name="Currency 5 2 5 11" xfId="9759" xr:uid="{4237EF47-BA5D-4DBE-97E8-36D4B320FDC0}"/>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A03BD19E-878C-4B13-A8DE-DAA1F7E24DA3}"/>
    <cellStyle name="Currency 5 2 5 2 2 3" xfId="12318" xr:uid="{C3B747F7-0D60-479F-9B27-F35C04750062}"/>
    <cellStyle name="Currency 5 2 5 2 3" xfId="5064" xr:uid="{00000000-0005-0000-0000-0000550C0000}"/>
    <cellStyle name="Currency 5 2 5 2 3 2" xfId="14390" xr:uid="{8B2D0E31-AA8D-4EB7-83D8-ABD25956ADB2}"/>
    <cellStyle name="Currency 5 2 5 2 4" xfId="9400" xr:uid="{6620DDCD-05C0-4AFD-8A83-F1190101CCB3}"/>
    <cellStyle name="Currency 5 2 5 2 4 2" xfId="18715" xr:uid="{3ADF5A43-4DC7-4D1E-9A51-EA6D1A2E791C}"/>
    <cellStyle name="Currency 5 2 5 2 5" xfId="10173" xr:uid="{AC6F268B-D6B0-4CB2-90F9-805FF838290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BF1DBB70-F0BB-4C9A-B229-6956A252ECAE}"/>
    <cellStyle name="Currency 5 2 5 3 2 3" xfId="12731" xr:uid="{2EA112E1-D9B9-485F-A11C-F07AF0FB80FF}"/>
    <cellStyle name="Currency 5 2 5 3 3" xfId="5477" xr:uid="{00000000-0005-0000-0000-0000590C0000}"/>
    <cellStyle name="Currency 5 2 5 3 3 2" xfId="14803" xr:uid="{2410442A-DFDB-4ADC-8835-FE9F76C88BF7}"/>
    <cellStyle name="Currency 5 2 5 3 4" xfId="10586" xr:uid="{D03F4B23-1D11-4AEF-BC93-055D04D0E62C}"/>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A503C79C-83D7-46AA-AC12-C2195059E620}"/>
    <cellStyle name="Currency 5 2 5 4 2 3" xfId="13144" xr:uid="{504DCAEA-E99D-4F1B-99F4-36B25A33AC55}"/>
    <cellStyle name="Currency 5 2 5 4 3" xfId="5890" xr:uid="{00000000-0005-0000-0000-00005D0C0000}"/>
    <cellStyle name="Currency 5 2 5 4 3 2" xfId="15216" xr:uid="{F5B995FC-14F6-4E5F-A363-507BE8E9B8C0}"/>
    <cellStyle name="Currency 5 2 5 4 4" xfId="10999" xr:uid="{275E1AB8-DF89-4509-94CF-4839EA0AE7F6}"/>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E7B7DBF4-0581-4138-B4F8-C02E1F7B8D1C}"/>
    <cellStyle name="Currency 5 2 5 5 2 3" xfId="13557" xr:uid="{362A41BC-A5F8-448B-9D5D-E8A003437E85}"/>
    <cellStyle name="Currency 5 2 5 5 3" xfId="6303" xr:uid="{00000000-0005-0000-0000-0000610C0000}"/>
    <cellStyle name="Currency 5 2 5 5 3 2" xfId="15629" xr:uid="{5040730C-851F-47B5-9AAE-46F7C00A0405}"/>
    <cellStyle name="Currency 5 2 5 5 4" xfId="11412" xr:uid="{92491CB8-44E1-4C67-A615-36F9A397ADBB}"/>
    <cellStyle name="Currency 5 2 5 6" xfId="2432" xr:uid="{00000000-0005-0000-0000-0000620C0000}"/>
    <cellStyle name="Currency 5 2 5 6 2" xfId="6716" xr:uid="{00000000-0005-0000-0000-0000630C0000}"/>
    <cellStyle name="Currency 5 2 5 6 2 2" xfId="16042" xr:uid="{4911CCC4-69BA-4F15-A5F4-C82BA20ABAFE}"/>
    <cellStyle name="Currency 5 2 5 6 3" xfId="11825" xr:uid="{B5F7E642-CEE9-47A6-86EC-E8F6BF71574F}"/>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9D0BCAC3-8660-4E41-B1EE-4D489725570D}"/>
    <cellStyle name="Currency 5 2 5 8 3" xfId="12142" xr:uid="{133F1F20-C0A2-432C-8846-C78A31420ACE}"/>
    <cellStyle name="Currency 5 2 5 9" xfId="4650" xr:uid="{00000000-0005-0000-0000-0000670C0000}"/>
    <cellStyle name="Currency 5 2 5 9 2" xfId="13976" xr:uid="{0622A965-ABA3-4DF3-8157-C3F41CA41E07}"/>
    <cellStyle name="Currency 5 2 6" xfId="208" xr:uid="{00000000-0005-0000-0000-0000680C0000}"/>
    <cellStyle name="Currency 5 2 6 10" xfId="9178" xr:uid="{19F6D70E-88E4-4E39-A1A9-3FF3D840E2F9}"/>
    <cellStyle name="Currency 5 2 6 10 2" xfId="18496" xr:uid="{F25E7D20-4E7D-483D-A29D-9F6F996982F5}"/>
    <cellStyle name="Currency 5 2 6 11" xfId="9760" xr:uid="{658BDD98-406C-4473-93BD-521B5A149881}"/>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33EEE4A7-5BA9-41D3-B5FC-1EEE5B79C13D}"/>
    <cellStyle name="Currency 5 2 6 2 2 3" xfId="12319" xr:uid="{03F6E1D0-89AA-4C68-B016-0B823E7AC2E9}"/>
    <cellStyle name="Currency 5 2 6 2 3" xfId="5065" xr:uid="{00000000-0005-0000-0000-00006C0C0000}"/>
    <cellStyle name="Currency 5 2 6 2 3 2" xfId="14391" xr:uid="{4C5AD63F-64A7-4E20-B580-06CAF1ECF25C}"/>
    <cellStyle name="Currency 5 2 6 2 4" xfId="9599" xr:uid="{C2EE182C-D73D-4E6C-9671-0484CB4E8D68}"/>
    <cellStyle name="Currency 5 2 6 2 4 2" xfId="18903" xr:uid="{53828ADE-4D3E-4BC6-B580-C4A1A625A89F}"/>
    <cellStyle name="Currency 5 2 6 2 5" xfId="10174" xr:uid="{CEB16353-5214-41A3-9688-413777AF63D8}"/>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F3A78A89-6EA7-4C69-AD52-1CCF4D332439}"/>
    <cellStyle name="Currency 5 2 6 3 2 3" xfId="12732" xr:uid="{FE59E5A1-AB40-4945-A8D9-1F2F7A813728}"/>
    <cellStyle name="Currency 5 2 6 3 3" xfId="5478" xr:uid="{00000000-0005-0000-0000-0000700C0000}"/>
    <cellStyle name="Currency 5 2 6 3 3 2" xfId="14804" xr:uid="{A365AAC9-B852-4792-B3DE-753C409F7119}"/>
    <cellStyle name="Currency 5 2 6 3 4" xfId="10587" xr:uid="{87524679-14E9-4591-B320-C353106A2F17}"/>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5FB75A9F-05FE-45C8-BB55-89D02CCC8828}"/>
    <cellStyle name="Currency 5 2 6 4 2 3" xfId="13145" xr:uid="{4FBD6D7D-5322-4A50-8442-F8AB160E6627}"/>
    <cellStyle name="Currency 5 2 6 4 3" xfId="5891" xr:uid="{00000000-0005-0000-0000-0000740C0000}"/>
    <cellStyle name="Currency 5 2 6 4 3 2" xfId="15217" xr:uid="{DFC25B13-18D4-41C3-8B78-E22F81D5B752}"/>
    <cellStyle name="Currency 5 2 6 4 4" xfId="11000" xr:uid="{5D7D3DB7-FC61-41F5-AF3C-DE00BBC5CB40}"/>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77A3E9DE-9CAB-414D-99CF-435B6E1E8282}"/>
    <cellStyle name="Currency 5 2 6 5 2 3" xfId="13558" xr:uid="{03E0505C-249C-4AD5-81EB-9FB58CA8B7B0}"/>
    <cellStyle name="Currency 5 2 6 5 3" xfId="6304" xr:uid="{00000000-0005-0000-0000-0000780C0000}"/>
    <cellStyle name="Currency 5 2 6 5 3 2" xfId="15630" xr:uid="{F1AA3BB0-4CFC-46E0-B0CE-09CF2550A25D}"/>
    <cellStyle name="Currency 5 2 6 5 4" xfId="11413" xr:uid="{7CA34BBA-3A52-441A-86B5-883F9E71FEC7}"/>
    <cellStyle name="Currency 5 2 6 6" xfId="2433" xr:uid="{00000000-0005-0000-0000-0000790C0000}"/>
    <cellStyle name="Currency 5 2 6 6 2" xfId="6717" xr:uid="{00000000-0005-0000-0000-00007A0C0000}"/>
    <cellStyle name="Currency 5 2 6 6 2 2" xfId="16043" xr:uid="{BAC8E3A5-DB80-493B-B6E3-47FCEF0CB6B4}"/>
    <cellStyle name="Currency 5 2 6 6 3" xfId="11826" xr:uid="{0A40F1CA-09F3-4745-BA62-11954C447CDF}"/>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E3FF6B03-C3DF-458E-90F4-78F63242F1F3}"/>
    <cellStyle name="Currency 5 2 6 8 3" xfId="12143" xr:uid="{F31F6C7F-34C0-49DE-BE8C-CBC0A5420FE1}"/>
    <cellStyle name="Currency 5 2 6 9" xfId="4651" xr:uid="{00000000-0005-0000-0000-00007E0C0000}"/>
    <cellStyle name="Currency 5 2 6 9 2" xfId="13977" xr:uid="{6ED80244-EFA9-4924-919C-6EE2F1E183FA}"/>
    <cellStyle name="Currency 5 2 7" xfId="722" xr:uid="{00000000-0005-0000-0000-00007F0C0000}"/>
    <cellStyle name="Currency 5 2 8" xfId="8756" xr:uid="{D16196A2-D0A3-46A2-9B14-6B017B4CC82F}"/>
    <cellStyle name="Currency 5 2 8 2" xfId="18080" xr:uid="{8685AABA-49FE-4558-B81D-2AC5FA68BD09}"/>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9EF25F1A-C3E5-49A0-852F-9C8F303B0DB6}"/>
    <cellStyle name="Currency 5 3 2 10 3" xfId="12144" xr:uid="{EB80E14A-0A12-4AF2-9747-95CA43FC1492}"/>
    <cellStyle name="Currency 5 3 2 11" xfId="4652" xr:uid="{00000000-0005-0000-0000-0000840C0000}"/>
    <cellStyle name="Currency 5 3 2 11 2" xfId="13978" xr:uid="{0D3BB021-D322-451F-BB9F-F825C3CC3608}"/>
    <cellStyle name="Currency 5 3 2 12" xfId="8810" xr:uid="{C5234FF9-D509-4CD8-ADA1-D3604CCF3D1F}"/>
    <cellStyle name="Currency 5 3 2 12 2" xfId="18134" xr:uid="{D99A606B-500B-4114-9F56-30055B8AE262}"/>
    <cellStyle name="Currency 5 3 2 13" xfId="9761" xr:uid="{15B18454-AD14-4B2C-AE72-1DE902502C53}"/>
    <cellStyle name="Currency 5 3 2 2" xfId="211" xr:uid="{00000000-0005-0000-0000-0000850C0000}"/>
    <cellStyle name="Currency 5 3 2 2 10" xfId="4653" xr:uid="{00000000-0005-0000-0000-0000860C0000}"/>
    <cellStyle name="Currency 5 3 2 2 10 2" xfId="13979" xr:uid="{80AB8023-E946-4B96-B646-0738AF5F3778}"/>
    <cellStyle name="Currency 5 3 2 2 11" xfId="8913" xr:uid="{FE033F82-2F16-4925-9899-F927AB9AA612}"/>
    <cellStyle name="Currency 5 3 2 2 11 2" xfId="18237" xr:uid="{58642F90-B736-42CC-A6CC-562DFB25FEA5}"/>
    <cellStyle name="Currency 5 3 2 2 12" xfId="9762" xr:uid="{EA1901FA-7B86-4C08-857B-166BD5BEB5C5}"/>
    <cellStyle name="Currency 5 3 2 2 2" xfId="212" xr:uid="{00000000-0005-0000-0000-0000870C0000}"/>
    <cellStyle name="Currency 5 3 2 2 2 10" xfId="9120" xr:uid="{D5536A1F-8418-4CB5-B1E0-470AD716374A}"/>
    <cellStyle name="Currency 5 3 2 2 2 10 2" xfId="18444" xr:uid="{756CBF1F-559F-47E2-A14B-AC584C17C5B7}"/>
    <cellStyle name="Currency 5 3 2 2 2 11" xfId="9763" xr:uid="{60C2EBAF-951F-45CC-B958-0968934DA539}"/>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0F36ED83-CBDD-4076-B301-2196674D42A8}"/>
    <cellStyle name="Currency 5 3 2 2 2 2 2 3" xfId="12322" xr:uid="{4523401F-A682-4122-984E-AC7E6881BEC7}"/>
    <cellStyle name="Currency 5 3 2 2 2 2 3" xfId="5068" xr:uid="{00000000-0005-0000-0000-00008B0C0000}"/>
    <cellStyle name="Currency 5 3 2 2 2 2 3 2" xfId="14394" xr:uid="{E0146C22-9EAC-430B-BD8B-D487B00EE3AC}"/>
    <cellStyle name="Currency 5 3 2 2 2 2 4" xfId="9545" xr:uid="{F6C268D6-0334-42F7-AE4F-535ADD09B625}"/>
    <cellStyle name="Currency 5 3 2 2 2 2 4 2" xfId="18860" xr:uid="{933A111E-CF48-4DE4-B780-CE8FEBE8B385}"/>
    <cellStyle name="Currency 5 3 2 2 2 2 5" xfId="10177" xr:uid="{115BE2CA-A452-4EBE-946F-3B1A678D77A2}"/>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603AE2CE-F02C-494C-BCC2-DE0E7F707137}"/>
    <cellStyle name="Currency 5 3 2 2 2 3 2 3" xfId="12735" xr:uid="{574C2668-6E3A-424E-A020-0B20707511A1}"/>
    <cellStyle name="Currency 5 3 2 2 2 3 3" xfId="5481" xr:uid="{00000000-0005-0000-0000-00008F0C0000}"/>
    <cellStyle name="Currency 5 3 2 2 2 3 3 2" xfId="14807" xr:uid="{D9D16E3B-DAD4-4C6A-9996-906EE06F4127}"/>
    <cellStyle name="Currency 5 3 2 2 2 3 4" xfId="10590" xr:uid="{5E6593A8-FF99-49F7-A369-8C4545C3D43F}"/>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91B07CD0-8D8B-4960-877C-0525E11F46E4}"/>
    <cellStyle name="Currency 5 3 2 2 2 4 2 3" xfId="13148" xr:uid="{8B274764-DE30-436E-86D9-6F59AC45947E}"/>
    <cellStyle name="Currency 5 3 2 2 2 4 3" xfId="5894" xr:uid="{00000000-0005-0000-0000-0000930C0000}"/>
    <cellStyle name="Currency 5 3 2 2 2 4 3 2" xfId="15220" xr:uid="{661534C7-97A2-4210-9689-178C7B3D1D40}"/>
    <cellStyle name="Currency 5 3 2 2 2 4 4" xfId="11003" xr:uid="{F1A84C07-3A63-4E42-B9B9-2E9174AAC7DF}"/>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8EC28259-E596-4B0D-BA56-486B843E6DAD}"/>
    <cellStyle name="Currency 5 3 2 2 2 5 2 3" xfId="13561" xr:uid="{1FCCFB3E-6F0C-40C0-9322-7A2765DC1FEE}"/>
    <cellStyle name="Currency 5 3 2 2 2 5 3" xfId="6307" xr:uid="{00000000-0005-0000-0000-0000970C0000}"/>
    <cellStyle name="Currency 5 3 2 2 2 5 3 2" xfId="15633" xr:uid="{33809CB4-2D4E-4A82-93F6-25BC5B626EEC}"/>
    <cellStyle name="Currency 5 3 2 2 2 5 4" xfId="11416" xr:uid="{4B8EC4C0-AB5A-437B-AE36-3E6ED1D483C3}"/>
    <cellStyle name="Currency 5 3 2 2 2 6" xfId="2436" xr:uid="{00000000-0005-0000-0000-0000980C0000}"/>
    <cellStyle name="Currency 5 3 2 2 2 6 2" xfId="6720" xr:uid="{00000000-0005-0000-0000-0000990C0000}"/>
    <cellStyle name="Currency 5 3 2 2 2 6 2 2" xfId="16046" xr:uid="{69B3DA2A-2D5E-4287-829D-F4E83925E16F}"/>
    <cellStyle name="Currency 5 3 2 2 2 6 3" xfId="11829" xr:uid="{6C141930-5E23-4CAB-AD34-6E38CF08475E}"/>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EC67A0F8-A63F-433B-8046-DA3A01A1A41F}"/>
    <cellStyle name="Currency 5 3 2 2 2 8 3" xfId="12146" xr:uid="{66B39C6C-88AC-4520-B248-5351EB5CAAC1}"/>
    <cellStyle name="Currency 5 3 2 2 2 9" xfId="4654" xr:uid="{00000000-0005-0000-0000-00009D0C0000}"/>
    <cellStyle name="Currency 5 3 2 2 2 9 2" xfId="13980" xr:uid="{B049AEC2-DA5A-4BE4-9F24-171B2724A231}"/>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9AD370EF-BAF4-458F-BDE4-EC8C5055AA5A}"/>
    <cellStyle name="Currency 5 3 2 2 3 2 3" xfId="12321" xr:uid="{F4995B61-6415-4B62-B39C-EF6B86082B6D}"/>
    <cellStyle name="Currency 5 3 2 2 3 3" xfId="5067" xr:uid="{00000000-0005-0000-0000-0000A10C0000}"/>
    <cellStyle name="Currency 5 3 2 2 3 3 2" xfId="14393" xr:uid="{F2992FF9-048C-48B1-B683-B57DDC9FD2CC}"/>
    <cellStyle name="Currency 5 3 2 2 3 4" xfId="9338" xr:uid="{E79296CA-9516-4DDA-84B2-A3B13AAA9D9D}"/>
    <cellStyle name="Currency 5 3 2 2 3 4 2" xfId="18653" xr:uid="{40DE6246-7248-4534-AD18-7056E6FE066D}"/>
    <cellStyle name="Currency 5 3 2 2 3 5" xfId="10176" xr:uid="{37CF1EBE-94CB-42CD-8A37-6F28417DAA56}"/>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E18B35BF-DDEC-49D0-9A69-8B2807E6B458}"/>
    <cellStyle name="Currency 5 3 2 2 4 2 3" xfId="12734" xr:uid="{2F16A4BF-B8F8-48C9-8C7B-DD18ECEC2C69}"/>
    <cellStyle name="Currency 5 3 2 2 4 3" xfId="5480" xr:uid="{00000000-0005-0000-0000-0000A50C0000}"/>
    <cellStyle name="Currency 5 3 2 2 4 3 2" xfId="14806" xr:uid="{3D78CC69-3F00-431F-85A4-FA542D503CFC}"/>
    <cellStyle name="Currency 5 3 2 2 4 4" xfId="10589" xr:uid="{A6E81F04-E163-4779-A01A-7C4073F9A03D}"/>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BA8FD78F-B6A1-45F9-A41E-4A57979AF63C}"/>
    <cellStyle name="Currency 5 3 2 2 5 2 3" xfId="13147" xr:uid="{B25D70CD-BCB5-4A85-8219-05F9539467F0}"/>
    <cellStyle name="Currency 5 3 2 2 5 3" xfId="5893" xr:uid="{00000000-0005-0000-0000-0000A90C0000}"/>
    <cellStyle name="Currency 5 3 2 2 5 3 2" xfId="15219" xr:uid="{7210C1F2-EBE9-43AC-9FB1-6677678D1911}"/>
    <cellStyle name="Currency 5 3 2 2 5 4" xfId="11002" xr:uid="{5942331E-DA3E-4B5C-8280-DD61B3A0D49E}"/>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0175A9F6-19BC-4D9E-AABE-222C04CE8051}"/>
    <cellStyle name="Currency 5 3 2 2 6 2 3" xfId="13560" xr:uid="{88E2109F-6E8A-4491-B481-B3AD95FFE021}"/>
    <cellStyle name="Currency 5 3 2 2 6 3" xfId="6306" xr:uid="{00000000-0005-0000-0000-0000AD0C0000}"/>
    <cellStyle name="Currency 5 3 2 2 6 3 2" xfId="15632" xr:uid="{4C37EECD-4ED0-4673-B4E7-EA5170CAD815}"/>
    <cellStyle name="Currency 5 3 2 2 6 4" xfId="11415" xr:uid="{1958C695-1BA2-43AA-ACDF-13B524EEC3BF}"/>
    <cellStyle name="Currency 5 3 2 2 7" xfId="2435" xr:uid="{00000000-0005-0000-0000-0000AE0C0000}"/>
    <cellStyle name="Currency 5 3 2 2 7 2" xfId="6719" xr:uid="{00000000-0005-0000-0000-0000AF0C0000}"/>
    <cellStyle name="Currency 5 3 2 2 7 2 2" xfId="16045" xr:uid="{E7B0D5DF-1188-49B9-A837-53998A2B5B91}"/>
    <cellStyle name="Currency 5 3 2 2 7 3" xfId="11828" xr:uid="{9614D53D-AC90-4D87-B76E-580B80BB86A7}"/>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0FE0E6A4-7C88-40D2-A90E-EB984E4BE6EF}"/>
    <cellStyle name="Currency 5 3 2 2 9 3" xfId="12145" xr:uid="{1A24778D-6806-4FB8-A12F-A49A0A894C8C}"/>
    <cellStyle name="Currency 5 3 2 3" xfId="213" xr:uid="{00000000-0005-0000-0000-0000B30C0000}"/>
    <cellStyle name="Currency 5 3 2 3 10" xfId="9017" xr:uid="{A6213F8D-EE09-4095-B9BE-99C55DEE210F}"/>
    <cellStyle name="Currency 5 3 2 3 10 2" xfId="18341" xr:uid="{595AC2E3-EE69-4382-AAE0-E6A0FAB502C9}"/>
    <cellStyle name="Currency 5 3 2 3 11" xfId="9764" xr:uid="{E3708524-FA19-40B7-9349-716EE4C0B1A9}"/>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F24478EE-9FB7-45D1-96DA-2CF86607F088}"/>
    <cellStyle name="Currency 5 3 2 3 2 2 3" xfId="12323" xr:uid="{40A92026-331A-4836-AF26-92693F3F9D22}"/>
    <cellStyle name="Currency 5 3 2 3 2 3" xfId="5069" xr:uid="{00000000-0005-0000-0000-0000B70C0000}"/>
    <cellStyle name="Currency 5 3 2 3 2 3 2" xfId="14395" xr:uid="{CC49A052-16DC-472D-B18F-E0F2AFEC3A67}"/>
    <cellStyle name="Currency 5 3 2 3 2 4" xfId="9442" xr:uid="{AE48BD1F-B5DA-4007-BBEE-128FE2FE74D7}"/>
    <cellStyle name="Currency 5 3 2 3 2 4 2" xfId="18757" xr:uid="{61F19700-0CE7-4235-8961-E25717FDE0EE}"/>
    <cellStyle name="Currency 5 3 2 3 2 5" xfId="10178" xr:uid="{1D579623-6E7C-4135-A14B-72EFAC9D2FC1}"/>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11DD53DC-2721-42EB-BAE8-46D0DCD8FA1E}"/>
    <cellStyle name="Currency 5 3 2 3 3 2 3" xfId="12736" xr:uid="{79A97BD4-310B-4496-B0E7-BE0DC742A528}"/>
    <cellStyle name="Currency 5 3 2 3 3 3" xfId="5482" xr:uid="{00000000-0005-0000-0000-0000BB0C0000}"/>
    <cellStyle name="Currency 5 3 2 3 3 3 2" xfId="14808" xr:uid="{12A3908E-EA0E-4C86-B378-84FF6DFC96BC}"/>
    <cellStyle name="Currency 5 3 2 3 3 4" xfId="10591" xr:uid="{99BBBA7C-94B9-4330-8329-334F263D1703}"/>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B5CCDFE0-BAEA-4D67-B7B8-20DF55DBB6D9}"/>
    <cellStyle name="Currency 5 3 2 3 4 2 3" xfId="13149" xr:uid="{8085F131-57CB-4C95-A9D0-8FDEC04D2490}"/>
    <cellStyle name="Currency 5 3 2 3 4 3" xfId="5895" xr:uid="{00000000-0005-0000-0000-0000BF0C0000}"/>
    <cellStyle name="Currency 5 3 2 3 4 3 2" xfId="15221" xr:uid="{E1784D6D-DFB4-4255-A00E-1CF037D9D44B}"/>
    <cellStyle name="Currency 5 3 2 3 4 4" xfId="11004" xr:uid="{10355346-F031-4F23-A0C2-42063AC6318E}"/>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CF33887E-A417-407F-98E1-DD85DA49F315}"/>
    <cellStyle name="Currency 5 3 2 3 5 2 3" xfId="13562" xr:uid="{D8D91648-0B61-478E-9A43-68881D73D3DF}"/>
    <cellStyle name="Currency 5 3 2 3 5 3" xfId="6308" xr:uid="{00000000-0005-0000-0000-0000C30C0000}"/>
    <cellStyle name="Currency 5 3 2 3 5 3 2" xfId="15634" xr:uid="{9C53AAC9-0849-495E-BF0C-97C4C67E27AC}"/>
    <cellStyle name="Currency 5 3 2 3 5 4" xfId="11417" xr:uid="{988C5C6D-009A-4589-B377-F63A0E4C0226}"/>
    <cellStyle name="Currency 5 3 2 3 6" xfId="2437" xr:uid="{00000000-0005-0000-0000-0000C40C0000}"/>
    <cellStyle name="Currency 5 3 2 3 6 2" xfId="6721" xr:uid="{00000000-0005-0000-0000-0000C50C0000}"/>
    <cellStyle name="Currency 5 3 2 3 6 2 2" xfId="16047" xr:uid="{C1CB7761-D282-4F1D-A225-C7A5C299B77D}"/>
    <cellStyle name="Currency 5 3 2 3 6 3" xfId="11830" xr:uid="{1949CD5C-1CC5-4F21-BF30-EE9C86F9F638}"/>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DF85EAC6-2FA2-433F-8246-8589EA46BDAD}"/>
    <cellStyle name="Currency 5 3 2 3 8 3" xfId="12147" xr:uid="{A7474DA8-E03F-410C-AE4B-509C7654076A}"/>
    <cellStyle name="Currency 5 3 2 3 9" xfId="4655" xr:uid="{00000000-0005-0000-0000-0000C90C0000}"/>
    <cellStyle name="Currency 5 3 2 3 9 2" xfId="13981" xr:uid="{C6A342E3-38B5-45FF-BE4B-A63106146168}"/>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BAC149C9-C4A7-446E-9661-2C6C5FBC78A9}"/>
    <cellStyle name="Currency 5 3 2 4 2 3" xfId="12320" xr:uid="{E6002DD4-6635-43A6-ADEC-78051D0129CD}"/>
    <cellStyle name="Currency 5 3 2 4 3" xfId="5066" xr:uid="{00000000-0005-0000-0000-0000CD0C0000}"/>
    <cellStyle name="Currency 5 3 2 4 3 2" xfId="14392" xr:uid="{D2D87AB9-60B2-46AC-B41F-6F98B83D6843}"/>
    <cellStyle name="Currency 5 3 2 4 4" xfId="9235" xr:uid="{F2FD4117-6EF1-4663-964A-AB5B57E6F469}"/>
    <cellStyle name="Currency 5 3 2 4 4 2" xfId="18550" xr:uid="{DBC65FB8-8D75-4040-A68D-78DC526A207E}"/>
    <cellStyle name="Currency 5 3 2 4 5" xfId="10175" xr:uid="{9CDAA5E1-9AA5-47E9-81A0-FD9B6245AA03}"/>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AFDEE849-7CAC-4C6F-8F43-B6CCA14AA39E}"/>
    <cellStyle name="Currency 5 3 2 5 2 3" xfId="12733" xr:uid="{06890A0F-2DEE-4E7A-A50E-A61091A14C0D}"/>
    <cellStyle name="Currency 5 3 2 5 3" xfId="5479" xr:uid="{00000000-0005-0000-0000-0000D10C0000}"/>
    <cellStyle name="Currency 5 3 2 5 3 2" xfId="14805" xr:uid="{4EF6DD3F-CF12-4297-9D8E-C44D9B24B4B6}"/>
    <cellStyle name="Currency 5 3 2 5 4" xfId="10588" xr:uid="{A4C375D1-30DB-4BAC-8840-70CB018933BB}"/>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E5F2257C-386B-4D61-8E38-B553761209EB}"/>
    <cellStyle name="Currency 5 3 2 6 2 3" xfId="13146" xr:uid="{2581770B-D2B6-4A51-B296-8998257B6A3D}"/>
    <cellStyle name="Currency 5 3 2 6 3" xfId="5892" xr:uid="{00000000-0005-0000-0000-0000D50C0000}"/>
    <cellStyle name="Currency 5 3 2 6 3 2" xfId="15218" xr:uid="{91C4B6FB-B0CC-4F76-AE67-2582E422AB3A}"/>
    <cellStyle name="Currency 5 3 2 6 4" xfId="11001" xr:uid="{C8C4F3F9-C401-467A-B40B-A6849876374E}"/>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CF5E721B-C632-41E8-A1AE-71D32D8E8588}"/>
    <cellStyle name="Currency 5 3 2 7 2 3" xfId="13559" xr:uid="{FAE74E4E-E599-4844-A22B-A0207CB93E3B}"/>
    <cellStyle name="Currency 5 3 2 7 3" xfId="6305" xr:uid="{00000000-0005-0000-0000-0000D90C0000}"/>
    <cellStyle name="Currency 5 3 2 7 3 2" xfId="15631" xr:uid="{414A1CBF-46C4-42B9-A3B7-4B24F0263B2B}"/>
    <cellStyle name="Currency 5 3 2 7 4" xfId="11414" xr:uid="{7217FA62-7264-42EB-8D28-EC47D95E4EA0}"/>
    <cellStyle name="Currency 5 3 2 8" xfId="2434" xr:uid="{00000000-0005-0000-0000-0000DA0C0000}"/>
    <cellStyle name="Currency 5 3 2 8 2" xfId="6718" xr:uid="{00000000-0005-0000-0000-0000DB0C0000}"/>
    <cellStyle name="Currency 5 3 2 8 2 2" xfId="16044" xr:uid="{D5C221C0-D173-4FC9-968E-0D40F8AA9963}"/>
    <cellStyle name="Currency 5 3 2 8 3" xfId="11827" xr:uid="{E9F758C9-294E-4C9B-B72A-27892E2CD833}"/>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3D67F446-7AC1-48DA-A823-BDB30C62DF90}"/>
    <cellStyle name="Currency 5 3 3 11" xfId="8882" xr:uid="{A86B3ED4-B552-42F3-9E77-C6763F86EEE6}"/>
    <cellStyle name="Currency 5 3 3 11 2" xfId="18206" xr:uid="{E91685F6-21B5-4225-8DD9-E00AA55A2A3B}"/>
    <cellStyle name="Currency 5 3 3 12" xfId="9765" xr:uid="{8EAAC5AE-288E-456C-BA86-C6592667BBA2}"/>
    <cellStyle name="Currency 5 3 3 2" xfId="215" xr:uid="{00000000-0005-0000-0000-0000DF0C0000}"/>
    <cellStyle name="Currency 5 3 3 2 10" xfId="9089" xr:uid="{7CFB8DCC-02AE-4CC5-8E10-3D33399ECECE}"/>
    <cellStyle name="Currency 5 3 3 2 10 2" xfId="18413" xr:uid="{EBE7EA11-9638-413C-B1BD-346659BC436A}"/>
    <cellStyle name="Currency 5 3 3 2 11" xfId="9766" xr:uid="{A9D4C472-756A-45D6-9A06-99BDDEC92AA9}"/>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EB9E32D6-DC0A-4861-93E9-F4F970A9ECA6}"/>
    <cellStyle name="Currency 5 3 3 2 2 2 3" xfId="12325" xr:uid="{4F5A18B8-C219-47C8-A9C0-B149D64956FE}"/>
    <cellStyle name="Currency 5 3 3 2 2 3" xfId="5071" xr:uid="{00000000-0005-0000-0000-0000E30C0000}"/>
    <cellStyle name="Currency 5 3 3 2 2 3 2" xfId="14397" xr:uid="{7EE2E033-A83E-4281-9283-EB8C6CDDFC76}"/>
    <cellStyle name="Currency 5 3 3 2 2 4" xfId="9514" xr:uid="{9A504F43-6423-4200-B7AF-F17B65B2005C}"/>
    <cellStyle name="Currency 5 3 3 2 2 4 2" xfId="18829" xr:uid="{6391BE97-5EC0-4082-900E-F3D26CF8CEDE}"/>
    <cellStyle name="Currency 5 3 3 2 2 5" xfId="10180" xr:uid="{A0BE0217-324B-463B-B0BF-2B824FA973B9}"/>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CCB3726F-7159-4FFA-8E6D-65E072637850}"/>
    <cellStyle name="Currency 5 3 3 2 3 2 3" xfId="12738" xr:uid="{AB15B3CC-1F00-4FAF-A2BD-4DD2AE4BC89D}"/>
    <cellStyle name="Currency 5 3 3 2 3 3" xfId="5484" xr:uid="{00000000-0005-0000-0000-0000E70C0000}"/>
    <cellStyle name="Currency 5 3 3 2 3 3 2" xfId="14810" xr:uid="{49A05DBA-B764-45A4-BB59-CCAD421A0458}"/>
    <cellStyle name="Currency 5 3 3 2 3 4" xfId="10593" xr:uid="{C85675C6-D9E8-4A9B-8829-AC09DC505E16}"/>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72FA96CC-7F2F-45A8-B15B-3F1F82ADBCFC}"/>
    <cellStyle name="Currency 5 3 3 2 4 2 3" xfId="13151" xr:uid="{14CE8EA4-906E-4FB3-8D7C-307C16B18DCA}"/>
    <cellStyle name="Currency 5 3 3 2 4 3" xfId="5897" xr:uid="{00000000-0005-0000-0000-0000EB0C0000}"/>
    <cellStyle name="Currency 5 3 3 2 4 3 2" xfId="15223" xr:uid="{BE8D3F13-D042-49BE-B235-B425BD3EB583}"/>
    <cellStyle name="Currency 5 3 3 2 4 4" xfId="11006" xr:uid="{F4D80D4F-2A0B-488A-BC92-D91B9DBE6999}"/>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A42113FE-F38C-4084-948A-1EA6881D037D}"/>
    <cellStyle name="Currency 5 3 3 2 5 2 3" xfId="13564" xr:uid="{15ACF879-E9B6-4FB0-B3B3-656AE2D849C4}"/>
    <cellStyle name="Currency 5 3 3 2 5 3" xfId="6310" xr:uid="{00000000-0005-0000-0000-0000EF0C0000}"/>
    <cellStyle name="Currency 5 3 3 2 5 3 2" xfId="15636" xr:uid="{084AEE54-5397-41A0-A9E2-FB8DCD934AD1}"/>
    <cellStyle name="Currency 5 3 3 2 5 4" xfId="11419" xr:uid="{9D194350-A821-4C05-9B5D-7CFFD7C57523}"/>
    <cellStyle name="Currency 5 3 3 2 6" xfId="2439" xr:uid="{00000000-0005-0000-0000-0000F00C0000}"/>
    <cellStyle name="Currency 5 3 3 2 6 2" xfId="6723" xr:uid="{00000000-0005-0000-0000-0000F10C0000}"/>
    <cellStyle name="Currency 5 3 3 2 6 2 2" xfId="16049" xr:uid="{925FF69C-9D8A-4018-B72B-505AF27698FE}"/>
    <cellStyle name="Currency 5 3 3 2 6 3" xfId="11832" xr:uid="{84DD4A39-1B40-48A5-A072-AB549034525F}"/>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FDC680FD-4770-4A16-9054-3738A900B2F5}"/>
    <cellStyle name="Currency 5 3 3 2 8 3" xfId="12149" xr:uid="{C712E0F4-AFF4-440F-9729-7202F6D21C86}"/>
    <cellStyle name="Currency 5 3 3 2 9" xfId="4657" xr:uid="{00000000-0005-0000-0000-0000F50C0000}"/>
    <cellStyle name="Currency 5 3 3 2 9 2" xfId="13983" xr:uid="{36524849-035E-4121-9219-130D08E03C3F}"/>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3E56F61F-6F1C-44A7-9949-8B5D38FAD9A2}"/>
    <cellStyle name="Currency 5 3 3 3 2 3" xfId="12324" xr:uid="{0AAA4F77-BB1A-40DC-A98E-F23360245137}"/>
    <cellStyle name="Currency 5 3 3 3 3" xfId="5070" xr:uid="{00000000-0005-0000-0000-0000F90C0000}"/>
    <cellStyle name="Currency 5 3 3 3 3 2" xfId="14396" xr:uid="{B71E158F-40B0-42D2-B5F7-26E2504F3FB9}"/>
    <cellStyle name="Currency 5 3 3 3 4" xfId="9307" xr:uid="{3F0512A0-B779-46E4-A963-62E327C6AC5F}"/>
    <cellStyle name="Currency 5 3 3 3 4 2" xfId="18622" xr:uid="{C1904162-B446-4B1D-9777-05E77457D262}"/>
    <cellStyle name="Currency 5 3 3 3 5" xfId="10179" xr:uid="{17438B5F-5CB5-4FA2-A908-9DF090F98720}"/>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88143D61-8B29-45D5-9CA4-99D6D1601216}"/>
    <cellStyle name="Currency 5 3 3 4 2 3" xfId="12737" xr:uid="{773F89CA-7B8A-47F6-A67A-C023380675D3}"/>
    <cellStyle name="Currency 5 3 3 4 3" xfId="5483" xr:uid="{00000000-0005-0000-0000-0000FD0C0000}"/>
    <cellStyle name="Currency 5 3 3 4 3 2" xfId="14809" xr:uid="{53FE3992-F60B-4CE7-98F8-D995ABC190B6}"/>
    <cellStyle name="Currency 5 3 3 4 4" xfId="10592" xr:uid="{1A6BCE2C-5221-4DAF-8D43-C57CDDB7453C}"/>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27772039-0820-409E-9173-F7606CF3ED7D}"/>
    <cellStyle name="Currency 5 3 3 5 2 3" xfId="13150" xr:uid="{51DA6CFF-E7ED-4BFB-B109-14353ACFD302}"/>
    <cellStyle name="Currency 5 3 3 5 3" xfId="5896" xr:uid="{00000000-0005-0000-0000-0000010D0000}"/>
    <cellStyle name="Currency 5 3 3 5 3 2" xfId="15222" xr:uid="{1335FB2E-4A2A-4266-94FE-0699AAA3933B}"/>
    <cellStyle name="Currency 5 3 3 5 4" xfId="11005" xr:uid="{E5B24E97-84E1-4490-A446-F3F0F30C38FE}"/>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8A834DA2-4CA7-41A4-8D3B-48F555E6720B}"/>
    <cellStyle name="Currency 5 3 3 6 2 3" xfId="13563" xr:uid="{3A139856-D521-4253-B9A1-ADFAF27E9E02}"/>
    <cellStyle name="Currency 5 3 3 6 3" xfId="6309" xr:uid="{00000000-0005-0000-0000-0000050D0000}"/>
    <cellStyle name="Currency 5 3 3 6 3 2" xfId="15635" xr:uid="{AF21869E-E02A-4A87-8CD5-FB622ADA64F8}"/>
    <cellStyle name="Currency 5 3 3 6 4" xfId="11418" xr:uid="{40D3623A-CCB5-4009-BA00-B4395FC1EF5B}"/>
    <cellStyle name="Currency 5 3 3 7" xfId="2438" xr:uid="{00000000-0005-0000-0000-0000060D0000}"/>
    <cellStyle name="Currency 5 3 3 7 2" xfId="6722" xr:uid="{00000000-0005-0000-0000-0000070D0000}"/>
    <cellStyle name="Currency 5 3 3 7 2 2" xfId="16048" xr:uid="{F510135B-700E-4D87-899B-4A0E1F11B855}"/>
    <cellStyle name="Currency 5 3 3 7 3" xfId="11831" xr:uid="{DF690F6A-2F2E-42E8-A7FE-750FCE1F264D}"/>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3C6110CF-2AF8-4C9B-9D0A-65E475C65CDB}"/>
    <cellStyle name="Currency 5 3 3 9 3" xfId="12148" xr:uid="{815F7A16-29E8-4FC0-8BA4-D7E9830F22BE}"/>
    <cellStyle name="Currency 5 3 4" xfId="216" xr:uid="{00000000-0005-0000-0000-00000B0D0000}"/>
    <cellStyle name="Currency 5 3 4 10" xfId="8986" xr:uid="{4F6CFA4A-F10A-4043-AD92-C0A3F7F06459}"/>
    <cellStyle name="Currency 5 3 4 10 2" xfId="18310" xr:uid="{853E20AB-354E-4529-A3A3-65205FF642E6}"/>
    <cellStyle name="Currency 5 3 4 11" xfId="9767" xr:uid="{BBE8A3C9-4C4E-4823-A29E-C649BC9FE3C9}"/>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58E17D63-5E9D-4C24-9A22-711FCF7D38CB}"/>
    <cellStyle name="Currency 5 3 4 2 2 3" xfId="12326" xr:uid="{73724952-A11F-4381-A34B-A63D41EFA22B}"/>
    <cellStyle name="Currency 5 3 4 2 3" xfId="5072" xr:uid="{00000000-0005-0000-0000-00000F0D0000}"/>
    <cellStyle name="Currency 5 3 4 2 3 2" xfId="14398" xr:uid="{2C3A4A7B-9A03-426B-9C81-45F255FC0221}"/>
    <cellStyle name="Currency 5 3 4 2 4" xfId="9411" xr:uid="{2729DEB6-408B-463E-B468-91D932C31FD7}"/>
    <cellStyle name="Currency 5 3 4 2 4 2" xfId="18726" xr:uid="{9D8F0935-CE67-4ADC-ACEF-E10E4625E31C}"/>
    <cellStyle name="Currency 5 3 4 2 5" xfId="10181" xr:uid="{46EC3138-9958-4882-A85C-EB227F223A20}"/>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2C51F21A-ABFB-4ED5-BD75-AD4E58786978}"/>
    <cellStyle name="Currency 5 3 4 3 2 3" xfId="12739" xr:uid="{143159EC-75E2-4AB5-8162-8008113FF7AF}"/>
    <cellStyle name="Currency 5 3 4 3 3" xfId="5485" xr:uid="{00000000-0005-0000-0000-0000130D0000}"/>
    <cellStyle name="Currency 5 3 4 3 3 2" xfId="14811" xr:uid="{3DE65599-78A4-4E2A-8CAA-924C2DE1F2B6}"/>
    <cellStyle name="Currency 5 3 4 3 4" xfId="10594" xr:uid="{20A43C45-72DE-49BA-B47E-A86DF646279C}"/>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06EC1BD1-1BF2-43D5-AF56-3C2C4FC87D7A}"/>
    <cellStyle name="Currency 5 3 4 4 2 3" xfId="13152" xr:uid="{C829B41B-043A-46C7-9069-E6D681C1D0A3}"/>
    <cellStyle name="Currency 5 3 4 4 3" xfId="5898" xr:uid="{00000000-0005-0000-0000-0000170D0000}"/>
    <cellStyle name="Currency 5 3 4 4 3 2" xfId="15224" xr:uid="{CB47717F-7650-422F-97D3-39523F3F89F5}"/>
    <cellStyle name="Currency 5 3 4 4 4" xfId="11007" xr:uid="{AF3E0779-913D-4D21-9065-55869FA26FCF}"/>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35A5D046-5F15-48F6-8DB1-B4723DB012EE}"/>
    <cellStyle name="Currency 5 3 4 5 2 3" xfId="13565" xr:uid="{BAF70B08-EC48-4254-AA2E-0420C4699C08}"/>
    <cellStyle name="Currency 5 3 4 5 3" xfId="6311" xr:uid="{00000000-0005-0000-0000-00001B0D0000}"/>
    <cellStyle name="Currency 5 3 4 5 3 2" xfId="15637" xr:uid="{6E50D0F2-7801-4C55-8942-AE79F3A61E18}"/>
    <cellStyle name="Currency 5 3 4 5 4" xfId="11420" xr:uid="{F0C724C1-3112-4B95-9480-04D9B839F9B8}"/>
    <cellStyle name="Currency 5 3 4 6" xfId="2440" xr:uid="{00000000-0005-0000-0000-00001C0D0000}"/>
    <cellStyle name="Currency 5 3 4 6 2" xfId="6724" xr:uid="{00000000-0005-0000-0000-00001D0D0000}"/>
    <cellStyle name="Currency 5 3 4 6 2 2" xfId="16050" xr:uid="{758B0513-53C6-4DF0-9863-995E06F8ABCA}"/>
    <cellStyle name="Currency 5 3 4 6 3" xfId="11833" xr:uid="{21FADFFE-3B00-4308-A20B-4D1FA28912B3}"/>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0E64D893-5C95-4B39-A5DF-41508B9D8804}"/>
    <cellStyle name="Currency 5 3 4 8 3" xfId="12150" xr:uid="{F0D95960-C355-4BD4-ABA6-8C853BAC7AF4}"/>
    <cellStyle name="Currency 5 3 4 9" xfId="4658" xr:uid="{00000000-0005-0000-0000-0000210D0000}"/>
    <cellStyle name="Currency 5 3 4 9 2" xfId="13984" xr:uid="{E9078053-226F-4145-8BAD-2E66DBDD5D07}"/>
    <cellStyle name="Currency 5 3 5" xfId="217" xr:uid="{00000000-0005-0000-0000-0000220D0000}"/>
    <cellStyle name="Currency 5 3 5 10" xfId="9203" xr:uid="{6167CBBD-227C-4457-B6B6-18EF5C089771}"/>
    <cellStyle name="Currency 5 3 5 10 2" xfId="18519" xr:uid="{23BEFD7D-F96E-491E-8375-CF0C9134E438}"/>
    <cellStyle name="Currency 5 3 5 11" xfId="9768" xr:uid="{B422715A-70AF-43DF-B0E5-03456DB59FEE}"/>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0DFF7E02-B48B-4894-BC5E-67AD3729BD4D}"/>
    <cellStyle name="Currency 5 3 5 2 2 3" xfId="12327" xr:uid="{4606980F-E545-4B52-B6D9-E2B85216E42F}"/>
    <cellStyle name="Currency 5 3 5 2 3" xfId="5073" xr:uid="{00000000-0005-0000-0000-0000260D0000}"/>
    <cellStyle name="Currency 5 3 5 2 3 2" xfId="14399" xr:uid="{F6E03442-EB74-4043-AA7E-0D33D976DAD0}"/>
    <cellStyle name="Currency 5 3 5 2 4" xfId="9600" xr:uid="{650A4058-48FE-4F3E-8845-8F52DF332026}"/>
    <cellStyle name="Currency 5 3 5 2 4 2" xfId="18904" xr:uid="{EE67AC95-FC08-4D5F-9C85-6BACE94937F0}"/>
    <cellStyle name="Currency 5 3 5 2 5" xfId="10182" xr:uid="{E4F4F550-D3DA-4980-90B5-4F4A6E438C57}"/>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03CAB0CA-0B3C-428C-8245-8E3FF2E0F980}"/>
    <cellStyle name="Currency 5 3 5 3 2 3" xfId="12740" xr:uid="{6F036F7F-B714-4664-BBF8-AC2AC2577BE8}"/>
    <cellStyle name="Currency 5 3 5 3 3" xfId="5486" xr:uid="{00000000-0005-0000-0000-00002A0D0000}"/>
    <cellStyle name="Currency 5 3 5 3 3 2" xfId="14812" xr:uid="{7C760F31-9588-4C21-A60A-902E14314309}"/>
    <cellStyle name="Currency 5 3 5 3 4" xfId="10595" xr:uid="{76BD1E48-07C4-42C7-87CF-E70576556003}"/>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0C65AA99-A1A0-4173-BF69-CC4E1DEF52AC}"/>
    <cellStyle name="Currency 5 3 5 4 2 3" xfId="13153" xr:uid="{B7DDBD70-D31F-474A-AEDE-BD76026063BC}"/>
    <cellStyle name="Currency 5 3 5 4 3" xfId="5899" xr:uid="{00000000-0005-0000-0000-00002E0D0000}"/>
    <cellStyle name="Currency 5 3 5 4 3 2" xfId="15225" xr:uid="{B72FA4B5-1E59-4B1B-948F-7A5059F819C4}"/>
    <cellStyle name="Currency 5 3 5 4 4" xfId="11008" xr:uid="{7B5E43ED-5C4B-47A8-AF3F-162613F7D12B}"/>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E27C55A3-1CE9-4283-B673-0BCBD48B8656}"/>
    <cellStyle name="Currency 5 3 5 5 2 3" xfId="13566" xr:uid="{0B6B0132-8627-49DA-B7F8-28C4D6990DF7}"/>
    <cellStyle name="Currency 5 3 5 5 3" xfId="6312" xr:uid="{00000000-0005-0000-0000-0000320D0000}"/>
    <cellStyle name="Currency 5 3 5 5 3 2" xfId="15638" xr:uid="{EC28776F-CFA2-4802-B55F-53051634E11B}"/>
    <cellStyle name="Currency 5 3 5 5 4" xfId="11421" xr:uid="{D92BBCDC-B1C4-47F4-B36E-D9727959CC97}"/>
    <cellStyle name="Currency 5 3 5 6" xfId="2441" xr:uid="{00000000-0005-0000-0000-0000330D0000}"/>
    <cellStyle name="Currency 5 3 5 6 2" xfId="6725" xr:uid="{00000000-0005-0000-0000-0000340D0000}"/>
    <cellStyle name="Currency 5 3 5 6 2 2" xfId="16051" xr:uid="{A45FB2D0-DBCF-420F-85D4-988D12643603}"/>
    <cellStyle name="Currency 5 3 5 6 3" xfId="11834" xr:uid="{B9A2243F-F1A3-4C18-B374-CFF874E12496}"/>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4D3A2809-73E0-4402-B241-910A2F0CF187}"/>
    <cellStyle name="Currency 5 3 5 8 3" xfId="12151" xr:uid="{170A57B6-EACB-4DCF-A7DD-03102836F274}"/>
    <cellStyle name="Currency 5 3 5 9" xfId="4659" xr:uid="{00000000-0005-0000-0000-0000380D0000}"/>
    <cellStyle name="Currency 5 3 5 9 2" xfId="13985" xr:uid="{0B9D0C18-FFB0-41B2-9040-A9B16017885F}"/>
    <cellStyle name="Currency 5 3 6" xfId="9585" xr:uid="{F259418A-5AC0-4C4E-A98C-07B5BEE6D673}"/>
    <cellStyle name="Currency 5 3 7" xfId="8779" xr:uid="{856D4C12-E347-4E8F-9200-2EC71AC3E0CB}"/>
    <cellStyle name="Currency 5 3 7 2" xfId="18103" xr:uid="{817FCA0C-67D1-4231-87CD-7883ABE7CD46}"/>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9CC689E4-0337-4594-9BAE-5720D49C63F1}"/>
    <cellStyle name="Currency 5 5 11" xfId="8850" xr:uid="{8F129173-F323-478F-8B06-1E2599EB26C1}"/>
    <cellStyle name="Currency 5 5 11 2" xfId="18174" xr:uid="{0F8ECC69-F461-4DA2-85E1-85E8BC155386}"/>
    <cellStyle name="Currency 5 5 12" xfId="9769" xr:uid="{92BCBBA5-DDD2-4EFF-B6F4-B07BB66907DF}"/>
    <cellStyle name="Currency 5 5 2" xfId="220" xr:uid="{00000000-0005-0000-0000-00003D0D0000}"/>
    <cellStyle name="Currency 5 5 2 10" xfId="9057" xr:uid="{90E61E49-0971-4EC1-90D8-E015846E4FB2}"/>
    <cellStyle name="Currency 5 5 2 10 2" xfId="18381" xr:uid="{B36E4011-9499-4CB0-B614-0685EF05C90F}"/>
    <cellStyle name="Currency 5 5 2 11" xfId="9770" xr:uid="{8F50EFE3-D8B3-43BE-A4EA-A0AD980291A9}"/>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89179CEE-FECC-4E37-AB17-2CF23AA61206}"/>
    <cellStyle name="Currency 5 5 2 2 2 3" xfId="12329" xr:uid="{B61C859D-C46B-41DA-8F69-0770F64183E5}"/>
    <cellStyle name="Currency 5 5 2 2 3" xfId="5075" xr:uid="{00000000-0005-0000-0000-0000410D0000}"/>
    <cellStyle name="Currency 5 5 2 2 3 2" xfId="14401" xr:uid="{5DEEF99E-FAB3-48D4-8FC3-E3FC65195362}"/>
    <cellStyle name="Currency 5 5 2 2 4" xfId="9482" xr:uid="{ECEE3E7C-42CD-4A2D-A90F-D54FFBA7E41F}"/>
    <cellStyle name="Currency 5 5 2 2 4 2" xfId="18797" xr:uid="{CE771611-F39F-448B-8EC0-C0178E478E18}"/>
    <cellStyle name="Currency 5 5 2 2 5" xfId="10184" xr:uid="{A0B1EBF8-5F06-494A-A3A3-36D1C3FA0F1C}"/>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35ECCF66-740E-474B-85A4-523E78B8D934}"/>
    <cellStyle name="Currency 5 5 2 3 2 3" xfId="12742" xr:uid="{24189EB3-F86C-4141-8EDE-18446DE8CAAD}"/>
    <cellStyle name="Currency 5 5 2 3 3" xfId="5488" xr:uid="{00000000-0005-0000-0000-0000450D0000}"/>
    <cellStyle name="Currency 5 5 2 3 3 2" xfId="14814" xr:uid="{91171522-D2FF-4082-BA99-93CAA09638AF}"/>
    <cellStyle name="Currency 5 5 2 3 4" xfId="10597" xr:uid="{CFC3CCA3-7702-4007-8C67-1FF5924D9F6F}"/>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8A8630B8-0187-48AB-8D2A-10BAD18ABCBE}"/>
    <cellStyle name="Currency 5 5 2 4 2 3" xfId="13155" xr:uid="{451A3A43-63CF-4A2E-A557-29BDA5CA988F}"/>
    <cellStyle name="Currency 5 5 2 4 3" xfId="5901" xr:uid="{00000000-0005-0000-0000-0000490D0000}"/>
    <cellStyle name="Currency 5 5 2 4 3 2" xfId="15227" xr:uid="{0CC47596-9B3D-4A10-86AA-A096EC3353D6}"/>
    <cellStyle name="Currency 5 5 2 4 4" xfId="11010" xr:uid="{DE1450CE-C075-427F-9612-8436BAECCC96}"/>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66C9CF87-A16C-406D-8FC2-FF108E1E6408}"/>
    <cellStyle name="Currency 5 5 2 5 2 3" xfId="13568" xr:uid="{41BF0BFA-198A-49A3-A692-8664F11EA779}"/>
    <cellStyle name="Currency 5 5 2 5 3" xfId="6314" xr:uid="{00000000-0005-0000-0000-00004D0D0000}"/>
    <cellStyle name="Currency 5 5 2 5 3 2" xfId="15640" xr:uid="{9AC9865E-4C01-42BD-9E58-46048917EF73}"/>
    <cellStyle name="Currency 5 5 2 5 4" xfId="11423" xr:uid="{F9C8A7F6-8870-4A7F-94F8-A349686FEDEB}"/>
    <cellStyle name="Currency 5 5 2 6" xfId="2443" xr:uid="{00000000-0005-0000-0000-00004E0D0000}"/>
    <cellStyle name="Currency 5 5 2 6 2" xfId="6727" xr:uid="{00000000-0005-0000-0000-00004F0D0000}"/>
    <cellStyle name="Currency 5 5 2 6 2 2" xfId="16053" xr:uid="{D21B99AE-2990-4725-8672-EAFCD65BB0BD}"/>
    <cellStyle name="Currency 5 5 2 6 3" xfId="11836" xr:uid="{66C5FCED-3578-4CF9-A7F7-EC4F8CE88664}"/>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4B400BC3-29FB-43A0-9882-97FD6FBD2AE7}"/>
    <cellStyle name="Currency 5 5 2 8 3" xfId="12153" xr:uid="{046C7C4B-A68E-4278-9341-4A8F5A6D253C}"/>
    <cellStyle name="Currency 5 5 2 9" xfId="4661" xr:uid="{00000000-0005-0000-0000-0000530D0000}"/>
    <cellStyle name="Currency 5 5 2 9 2" xfId="13987" xr:uid="{A8247505-807B-4BFC-883E-3A3ADE522E99}"/>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B5D5320E-E12C-4F9C-BC05-A17A45967351}"/>
    <cellStyle name="Currency 5 5 3 2 3" xfId="12328" xr:uid="{9A0E3EB2-C967-4C09-A604-D6349925B292}"/>
    <cellStyle name="Currency 5 5 3 3" xfId="5074" xr:uid="{00000000-0005-0000-0000-0000570D0000}"/>
    <cellStyle name="Currency 5 5 3 3 2" xfId="14400" xr:uid="{CFAAB448-62EA-450F-98A0-FCC2B0A6A741}"/>
    <cellStyle name="Currency 5 5 3 4" xfId="9275" xr:uid="{54783F20-34E5-4A58-80AE-EC7CC69A89C9}"/>
    <cellStyle name="Currency 5 5 3 4 2" xfId="18590" xr:uid="{94EA5819-E03E-4C5D-B91D-9B636FE55948}"/>
    <cellStyle name="Currency 5 5 3 5" xfId="10183" xr:uid="{5D6F5E5A-F58D-4EE6-B882-337B5FB0989C}"/>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99640E5C-E3AE-4BC0-9233-337C9B626BCC}"/>
    <cellStyle name="Currency 5 5 4 2 3" xfId="12741" xr:uid="{1234D7F7-242E-4DAD-9328-15F7F64FD709}"/>
    <cellStyle name="Currency 5 5 4 3" xfId="5487" xr:uid="{00000000-0005-0000-0000-00005B0D0000}"/>
    <cellStyle name="Currency 5 5 4 3 2" xfId="14813" xr:uid="{20779545-4F5E-4A0E-BBE8-D905643DC835}"/>
    <cellStyle name="Currency 5 5 4 4" xfId="10596" xr:uid="{26E2CCB9-F6C9-4B35-AF75-09677019CC76}"/>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479DFA2A-C274-4EDC-8938-C5435A2AD5AB}"/>
    <cellStyle name="Currency 5 5 5 2 3" xfId="13154" xr:uid="{EB70FEAC-69CC-427D-88AB-2624B620FB84}"/>
    <cellStyle name="Currency 5 5 5 3" xfId="5900" xr:uid="{00000000-0005-0000-0000-00005F0D0000}"/>
    <cellStyle name="Currency 5 5 5 3 2" xfId="15226" xr:uid="{B9E7B3A9-97C5-4056-9881-2EFAC4A0449F}"/>
    <cellStyle name="Currency 5 5 5 4" xfId="11009" xr:uid="{BFF3B02A-B37F-4A63-B419-40172DE65636}"/>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FF7F898B-6268-4B88-93E6-3C21F6797723}"/>
    <cellStyle name="Currency 5 5 6 2 3" xfId="13567" xr:uid="{7F826CC7-06F3-4CA1-AE9F-8D96C53CC994}"/>
    <cellStyle name="Currency 5 5 6 3" xfId="6313" xr:uid="{00000000-0005-0000-0000-0000630D0000}"/>
    <cellStyle name="Currency 5 5 6 3 2" xfId="15639" xr:uid="{8888FC91-DE85-4BD6-9901-761846FE637A}"/>
    <cellStyle name="Currency 5 5 6 4" xfId="11422" xr:uid="{202D5EC5-1C2F-4D13-AFC8-AF9C9283DDB6}"/>
    <cellStyle name="Currency 5 5 7" xfId="2442" xr:uid="{00000000-0005-0000-0000-0000640D0000}"/>
    <cellStyle name="Currency 5 5 7 2" xfId="6726" xr:uid="{00000000-0005-0000-0000-0000650D0000}"/>
    <cellStyle name="Currency 5 5 7 2 2" xfId="16052" xr:uid="{8F347E02-D077-49C8-A2C4-1E3563268A99}"/>
    <cellStyle name="Currency 5 5 7 3" xfId="11835" xr:uid="{9B528B42-9DE1-4A09-85F4-E6438DCF3431}"/>
    <cellStyle name="Currency 5 5 8" xfId="2739" xr:uid="{00000000-0005-0000-0000-0000660D0000}"/>
    <cellStyle name="Currency 5 5 9" xfId="2820" xr:uid="{00000000-0005-0000-0000-0000670D0000}"/>
    <cellStyle name="Currency 5 5 9 2" xfId="7043" xr:uid="{00000000-0005-0000-0000-0000680D0000}"/>
    <cellStyle name="Currency 5 5 9 2 2" xfId="16369" xr:uid="{7CBDAF06-BD7C-4AFB-A4A4-5FF11DF2CA3B}"/>
    <cellStyle name="Currency 5 5 9 3" xfId="12152" xr:uid="{A63A113E-7549-426D-82CC-9051D1ED820B}"/>
    <cellStyle name="Currency 5 6" xfId="221" xr:uid="{00000000-0005-0000-0000-0000690D0000}"/>
    <cellStyle name="Currency 5 6 10" xfId="8966" xr:uid="{EC95BD1E-EAA8-4043-BDA7-06F3BBDBC3D5}"/>
    <cellStyle name="Currency 5 6 10 2" xfId="18290" xr:uid="{67B3504F-AB97-43F5-8294-1E1E7C39A920}"/>
    <cellStyle name="Currency 5 6 11" xfId="9771" xr:uid="{3075EFB6-CB2E-4845-95C1-DB9367D7A0A4}"/>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B1F71663-1980-4BC2-A57E-783053FE96B2}"/>
    <cellStyle name="Currency 5 6 2 2 3" xfId="12330" xr:uid="{B34620F8-E177-4BF1-8252-EDE156F66557}"/>
    <cellStyle name="Currency 5 6 2 3" xfId="5076" xr:uid="{00000000-0005-0000-0000-00006D0D0000}"/>
    <cellStyle name="Currency 5 6 2 3 2" xfId="14402" xr:uid="{BCC10A21-BB8C-48D7-8778-E12DFF721437}"/>
    <cellStyle name="Currency 5 6 2 4" xfId="9391" xr:uid="{8CBF3F74-51EC-4402-B96A-0759E6537FC7}"/>
    <cellStyle name="Currency 5 6 2 4 2" xfId="18706" xr:uid="{2163F002-6493-406A-8E37-2ACBA1DA7829}"/>
    <cellStyle name="Currency 5 6 2 5" xfId="10185" xr:uid="{300E68DC-749F-4CC7-ABF5-812F51D831B0}"/>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AF14618F-7ABC-4157-958E-37D2F430A194}"/>
    <cellStyle name="Currency 5 6 3 2 3" xfId="12743" xr:uid="{E61D883D-1781-494C-9D50-22B270C1214A}"/>
    <cellStyle name="Currency 5 6 3 3" xfId="5489" xr:uid="{00000000-0005-0000-0000-0000710D0000}"/>
    <cellStyle name="Currency 5 6 3 3 2" xfId="14815" xr:uid="{13C0D8AD-7206-4FC5-80F2-F7932E695AC4}"/>
    <cellStyle name="Currency 5 6 3 4" xfId="10598" xr:uid="{200F18D2-B5FB-4356-AD28-301FF0436AEC}"/>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B84EDBC9-E375-47FE-9856-0E2C76844670}"/>
    <cellStyle name="Currency 5 6 4 2 3" xfId="13156" xr:uid="{AD0D9287-3E23-4860-80F2-5E4E60C24D64}"/>
    <cellStyle name="Currency 5 6 4 3" xfId="5902" xr:uid="{00000000-0005-0000-0000-0000750D0000}"/>
    <cellStyle name="Currency 5 6 4 3 2" xfId="15228" xr:uid="{9FBA6248-57A4-4DA0-99D2-5FD1B9B5473E}"/>
    <cellStyle name="Currency 5 6 4 4" xfId="11011" xr:uid="{2B4A30CA-9BEC-4815-BC20-498224035415}"/>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35B23B19-9D2C-4145-AC75-088B4582A5F7}"/>
    <cellStyle name="Currency 5 6 5 2 3" xfId="13569" xr:uid="{5A857BEA-5506-4CE9-9C97-22C4B8CB4AAD}"/>
    <cellStyle name="Currency 5 6 5 3" xfId="6315" xr:uid="{00000000-0005-0000-0000-0000790D0000}"/>
    <cellStyle name="Currency 5 6 5 3 2" xfId="15641" xr:uid="{75A04389-35B7-47D3-A27D-1ED3A5E0740D}"/>
    <cellStyle name="Currency 5 6 5 4" xfId="11424" xr:uid="{46F37948-A72F-4964-9FB7-288F88031DCD}"/>
    <cellStyle name="Currency 5 6 6" xfId="2444" xr:uid="{00000000-0005-0000-0000-00007A0D0000}"/>
    <cellStyle name="Currency 5 6 6 2" xfId="6728" xr:uid="{00000000-0005-0000-0000-00007B0D0000}"/>
    <cellStyle name="Currency 5 6 6 2 2" xfId="16054" xr:uid="{793798AC-9C52-447C-A9ED-876140966D6F}"/>
    <cellStyle name="Currency 5 6 6 3" xfId="11837" xr:uid="{78A2FF3A-4856-47E9-B1F0-2995A0C465F3}"/>
    <cellStyle name="Currency 5 6 7" xfId="2741" xr:uid="{00000000-0005-0000-0000-00007C0D0000}"/>
    <cellStyle name="Currency 5 6 8" xfId="2822" xr:uid="{00000000-0005-0000-0000-00007D0D0000}"/>
    <cellStyle name="Currency 5 6 8 2" xfId="7045" xr:uid="{00000000-0005-0000-0000-00007E0D0000}"/>
    <cellStyle name="Currency 5 6 8 2 2" xfId="16371" xr:uid="{0309A582-D8E1-4E6C-99A4-E548A7E7F7C2}"/>
    <cellStyle name="Currency 5 6 8 3" xfId="12154" xr:uid="{E2DDEB4F-3BAC-4575-86F6-9D88C91A28AE}"/>
    <cellStyle name="Currency 5 6 9" xfId="4662" xr:uid="{00000000-0005-0000-0000-00007F0D0000}"/>
    <cellStyle name="Currency 5 6 9 2" xfId="13988" xr:uid="{B863780E-1955-474C-A985-1DE6F1AE290A}"/>
    <cellStyle name="Currency 5 7" xfId="222" xr:uid="{00000000-0005-0000-0000-0000800D0000}"/>
    <cellStyle name="Currency 5 7 10" xfId="9169" xr:uid="{7A886DE7-136A-429E-90E2-A7C712D111D8}"/>
    <cellStyle name="Currency 5 7 10 2" xfId="18487" xr:uid="{F5B8B0D5-43DA-473B-BBE5-150F6D1D113F}"/>
    <cellStyle name="Currency 5 7 11" xfId="9772" xr:uid="{7F6B7EDE-1F30-4C7D-8DF4-E6D4178179F5}"/>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FBD0E373-1652-47CD-AE0F-1BE74ECFCE39}"/>
    <cellStyle name="Currency 5 7 2 2 3" xfId="12331" xr:uid="{C4C5EFBF-335E-47B3-BE5F-8770FF36517A}"/>
    <cellStyle name="Currency 5 7 2 3" xfId="5077" xr:uid="{00000000-0005-0000-0000-0000840D0000}"/>
    <cellStyle name="Currency 5 7 2 3 2" xfId="14403" xr:uid="{2A5D5B92-9FFE-4B09-A945-237A95B41442}"/>
    <cellStyle name="Currency 5 7 2 4" xfId="9601" xr:uid="{DC93A830-0AF1-4EC4-B764-C728922F3FEF}"/>
    <cellStyle name="Currency 5 7 2 4 2" xfId="18905" xr:uid="{2D14609A-8152-401A-9E38-815FD0D4BC81}"/>
    <cellStyle name="Currency 5 7 2 5" xfId="10186" xr:uid="{12A1AC31-F5AD-47B1-B72A-AE80D72B76F2}"/>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91381DCD-28A7-430D-A4F1-B475790759D3}"/>
    <cellStyle name="Currency 5 7 3 2 3" xfId="12744" xr:uid="{1F0BFF1E-F304-4644-9E94-AC1FB933146F}"/>
    <cellStyle name="Currency 5 7 3 3" xfId="5490" xr:uid="{00000000-0005-0000-0000-0000880D0000}"/>
    <cellStyle name="Currency 5 7 3 3 2" xfId="14816" xr:uid="{8A3D1A1D-ED51-418F-A46E-181E7CBBE926}"/>
    <cellStyle name="Currency 5 7 3 4" xfId="10599" xr:uid="{A19FCA25-301C-49A5-B6E3-E16B7563505C}"/>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F6A017A8-2216-4E4D-AFEB-0151BE2F58CB}"/>
    <cellStyle name="Currency 5 7 4 2 3" xfId="13157" xr:uid="{6785DDEA-BDE3-44A0-BE81-5508264DD724}"/>
    <cellStyle name="Currency 5 7 4 3" xfId="5903" xr:uid="{00000000-0005-0000-0000-00008C0D0000}"/>
    <cellStyle name="Currency 5 7 4 3 2" xfId="15229" xr:uid="{024DB80A-DDD7-404B-9F3B-CD7378F9E8CA}"/>
    <cellStyle name="Currency 5 7 4 4" xfId="11012" xr:uid="{88961BF1-4960-4073-BE43-57A52F7AA854}"/>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32B894A2-FFEC-4250-BD49-752909A81C0D}"/>
    <cellStyle name="Currency 5 7 5 2 3" xfId="13570" xr:uid="{A4B16713-4708-4D09-8A64-5E8CDA222B7B}"/>
    <cellStyle name="Currency 5 7 5 3" xfId="6316" xr:uid="{00000000-0005-0000-0000-0000900D0000}"/>
    <cellStyle name="Currency 5 7 5 3 2" xfId="15642" xr:uid="{930DAA6B-E595-4B48-A184-E5188ECAAC7C}"/>
    <cellStyle name="Currency 5 7 5 4" xfId="11425" xr:uid="{22FF2542-F096-4132-B011-42A241E0B6EB}"/>
    <cellStyle name="Currency 5 7 6" xfId="2445" xr:uid="{00000000-0005-0000-0000-0000910D0000}"/>
    <cellStyle name="Currency 5 7 6 2" xfId="6729" xr:uid="{00000000-0005-0000-0000-0000920D0000}"/>
    <cellStyle name="Currency 5 7 6 2 2" xfId="16055" xr:uid="{957F4B6D-BB9D-49A2-8F13-03F66625E18D}"/>
    <cellStyle name="Currency 5 7 6 3" xfId="11838" xr:uid="{98F1580B-76DC-4189-917F-60AB887E834E}"/>
    <cellStyle name="Currency 5 7 7" xfId="2742" xr:uid="{00000000-0005-0000-0000-0000930D0000}"/>
    <cellStyle name="Currency 5 7 8" xfId="2823" xr:uid="{00000000-0005-0000-0000-0000940D0000}"/>
    <cellStyle name="Currency 5 7 8 2" xfId="7046" xr:uid="{00000000-0005-0000-0000-0000950D0000}"/>
    <cellStyle name="Currency 5 7 8 2 2" xfId="16372" xr:uid="{4A2E4745-5473-41ED-8725-6D4E61E6691F}"/>
    <cellStyle name="Currency 5 7 8 3" xfId="12155" xr:uid="{9E0B0F96-1626-4C79-936F-CA736256F1FF}"/>
    <cellStyle name="Currency 5 7 9" xfId="4663" xr:uid="{00000000-0005-0000-0000-0000960D0000}"/>
    <cellStyle name="Currency 5 7 9 2" xfId="13989" xr:uid="{6A03A639-2D02-46C9-BE1B-6AAE791D63C4}"/>
    <cellStyle name="Currency 5 8" xfId="721" xr:uid="{00000000-0005-0000-0000-0000970D0000}"/>
    <cellStyle name="Currency 5 9" xfId="8747" xr:uid="{CCFF1C6E-BA46-44B7-A8DD-B170160D04FF}"/>
    <cellStyle name="Currency 5 9 2" xfId="18071" xr:uid="{1BB09CD6-BA8C-44FA-AD1B-F8D924A3F2E8}"/>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24D67793-D04F-4FA2-9317-F0C46F32DD74}"/>
    <cellStyle name="Normal 12 10 3" xfId="11839" xr:uid="{314F7174-4245-49FB-B1DB-F44D3E7825B1}"/>
    <cellStyle name="Normal 12 11" xfId="4664" xr:uid="{00000000-0005-0000-0000-0000CC0D0000}"/>
    <cellStyle name="Normal 12 11 2" xfId="13990" xr:uid="{DD17A7F7-78D1-4154-AA1F-5C9C8E6B12EF}"/>
    <cellStyle name="Normal 12 12" xfId="8770" xr:uid="{16E7F001-A88D-4413-825E-78352A31064A}"/>
    <cellStyle name="Normal 12 12 2" xfId="18094" xr:uid="{6E59EB63-B3DA-4CFD-B250-2ED843A64ECF}"/>
    <cellStyle name="Normal 12 13" xfId="9773" xr:uid="{AE0D26A6-6EA8-4FEE-BA60-EEDB538B7981}"/>
    <cellStyle name="Normal 12 2" xfId="260" xr:uid="{00000000-0005-0000-0000-0000CD0D0000}"/>
    <cellStyle name="Normal 12 2 10" xfId="8811" xr:uid="{C610EFA7-DF28-475D-A7AA-61B6675A083B}"/>
    <cellStyle name="Normal 12 2 10 2" xfId="18135" xr:uid="{E765255A-DD70-4740-BEA0-76A6BC45BE2F}"/>
    <cellStyle name="Normal 12 2 11" xfId="9774" xr:uid="{B2F8C482-69E6-4BBF-895D-7450246FC98A}"/>
    <cellStyle name="Normal 12 2 2" xfId="261" xr:uid="{00000000-0005-0000-0000-0000CE0D0000}"/>
    <cellStyle name="Normal 12 2 2 10" xfId="9775" xr:uid="{8B527046-7DF2-4CF6-877D-54D8656471B7}"/>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FD8D2FF1-A2A1-48E7-ACF2-1509809A2449}"/>
    <cellStyle name="Normal 12 2 2 2 2 2 3" xfId="12335" xr:uid="{1F79EA62-36B3-4202-AC0C-BD1C73A5F779}"/>
    <cellStyle name="Normal 12 2 2 2 2 3" xfId="5081" xr:uid="{00000000-0005-0000-0000-0000D30D0000}"/>
    <cellStyle name="Normal 12 2 2 2 2 3 2" xfId="14407" xr:uid="{B3A5CA8C-F180-4868-9EC5-C47A8104C29E}"/>
    <cellStyle name="Normal 12 2 2 2 2 4" xfId="9546" xr:uid="{609DE280-4DA3-4355-9F1C-9E01708347EA}"/>
    <cellStyle name="Normal 12 2 2 2 2 4 2" xfId="18861" xr:uid="{3B1ED5BF-4E0B-46C5-BA01-2D6FB5899C7B}"/>
    <cellStyle name="Normal 12 2 2 2 2 5" xfId="10190" xr:uid="{CE29B9AD-B869-438D-A813-71C67740D280}"/>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E7B34FE0-5DF8-4946-B1B7-22CDA530FA5E}"/>
    <cellStyle name="Normal 12 2 2 2 3 2 3" xfId="12748" xr:uid="{9EF50421-0FDA-4F44-A9BE-48FAA814FA78}"/>
    <cellStyle name="Normal 12 2 2 2 3 3" xfId="5494" xr:uid="{00000000-0005-0000-0000-0000D70D0000}"/>
    <cellStyle name="Normal 12 2 2 2 3 3 2" xfId="14820" xr:uid="{A5D10E40-03BD-44F7-9A6C-0E33A9E47BC7}"/>
    <cellStyle name="Normal 12 2 2 2 3 4" xfId="10603" xr:uid="{F5902586-B82C-40E0-BE24-E745C65C768D}"/>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BD4626E7-D7F4-456F-8F30-02BD6A0D993C}"/>
    <cellStyle name="Normal 12 2 2 2 4 2 3" xfId="13161" xr:uid="{3870E04F-DC68-43B9-A649-6E860EA18517}"/>
    <cellStyle name="Normal 12 2 2 2 4 3" xfId="5907" xr:uid="{00000000-0005-0000-0000-0000DB0D0000}"/>
    <cellStyle name="Normal 12 2 2 2 4 3 2" xfId="15233" xr:uid="{69A78354-6476-4252-A32E-7D69A9C6C20B}"/>
    <cellStyle name="Normal 12 2 2 2 4 4" xfId="11016" xr:uid="{1CE5AEE6-93A4-423E-8DEA-E5285013873E}"/>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D938D4A1-463D-470A-A6E6-984FABC088D8}"/>
    <cellStyle name="Normal 12 2 2 2 5 2 3" xfId="13574" xr:uid="{6D803D9F-7178-4AA6-B1EB-8562ABED9E5F}"/>
    <cellStyle name="Normal 12 2 2 2 5 3" xfId="6320" xr:uid="{00000000-0005-0000-0000-0000DF0D0000}"/>
    <cellStyle name="Normal 12 2 2 2 5 3 2" xfId="15646" xr:uid="{CFB78DF9-836D-409E-92E5-3B103A0C5A63}"/>
    <cellStyle name="Normal 12 2 2 2 5 4" xfId="11429" xr:uid="{BA40D2B6-34D3-48F4-9DDB-D09E4BF9A181}"/>
    <cellStyle name="Normal 12 2 2 2 6" xfId="2450" xr:uid="{00000000-0005-0000-0000-0000E00D0000}"/>
    <cellStyle name="Normal 12 2 2 2 6 2" xfId="6733" xr:uid="{00000000-0005-0000-0000-0000E10D0000}"/>
    <cellStyle name="Normal 12 2 2 2 6 2 2" xfId="16059" xr:uid="{AD33BEFD-E655-4178-935A-DDB8645B71AD}"/>
    <cellStyle name="Normal 12 2 2 2 6 3" xfId="11842" xr:uid="{799D8BBC-0433-43EA-A84A-6B1F6C8A57C4}"/>
    <cellStyle name="Normal 12 2 2 2 7" xfId="4667" xr:uid="{00000000-0005-0000-0000-0000E20D0000}"/>
    <cellStyle name="Normal 12 2 2 2 7 2" xfId="13993" xr:uid="{A513CDF9-B62E-4D49-98A4-DD19689216E2}"/>
    <cellStyle name="Normal 12 2 2 2 8" xfId="9121" xr:uid="{527C15BB-BE4D-46AB-9317-CC8E6838C91D}"/>
    <cellStyle name="Normal 12 2 2 2 8 2" xfId="18445" xr:uid="{1231D983-D094-41B1-9D47-E560973503A4}"/>
    <cellStyle name="Normal 12 2 2 2 9" xfId="9776" xr:uid="{A7E70FDE-7B98-41A6-ACD9-AAD86E017697}"/>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AFEF7241-F0DB-4FC1-8734-EE4F000DE9F3}"/>
    <cellStyle name="Normal 12 2 2 3 2 3" xfId="12334" xr:uid="{21A19B9F-BD78-4728-AABB-8BEF0649F027}"/>
    <cellStyle name="Normal 12 2 2 3 3" xfId="5080" xr:uid="{00000000-0005-0000-0000-0000E60D0000}"/>
    <cellStyle name="Normal 12 2 2 3 3 2" xfId="14406" xr:uid="{4B0056E8-7413-43EB-BA6F-BAAA6F8AC729}"/>
    <cellStyle name="Normal 12 2 2 3 4" xfId="9339" xr:uid="{F3F800C1-92DF-4F1F-A561-C3F3C7F8BAD1}"/>
    <cellStyle name="Normal 12 2 2 3 4 2" xfId="18654" xr:uid="{BBBC0882-A1CB-4513-89E7-23E88EDD0C82}"/>
    <cellStyle name="Normal 12 2 2 3 5" xfId="10189" xr:uid="{7C03D5EF-8B12-49DB-83A6-C8B4167E0202}"/>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696B78FC-07AA-4670-9AF8-01BE1C728BE3}"/>
    <cellStyle name="Normal 12 2 2 4 2 3" xfId="12747" xr:uid="{28EAA799-3D0A-4E43-88C2-28DD4F85128A}"/>
    <cellStyle name="Normal 12 2 2 4 3" xfId="5493" xr:uid="{00000000-0005-0000-0000-0000EA0D0000}"/>
    <cellStyle name="Normal 12 2 2 4 3 2" xfId="14819" xr:uid="{1B66137C-1012-4185-AAF3-0BDED4C92891}"/>
    <cellStyle name="Normal 12 2 2 4 4" xfId="10602" xr:uid="{5D9C44DB-19AC-4FE0-BC00-D36832B6DAB0}"/>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8269D2E0-6C51-420F-8A10-16F3ABEC5BC9}"/>
    <cellStyle name="Normal 12 2 2 5 2 3" xfId="13160" xr:uid="{B00C885C-DE5B-4A26-B9B6-1ACE2E03FF0A}"/>
    <cellStyle name="Normal 12 2 2 5 3" xfId="5906" xr:uid="{00000000-0005-0000-0000-0000EE0D0000}"/>
    <cellStyle name="Normal 12 2 2 5 3 2" xfId="15232" xr:uid="{01BEDB99-8CE8-45BE-8E38-83C74B6E8A59}"/>
    <cellStyle name="Normal 12 2 2 5 4" xfId="11015" xr:uid="{E242AF55-FF3D-4F3C-AB05-2C9F54B2BC93}"/>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3BC35799-C706-40FD-84A1-1BA65157186B}"/>
    <cellStyle name="Normal 12 2 2 6 2 3" xfId="13573" xr:uid="{F3E4738D-814B-4AC9-A3AC-5F11B28F5404}"/>
    <cellStyle name="Normal 12 2 2 6 3" xfId="6319" xr:uid="{00000000-0005-0000-0000-0000F20D0000}"/>
    <cellStyle name="Normal 12 2 2 6 3 2" xfId="15645" xr:uid="{896D29FD-6C90-4AFE-A02E-EB18E6A3E643}"/>
    <cellStyle name="Normal 12 2 2 6 4" xfId="11428" xr:uid="{BA1C819E-25C4-42BC-8754-6D7BACDE5D61}"/>
    <cellStyle name="Normal 12 2 2 7" xfId="2449" xr:uid="{00000000-0005-0000-0000-0000F30D0000}"/>
    <cellStyle name="Normal 12 2 2 7 2" xfId="6732" xr:uid="{00000000-0005-0000-0000-0000F40D0000}"/>
    <cellStyle name="Normal 12 2 2 7 2 2" xfId="16058" xr:uid="{03C5A67D-7FB7-4AEE-A3F8-53E8F5810F68}"/>
    <cellStyle name="Normal 12 2 2 7 3" xfId="11841" xr:uid="{4C2A169B-5067-4978-9831-FB6D4024AA10}"/>
    <cellStyle name="Normal 12 2 2 8" xfId="4666" xr:uid="{00000000-0005-0000-0000-0000F50D0000}"/>
    <cellStyle name="Normal 12 2 2 8 2" xfId="13992" xr:uid="{92691EE7-BAF4-42B7-9D94-191DE485E262}"/>
    <cellStyle name="Normal 12 2 2 9" xfId="8914" xr:uid="{85903DBC-FA0A-4A9D-9FB4-BA36A4B6F510}"/>
    <cellStyle name="Normal 12 2 2 9 2" xfId="18238" xr:uid="{BAA3E697-268F-452B-BB61-5AF340310F09}"/>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51B67C55-7076-4008-92C9-4A73918E6434}"/>
    <cellStyle name="Normal 12 2 3 2 2 3" xfId="12336" xr:uid="{AED8F055-F396-483E-9367-3E7D9B287CFB}"/>
    <cellStyle name="Normal 12 2 3 2 3" xfId="5082" xr:uid="{00000000-0005-0000-0000-0000FA0D0000}"/>
    <cellStyle name="Normal 12 2 3 2 3 2" xfId="14408" xr:uid="{89BAC3EA-CBF8-4815-9E30-3DD81DA988FD}"/>
    <cellStyle name="Normal 12 2 3 2 4" xfId="9443" xr:uid="{61F0A971-1285-4215-8170-49D07520551A}"/>
    <cellStyle name="Normal 12 2 3 2 4 2" xfId="18758" xr:uid="{639F8B3A-EFB9-4E2A-B237-8E3429B8316E}"/>
    <cellStyle name="Normal 12 2 3 2 5" xfId="10191" xr:uid="{5EB047E5-B8AD-4E95-BC29-000E889E097F}"/>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1DEBA9FD-D38C-4B71-A0D8-DB9B5A5FA7B8}"/>
    <cellStyle name="Normal 12 2 3 3 2 3" xfId="12749" xr:uid="{886859EE-CD66-49B8-B9ED-E45F86855436}"/>
    <cellStyle name="Normal 12 2 3 3 3" xfId="5495" xr:uid="{00000000-0005-0000-0000-0000FE0D0000}"/>
    <cellStyle name="Normal 12 2 3 3 3 2" xfId="14821" xr:uid="{C615932A-A330-4F5E-97AB-EB9640B085EE}"/>
    <cellStyle name="Normal 12 2 3 3 4" xfId="10604" xr:uid="{E1D61CF3-4D34-499E-8A32-434CAE829AFF}"/>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851CD830-D5DC-4847-92DA-24E23338C3A4}"/>
    <cellStyle name="Normal 12 2 3 4 2 3" xfId="13162" xr:uid="{53820D51-91ED-4FF7-BB8F-D247AAC25B77}"/>
    <cellStyle name="Normal 12 2 3 4 3" xfId="5908" xr:uid="{00000000-0005-0000-0000-0000020E0000}"/>
    <cellStyle name="Normal 12 2 3 4 3 2" xfId="15234" xr:uid="{BE253B15-E2C9-4EFD-9A8F-D150FFDAF99B}"/>
    <cellStyle name="Normal 12 2 3 4 4" xfId="11017" xr:uid="{0CB9AA1B-EC19-4982-B9C7-3831DD6FA2F2}"/>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D2D48E09-1369-4E51-B262-FB2F393E6D3A}"/>
    <cellStyle name="Normal 12 2 3 5 2 3" xfId="13575" xr:uid="{FBD11088-84A3-4C37-981F-547B9BCC89FE}"/>
    <cellStyle name="Normal 12 2 3 5 3" xfId="6321" xr:uid="{00000000-0005-0000-0000-0000060E0000}"/>
    <cellStyle name="Normal 12 2 3 5 3 2" xfId="15647" xr:uid="{EE186169-5313-4636-AD01-8EAC5495EF4E}"/>
    <cellStyle name="Normal 12 2 3 5 4" xfId="11430" xr:uid="{BA5D7143-5E46-49E3-9999-8729CE4F23AB}"/>
    <cellStyle name="Normal 12 2 3 6" xfId="2451" xr:uid="{00000000-0005-0000-0000-0000070E0000}"/>
    <cellStyle name="Normal 12 2 3 6 2" xfId="6734" xr:uid="{00000000-0005-0000-0000-0000080E0000}"/>
    <cellStyle name="Normal 12 2 3 6 2 2" xfId="16060" xr:uid="{37ED0644-471E-4DC1-9CE3-02F770300455}"/>
    <cellStyle name="Normal 12 2 3 6 3" xfId="11843" xr:uid="{652B6F93-892A-4543-B67C-47746916449F}"/>
    <cellStyle name="Normal 12 2 3 7" xfId="4668" xr:uid="{00000000-0005-0000-0000-0000090E0000}"/>
    <cellStyle name="Normal 12 2 3 7 2" xfId="13994" xr:uid="{3D75B5F2-EB69-42AC-958F-707522F255F3}"/>
    <cellStyle name="Normal 12 2 3 8" xfId="9018" xr:uid="{C3F41DC6-3A80-4145-A68D-169ABB54B6D0}"/>
    <cellStyle name="Normal 12 2 3 8 2" xfId="18342" xr:uid="{03A0B957-A3EC-45F8-B71A-898D9F245324}"/>
    <cellStyle name="Normal 12 2 3 9" xfId="9777" xr:uid="{815F6A94-5A64-4F57-8695-2A3304BD8ABF}"/>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61724581-1774-4C81-BC7C-FBC718395F72}"/>
    <cellStyle name="Normal 12 2 4 2 3" xfId="12333" xr:uid="{2497C2AF-EE3E-4404-A0F5-5C87613BD488}"/>
    <cellStyle name="Normal 12 2 4 3" xfId="5079" xr:uid="{00000000-0005-0000-0000-00000D0E0000}"/>
    <cellStyle name="Normal 12 2 4 3 2" xfId="14405" xr:uid="{EB2202A5-2761-4F92-B102-1EE803B91868}"/>
    <cellStyle name="Normal 12 2 4 4" xfId="9236" xr:uid="{C3D0196D-4BB3-4870-9762-A3CF40E5B45B}"/>
    <cellStyle name="Normal 12 2 4 4 2" xfId="18551" xr:uid="{BEAF8932-3FE0-4FC3-A1FD-DF26BECCD8A4}"/>
    <cellStyle name="Normal 12 2 4 5" xfId="10188" xr:uid="{9EAC518D-59A8-40CB-9EBA-6AC5E5928E5D}"/>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668EA13C-5D4B-4E3C-82BB-C73EB3AC80F1}"/>
    <cellStyle name="Normal 12 2 5 2 3" xfId="12746" xr:uid="{4B07D59F-FB42-4F1C-BDDD-D88CCDEA8ECE}"/>
    <cellStyle name="Normal 12 2 5 3" xfId="5492" xr:uid="{00000000-0005-0000-0000-0000110E0000}"/>
    <cellStyle name="Normal 12 2 5 3 2" xfId="14818" xr:uid="{B3282540-1D47-48FE-9365-77BC4811EFE2}"/>
    <cellStyle name="Normal 12 2 5 4" xfId="10601" xr:uid="{510E98BB-D815-45E3-804C-76EE6754AEEF}"/>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6F3A213C-3413-4661-9295-241B423B47AD}"/>
    <cellStyle name="Normal 12 2 6 2 3" xfId="13159" xr:uid="{A67F002C-9426-4538-92CB-EA8784E466B7}"/>
    <cellStyle name="Normal 12 2 6 3" xfId="5905" xr:uid="{00000000-0005-0000-0000-0000150E0000}"/>
    <cellStyle name="Normal 12 2 6 3 2" xfId="15231" xr:uid="{4028AEF9-7A4B-47DD-AA0A-ADF2E4C28F2D}"/>
    <cellStyle name="Normal 12 2 6 4" xfId="11014" xr:uid="{1C925FFB-D51A-4880-8352-D1F9BF13FD70}"/>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DAB75335-2773-4B4C-8F83-8CFB43650F69}"/>
    <cellStyle name="Normal 12 2 7 2 3" xfId="13572" xr:uid="{6C8ACEAB-23F8-43A4-88F4-8004E4D3E83D}"/>
    <cellStyle name="Normal 12 2 7 3" xfId="6318" xr:uid="{00000000-0005-0000-0000-0000190E0000}"/>
    <cellStyle name="Normal 12 2 7 3 2" xfId="15644" xr:uid="{3A5996B9-4983-41DF-BDBF-FE00E20052C6}"/>
    <cellStyle name="Normal 12 2 7 4" xfId="11427" xr:uid="{538D5977-BB35-4742-9DEB-8BF098896293}"/>
    <cellStyle name="Normal 12 2 8" xfId="2448" xr:uid="{00000000-0005-0000-0000-00001A0E0000}"/>
    <cellStyle name="Normal 12 2 8 2" xfId="6731" xr:uid="{00000000-0005-0000-0000-00001B0E0000}"/>
    <cellStyle name="Normal 12 2 8 2 2" xfId="16057" xr:uid="{6AA95E2B-CF58-4C3E-89BC-092AAE55C067}"/>
    <cellStyle name="Normal 12 2 8 3" xfId="11840" xr:uid="{1D27995F-D533-4119-B345-7E1E5C141E85}"/>
    <cellStyle name="Normal 12 2 9" xfId="4665" xr:uid="{00000000-0005-0000-0000-00001C0E0000}"/>
    <cellStyle name="Normal 12 2 9 2" xfId="13991" xr:uid="{FC1FE25F-7A68-4ABD-BB56-58EEBC5A0C6A}"/>
    <cellStyle name="Normal 12 3" xfId="264" xr:uid="{00000000-0005-0000-0000-00001D0E0000}"/>
    <cellStyle name="Normal 12 3 10" xfId="9778" xr:uid="{B44C9DA6-2416-40BC-AC25-E823C05922E3}"/>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73561807-9127-4228-B33D-663AA354F21F}"/>
    <cellStyle name="Normal 12 3 2 2 2 3" xfId="12338" xr:uid="{CD3AD8F1-20E0-4189-9364-FD85E9A696E1}"/>
    <cellStyle name="Normal 12 3 2 2 3" xfId="5084" xr:uid="{00000000-0005-0000-0000-0000220E0000}"/>
    <cellStyle name="Normal 12 3 2 2 3 2" xfId="14410" xr:uid="{430BD3B7-C8AA-42A2-9F94-8522534E53C6}"/>
    <cellStyle name="Normal 12 3 2 2 4" xfId="9505" xr:uid="{B127619B-367D-40AD-851E-01DDBB2DCD13}"/>
    <cellStyle name="Normal 12 3 2 2 4 2" xfId="18820" xr:uid="{32EAD526-E781-4A87-83CE-A3EC83854484}"/>
    <cellStyle name="Normal 12 3 2 2 5" xfId="10193" xr:uid="{F07104BE-CE34-44EC-82C9-CB8103B00F5A}"/>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02DAAC0F-A6D0-4625-8A1B-424624980B23}"/>
    <cellStyle name="Normal 12 3 2 3 2 3" xfId="12751" xr:uid="{5143FFAB-0CFF-4A96-86EC-0ABB007CC1B1}"/>
    <cellStyle name="Normal 12 3 2 3 3" xfId="5497" xr:uid="{00000000-0005-0000-0000-0000260E0000}"/>
    <cellStyle name="Normal 12 3 2 3 3 2" xfId="14823" xr:uid="{DD587F2E-1778-4757-9E6A-FEF0D4AB0D2A}"/>
    <cellStyle name="Normal 12 3 2 3 4" xfId="10606" xr:uid="{B2DDEA98-AE2E-495D-8F5B-488904A1EDEE}"/>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6CBF9404-6C0A-4AFA-8F4F-DFA8280FCBDB}"/>
    <cellStyle name="Normal 12 3 2 4 2 3" xfId="13164" xr:uid="{5B6CEC4B-28C5-4AC9-BA17-45D52897E20B}"/>
    <cellStyle name="Normal 12 3 2 4 3" xfId="5910" xr:uid="{00000000-0005-0000-0000-00002A0E0000}"/>
    <cellStyle name="Normal 12 3 2 4 3 2" xfId="15236" xr:uid="{C459D8BF-B8F0-4BA3-95CF-57075C40AEED}"/>
    <cellStyle name="Normal 12 3 2 4 4" xfId="11019" xr:uid="{8FFC05A9-C2AA-4C17-9BA4-E209AF5D0232}"/>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9248AEC6-9075-416D-8628-F29A3C7B7524}"/>
    <cellStyle name="Normal 12 3 2 5 2 3" xfId="13577" xr:uid="{E877FEBA-31B8-49F6-B014-2E562DC96CC7}"/>
    <cellStyle name="Normal 12 3 2 5 3" xfId="6323" xr:uid="{00000000-0005-0000-0000-00002E0E0000}"/>
    <cellStyle name="Normal 12 3 2 5 3 2" xfId="15649" xr:uid="{162F347B-C720-4F63-9250-D32D63F1C50E}"/>
    <cellStyle name="Normal 12 3 2 5 4" xfId="11432" xr:uid="{26521469-9A73-48F9-9896-BF0A046A9F87}"/>
    <cellStyle name="Normal 12 3 2 6" xfId="2453" xr:uid="{00000000-0005-0000-0000-00002F0E0000}"/>
    <cellStyle name="Normal 12 3 2 6 2" xfId="6736" xr:uid="{00000000-0005-0000-0000-0000300E0000}"/>
    <cellStyle name="Normal 12 3 2 6 2 2" xfId="16062" xr:uid="{531B4267-00B0-4E90-B3A0-1B554C026D32}"/>
    <cellStyle name="Normal 12 3 2 6 3" xfId="11845" xr:uid="{60422F67-37F6-4B54-AD31-D94F6BF9810D}"/>
    <cellStyle name="Normal 12 3 2 7" xfId="4670" xr:uid="{00000000-0005-0000-0000-0000310E0000}"/>
    <cellStyle name="Normal 12 3 2 7 2" xfId="13996" xr:uid="{C7EDBC13-3029-499F-BB48-1EFD2F46D216}"/>
    <cellStyle name="Normal 12 3 2 8" xfId="9080" xr:uid="{403F3083-4A9F-4295-B676-C31241B8936E}"/>
    <cellStyle name="Normal 12 3 2 8 2" xfId="18404" xr:uid="{99BE6DFA-DD8F-4521-9D28-50BA8D4C060C}"/>
    <cellStyle name="Normal 12 3 2 9" xfId="9779" xr:uid="{0B8EEB6F-A3DC-4491-AF71-8AB78B439B87}"/>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2D1CBED2-8E70-40B7-9BFD-23EECDA924B6}"/>
    <cellStyle name="Normal 12 3 3 2 3" xfId="12337" xr:uid="{C5FA3335-9799-4B8E-A58C-5B629C7B9854}"/>
    <cellStyle name="Normal 12 3 3 3" xfId="5083" xr:uid="{00000000-0005-0000-0000-0000350E0000}"/>
    <cellStyle name="Normal 12 3 3 3 2" xfId="14409" xr:uid="{5DF159E8-FF87-4027-AD38-7EBB5C02B452}"/>
    <cellStyle name="Normal 12 3 3 4" xfId="9298" xr:uid="{A6F9D711-F86A-406D-B160-91678C261745}"/>
    <cellStyle name="Normal 12 3 3 4 2" xfId="18613" xr:uid="{235D340C-5FDC-483E-B75E-9309D0FED421}"/>
    <cellStyle name="Normal 12 3 3 5" xfId="10192" xr:uid="{AE9CA60A-509D-4B02-BADE-3BFDD17D7221}"/>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28E2AA41-8B44-4842-BA67-4650A36A3AD6}"/>
    <cellStyle name="Normal 12 3 4 2 3" xfId="12750" xr:uid="{C50BFD8F-012F-4DF8-A9F2-5CEC7FFAC697}"/>
    <cellStyle name="Normal 12 3 4 3" xfId="5496" xr:uid="{00000000-0005-0000-0000-0000390E0000}"/>
    <cellStyle name="Normal 12 3 4 3 2" xfId="14822" xr:uid="{89F3E011-B153-4DF6-A2BF-ED5C38B97C77}"/>
    <cellStyle name="Normal 12 3 4 4" xfId="10605" xr:uid="{09E8AB1E-6F8B-434D-8D05-B1FEB60CBD07}"/>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D6748918-B216-4DF1-9651-55797FC0F940}"/>
    <cellStyle name="Normal 12 3 5 2 3" xfId="13163" xr:uid="{C3188C0F-EA05-4C26-AEF6-D20656433670}"/>
    <cellStyle name="Normal 12 3 5 3" xfId="5909" xr:uid="{00000000-0005-0000-0000-00003D0E0000}"/>
    <cellStyle name="Normal 12 3 5 3 2" xfId="15235" xr:uid="{144FA95E-DC50-4A00-8776-85BEF095D376}"/>
    <cellStyle name="Normal 12 3 5 4" xfId="11018" xr:uid="{ACD763EE-F704-4DC1-8FD9-E7E42D52C929}"/>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3E1DA25C-15F6-48FC-BCAD-E7A5FBE58E9F}"/>
    <cellStyle name="Normal 12 3 6 2 3" xfId="13576" xr:uid="{6E3AA63E-0A46-4114-89A4-900B473ABB4E}"/>
    <cellStyle name="Normal 12 3 6 3" xfId="6322" xr:uid="{00000000-0005-0000-0000-0000410E0000}"/>
    <cellStyle name="Normal 12 3 6 3 2" xfId="15648" xr:uid="{318A0DA6-A2A6-4FFD-896E-431E4EAD73B7}"/>
    <cellStyle name="Normal 12 3 6 4" xfId="11431" xr:uid="{CE351786-C38D-40B2-BEA9-E98715771F6D}"/>
    <cellStyle name="Normal 12 3 7" xfId="2452" xr:uid="{00000000-0005-0000-0000-0000420E0000}"/>
    <cellStyle name="Normal 12 3 7 2" xfId="6735" xr:uid="{00000000-0005-0000-0000-0000430E0000}"/>
    <cellStyle name="Normal 12 3 7 2 2" xfId="16061" xr:uid="{2837EB37-44DD-4452-B66D-A5A6CD642BB6}"/>
    <cellStyle name="Normal 12 3 7 3" xfId="11844" xr:uid="{B3AD46C7-8F48-44FF-8680-A10DB50B07CA}"/>
    <cellStyle name="Normal 12 3 8" xfId="4669" xr:uid="{00000000-0005-0000-0000-0000440E0000}"/>
    <cellStyle name="Normal 12 3 8 2" xfId="13995" xr:uid="{B32A9D62-BDC7-4BFC-8A7C-5228E993A8A8}"/>
    <cellStyle name="Normal 12 3 9" xfId="8873" xr:uid="{72AE7E6C-F254-4BFC-80A7-F73848FA4F21}"/>
    <cellStyle name="Normal 12 3 9 2" xfId="18197" xr:uid="{FBC0EB6E-5529-43C8-9D5F-A8E5F11443F5}"/>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9FE5EA56-2413-4DAD-A422-546A678B2C0F}"/>
    <cellStyle name="Normal 12 4 2 2 3" xfId="12339" xr:uid="{3477E534-6673-4BD7-9612-CC3469A5AD4D}"/>
    <cellStyle name="Normal 12 4 2 3" xfId="5085" xr:uid="{00000000-0005-0000-0000-0000490E0000}"/>
    <cellStyle name="Normal 12 4 2 3 2" xfId="14411" xr:uid="{BB6875E5-2FDF-4372-B99A-C6CF7F827EB4}"/>
    <cellStyle name="Normal 12 4 2 4" xfId="9402" xr:uid="{F40C9AB7-F4D0-4A65-BBAA-FF5409160FE5}"/>
    <cellStyle name="Normal 12 4 2 4 2" xfId="18717" xr:uid="{2413F047-EC7C-43FC-9D9E-3DFFAFCF8B4D}"/>
    <cellStyle name="Normal 12 4 2 5" xfId="10194" xr:uid="{115C412F-F978-4FC4-971D-488AA9A75C13}"/>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FE684F8B-296E-426F-9D55-AB2A07FEAE7E}"/>
    <cellStyle name="Normal 12 4 3 2 3" xfId="12752" xr:uid="{3C9B1D60-E295-4690-AB30-3221CB3FE9BA}"/>
    <cellStyle name="Normal 12 4 3 3" xfId="5498" xr:uid="{00000000-0005-0000-0000-00004D0E0000}"/>
    <cellStyle name="Normal 12 4 3 3 2" xfId="14824" xr:uid="{2E858850-8A0A-4896-B987-FB7018355B20}"/>
    <cellStyle name="Normal 12 4 3 4" xfId="10607" xr:uid="{A61EF38C-27BB-4CB2-9994-AE7B43142417}"/>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5935D0FA-D751-49CE-94C7-C6E1D518B921}"/>
    <cellStyle name="Normal 12 4 4 2 3" xfId="13165" xr:uid="{6129505A-C617-41CE-A358-3CBD1A370774}"/>
    <cellStyle name="Normal 12 4 4 3" xfId="5911" xr:uid="{00000000-0005-0000-0000-0000510E0000}"/>
    <cellStyle name="Normal 12 4 4 3 2" xfId="15237" xr:uid="{6809CC9B-9334-4718-810E-A8362445CA12}"/>
    <cellStyle name="Normal 12 4 4 4" xfId="11020" xr:uid="{D031A587-4810-43A3-927C-7B3C99F384DA}"/>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F4BBB8AD-5CA7-471E-A845-3D0973CFF611}"/>
    <cellStyle name="Normal 12 4 5 2 3" xfId="13578" xr:uid="{43F74CFF-367B-4732-A6C1-D606A830B312}"/>
    <cellStyle name="Normal 12 4 5 3" xfId="6324" xr:uid="{00000000-0005-0000-0000-0000550E0000}"/>
    <cellStyle name="Normal 12 4 5 3 2" xfId="15650" xr:uid="{4E77D4B5-B5C6-4A49-8393-14BFEAF76CC8}"/>
    <cellStyle name="Normal 12 4 5 4" xfId="11433" xr:uid="{FB9C1235-5FEC-48A4-A495-E52B13E93606}"/>
    <cellStyle name="Normal 12 4 6" xfId="2454" xr:uid="{00000000-0005-0000-0000-0000560E0000}"/>
    <cellStyle name="Normal 12 4 6 2" xfId="6737" xr:uid="{00000000-0005-0000-0000-0000570E0000}"/>
    <cellStyle name="Normal 12 4 6 2 2" xfId="16063" xr:uid="{C2E04D22-0042-4183-BCB9-CA3C6C4E09A0}"/>
    <cellStyle name="Normal 12 4 6 3" xfId="11846" xr:uid="{DCB487BB-4568-434E-AB8A-6D70842F301C}"/>
    <cellStyle name="Normal 12 4 7" xfId="4671" xr:uid="{00000000-0005-0000-0000-0000580E0000}"/>
    <cellStyle name="Normal 12 4 7 2" xfId="13997" xr:uid="{6D5CD237-FE12-43DD-9DD7-281101E8ED77}"/>
    <cellStyle name="Normal 12 4 8" xfId="8977" xr:uid="{5BFFE5F3-99F6-4DA1-A3EF-BF749B3B7ACB}"/>
    <cellStyle name="Normal 12 4 8 2" xfId="18301" xr:uid="{57327AC6-B74B-4B35-8039-8A7B0C108797}"/>
    <cellStyle name="Normal 12 4 9" xfId="9780" xr:uid="{038C0FB1-6C84-481B-BEB0-43C40095DBF0}"/>
    <cellStyle name="Normal 12 5" xfId="267" xr:uid="{00000000-0005-0000-0000-0000590E0000}"/>
    <cellStyle name="Normal 12 5 2" xfId="9579" xr:uid="{43940F87-8803-4E34-B3E0-736FAF89CA32}"/>
    <cellStyle name="Normal 12 5 2 2" xfId="18894" xr:uid="{19E14009-3CE9-4307-A3E6-2384D11738EE}"/>
    <cellStyle name="Normal 12 5 3" xfId="9586" xr:uid="{72B01073-C2DA-4DF8-9E0D-6932F6AF67FF}"/>
    <cellStyle name="Normal 12 5 4" xfId="9156" xr:uid="{4BCB05AE-5738-4A10-9D4D-B3A4CD16FD2C}"/>
    <cellStyle name="Normal 12 5 4 2" xfId="18478" xr:uid="{C013174F-72F9-43FE-8E56-182DB84BCCBC}"/>
    <cellStyle name="Normal 12 6" xfId="760" xr:uid="{00000000-0005-0000-0000-00005A0E0000}"/>
    <cellStyle name="Normal 12 6 2" xfId="3001" xr:uid="{00000000-0005-0000-0000-00005B0E0000}"/>
    <cellStyle name="Normal 12 6 2 2" xfId="7223" xr:uid="{00000000-0005-0000-0000-00005C0E0000}"/>
    <cellStyle name="Normal 12 6 2 2 2" xfId="16549" xr:uid="{DBA9F419-3B46-4CAD-B3D8-E57E74C82BC9}"/>
    <cellStyle name="Normal 12 6 2 3" xfId="12332" xr:uid="{AA01FAC2-611B-41E1-BE89-86CADCF1B1DE}"/>
    <cellStyle name="Normal 12 6 3" xfId="5078" xr:uid="{00000000-0005-0000-0000-00005D0E0000}"/>
    <cellStyle name="Normal 12 6 3 2" xfId="14404" xr:uid="{1A9561F2-61E7-48A6-B42A-97E4C35798C7}"/>
    <cellStyle name="Normal 12 6 4" xfId="9194" xr:uid="{92D32932-3865-4F6F-A551-9A99EC116A43}"/>
    <cellStyle name="Normal 12 6 4 2" xfId="18510" xr:uid="{CB275A8C-4D13-4BF0-8DFB-52D6420292E7}"/>
    <cellStyle name="Normal 12 6 5" xfId="10187" xr:uid="{53247F67-031A-43F6-B9BA-7E0A6862A3BE}"/>
    <cellStyle name="Normal 12 7" xfId="1183" xr:uid="{00000000-0005-0000-0000-00005E0E0000}"/>
    <cellStyle name="Normal 12 7 2" xfId="3414" xr:uid="{00000000-0005-0000-0000-00005F0E0000}"/>
    <cellStyle name="Normal 12 7 2 2" xfId="7636" xr:uid="{00000000-0005-0000-0000-0000600E0000}"/>
    <cellStyle name="Normal 12 7 2 2 2" xfId="16962" xr:uid="{229B251D-E939-4431-A900-AE04C583022F}"/>
    <cellStyle name="Normal 12 7 2 3" xfId="12745" xr:uid="{97FAE565-813D-4CA4-8744-37CE5F210228}"/>
    <cellStyle name="Normal 12 7 3" xfId="5491" xr:uid="{00000000-0005-0000-0000-0000610E0000}"/>
    <cellStyle name="Normal 12 7 3 2" xfId="14817" xr:uid="{916D9B0B-733D-4329-8029-D241F7927872}"/>
    <cellStyle name="Normal 12 7 4" xfId="10600" xr:uid="{F91461F8-245F-4A33-B107-1ACB0652F7F9}"/>
    <cellStyle name="Normal 12 8" xfId="1597" xr:uid="{00000000-0005-0000-0000-0000620E0000}"/>
    <cellStyle name="Normal 12 8 2" xfId="3827" xr:uid="{00000000-0005-0000-0000-0000630E0000}"/>
    <cellStyle name="Normal 12 8 2 2" xfId="8049" xr:uid="{00000000-0005-0000-0000-0000640E0000}"/>
    <cellStyle name="Normal 12 8 2 2 2" xfId="17375" xr:uid="{24AC58BF-DD44-43A0-BD9F-1173DF4CDCC2}"/>
    <cellStyle name="Normal 12 8 2 3" xfId="13158" xr:uid="{F8627F00-A034-46B5-899D-0564E4AEED94}"/>
    <cellStyle name="Normal 12 8 3" xfId="5904" xr:uid="{00000000-0005-0000-0000-0000650E0000}"/>
    <cellStyle name="Normal 12 8 3 2" xfId="15230" xr:uid="{73B456B2-0BED-4F6F-A433-8BD0755A7776}"/>
    <cellStyle name="Normal 12 8 4" xfId="11013" xr:uid="{B08EC48A-AD9B-4EC9-95D1-AA3A445A5104}"/>
    <cellStyle name="Normal 12 9" xfId="2011" xr:uid="{00000000-0005-0000-0000-0000660E0000}"/>
    <cellStyle name="Normal 12 9 2" xfId="4240" xr:uid="{00000000-0005-0000-0000-0000670E0000}"/>
    <cellStyle name="Normal 12 9 2 2" xfId="8462" xr:uid="{00000000-0005-0000-0000-0000680E0000}"/>
    <cellStyle name="Normal 12 9 2 2 2" xfId="17788" xr:uid="{F23D54BB-7822-4E29-AF89-323B624AD90D}"/>
    <cellStyle name="Normal 12 9 2 3" xfId="13571" xr:uid="{B8F523EF-A742-4745-96B1-8505C259C8AF}"/>
    <cellStyle name="Normal 12 9 3" xfId="6317" xr:uid="{00000000-0005-0000-0000-0000690E0000}"/>
    <cellStyle name="Normal 12 9 3 2" xfId="15643" xr:uid="{4A3297C9-43EB-4B0A-A543-FC102F3E5D5B}"/>
    <cellStyle name="Normal 12 9 4" xfId="11426" xr:uid="{CDF06D61-1AA3-4B5D-9361-8D2AF73C66E9}"/>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514F3D53-4F71-4AA9-91EA-685B15E963F8}"/>
    <cellStyle name="Normal 14 2 2 3" xfId="12340" xr:uid="{FD40D72E-2A52-4885-B939-37D0EA2EAA8A}"/>
    <cellStyle name="Normal 14 2 3" xfId="5086" xr:uid="{00000000-0005-0000-0000-0000700E0000}"/>
    <cellStyle name="Normal 14 2 3 2" xfId="14412" xr:uid="{17C33F5F-7D49-481D-A10A-59304BC76020}"/>
    <cellStyle name="Normal 14 2 4" xfId="9371" xr:uid="{E1AFB5B4-F468-480A-B09F-3374B2F03BDA}"/>
    <cellStyle name="Normal 14 2 4 2" xfId="18686" xr:uid="{98BFCCB1-42F7-4A72-8C8B-A090BA67F502}"/>
    <cellStyle name="Normal 14 2 5" xfId="10195" xr:uid="{39054E00-94DA-49AD-BE6E-37402C3FEB0F}"/>
    <cellStyle name="Normal 14 3" xfId="1191" xr:uid="{00000000-0005-0000-0000-0000710E0000}"/>
    <cellStyle name="Normal 14 3 2" xfId="3422" xr:uid="{00000000-0005-0000-0000-0000720E0000}"/>
    <cellStyle name="Normal 14 3 2 2" xfId="7644" xr:uid="{00000000-0005-0000-0000-0000730E0000}"/>
    <cellStyle name="Normal 14 3 2 2 2" xfId="16970" xr:uid="{076B2088-B955-4875-8B51-CC4B824470FE}"/>
    <cellStyle name="Normal 14 3 2 3" xfId="12753" xr:uid="{A6B64776-4E76-4884-AD6E-A7FA841F2095}"/>
    <cellStyle name="Normal 14 3 3" xfId="5499" xr:uid="{00000000-0005-0000-0000-0000740E0000}"/>
    <cellStyle name="Normal 14 3 3 2" xfId="14825" xr:uid="{44192CA2-93D9-424F-AC88-CD11CEF9AB84}"/>
    <cellStyle name="Normal 14 3 4" xfId="10608" xr:uid="{97B57859-E44D-4C46-9E9F-0348592EE9A1}"/>
    <cellStyle name="Normal 14 4" xfId="1605" xr:uid="{00000000-0005-0000-0000-0000750E0000}"/>
    <cellStyle name="Normal 14 4 2" xfId="3835" xr:uid="{00000000-0005-0000-0000-0000760E0000}"/>
    <cellStyle name="Normal 14 4 2 2" xfId="8057" xr:uid="{00000000-0005-0000-0000-0000770E0000}"/>
    <cellStyle name="Normal 14 4 2 2 2" xfId="17383" xr:uid="{C2D6FD58-335B-4FBA-8604-A54D03CB4413}"/>
    <cellStyle name="Normal 14 4 2 3" xfId="13166" xr:uid="{8EA46191-2BE0-47BB-A092-3E31F933757A}"/>
    <cellStyle name="Normal 14 4 3" xfId="5912" xr:uid="{00000000-0005-0000-0000-0000780E0000}"/>
    <cellStyle name="Normal 14 4 3 2" xfId="15238" xr:uid="{3769FB92-751B-42B4-A9A6-3723FA4F0793}"/>
    <cellStyle name="Normal 14 4 4" xfId="11021" xr:uid="{636A5F26-8803-42A0-A945-5548BCEFAA48}"/>
    <cellStyle name="Normal 14 5" xfId="2019" xr:uid="{00000000-0005-0000-0000-0000790E0000}"/>
    <cellStyle name="Normal 14 5 2" xfId="4248" xr:uid="{00000000-0005-0000-0000-00007A0E0000}"/>
    <cellStyle name="Normal 14 5 2 2" xfId="8470" xr:uid="{00000000-0005-0000-0000-00007B0E0000}"/>
    <cellStyle name="Normal 14 5 2 2 2" xfId="17796" xr:uid="{17505C6D-EE0F-4F2C-AD29-CBF9D99DFB96}"/>
    <cellStyle name="Normal 14 5 2 3" xfId="13579" xr:uid="{A9177901-F059-4395-BF9B-C61F87DC2425}"/>
    <cellStyle name="Normal 14 5 3" xfId="6325" xr:uid="{00000000-0005-0000-0000-00007C0E0000}"/>
    <cellStyle name="Normal 14 5 3 2" xfId="15651" xr:uid="{B4BE2164-3FCB-4019-AF99-88EE22B6C478}"/>
    <cellStyle name="Normal 14 5 4" xfId="11434" xr:uid="{68BA3741-1A67-4592-8A85-95C1EA93F697}"/>
    <cellStyle name="Normal 14 6" xfId="2455" xr:uid="{00000000-0005-0000-0000-00007D0E0000}"/>
    <cellStyle name="Normal 14 6 2" xfId="6738" xr:uid="{00000000-0005-0000-0000-00007E0E0000}"/>
    <cellStyle name="Normal 14 6 2 2" xfId="16064" xr:uid="{3DA907B0-0EAB-43F0-B48F-149DABA1DC93}"/>
    <cellStyle name="Normal 14 6 3" xfId="11847" xr:uid="{026C14B9-48A7-4565-8379-9D99FDDC2DEF}"/>
    <cellStyle name="Normal 14 7" xfId="4672" xr:uid="{00000000-0005-0000-0000-00007F0E0000}"/>
    <cellStyle name="Normal 14 7 2" xfId="13998" xr:uid="{F049DCB3-3D94-4718-9615-8B8CF1B9609F}"/>
    <cellStyle name="Normal 14 8" xfId="8946" xr:uid="{DD997A1C-6669-41AA-8AC1-78121AFC796C}"/>
    <cellStyle name="Normal 14 8 2" xfId="18270" xr:uid="{0BA755F9-09EF-48DB-B3E7-0C890CE61EC0}"/>
    <cellStyle name="Normal 14 9" xfId="9781" xr:uid="{30E246AF-22DD-466A-BF90-492E37DD004B}"/>
    <cellStyle name="Normal 15" xfId="4496" xr:uid="{00000000-0005-0000-0000-0000800E0000}"/>
    <cellStyle name="Normal 15 2" xfId="9578" xr:uid="{99513E76-E7E2-49D8-ADC5-F882C61FFC79}"/>
    <cellStyle name="Normal 15 2 2" xfId="18893" xr:uid="{F97BD840-B477-42A3-8AF1-F500E7BD6F1B}"/>
    <cellStyle name="Normal 15 3" xfId="9155" xr:uid="{47700DD8-A88A-4CB4-BFAD-BA75A2D4FC8E}"/>
    <cellStyle name="Normal 15 3 2" xfId="18477" xr:uid="{D5E5E041-7E89-43FA-8220-CDDFBA07AB3D}"/>
    <cellStyle name="Normal 15 4" xfId="13824" xr:uid="{9969789E-DD51-4CB0-AA5E-16E72AA6E080}"/>
    <cellStyle name="Normal 16" xfId="4500" xr:uid="{00000000-0005-0000-0000-0000810E0000}"/>
    <cellStyle name="Normal 16 2" xfId="8715" xr:uid="{00000000-0005-0000-0000-0000820E0000}"/>
    <cellStyle name="Normal 16 2 2" xfId="18041" xr:uid="{9F0EA4A7-D945-4F17-8EF9-DADEBADB6FDC}"/>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00D383E3-FAA6-4416-B5E2-AC60080BDDB0}"/>
    <cellStyle name="Normal 16 3 2 2 2 2 3" xfId="18057" xr:uid="{6B3F6A5F-2C4B-4522-84BA-14CFF912F466}"/>
    <cellStyle name="Normal 16 3 2 2 2 3" xfId="18054" xr:uid="{42A09DD8-2DF6-41B7-A5EB-5D05D85D7AF8}"/>
    <cellStyle name="Normal 16 3 2 2 3" xfId="18050" xr:uid="{0F7BA069-6AEE-41B2-B57F-E6FBB9C9B0BB}"/>
    <cellStyle name="Normal 16 3 2 3" xfId="18047" xr:uid="{F142A284-700C-4E13-8206-CB4B984F8524}"/>
    <cellStyle name="Normal 16 3 3" xfId="18044" xr:uid="{E311DB06-1E67-4B8D-8AD6-A886026912DC}"/>
    <cellStyle name="Normal 16 4" xfId="9612" xr:uid="{8729F6E8-3534-4DAE-B0B2-B2AF3CDCD313}"/>
    <cellStyle name="Normal 16 5" xfId="13827" xr:uid="{4DC09BD4-0FB5-4B15-8E03-6FE74C1389AF}"/>
    <cellStyle name="Normal 17" xfId="8728" xr:uid="{3FF0972C-833B-4475-99D8-1A6907499E71}"/>
    <cellStyle name="Normal 17 2" xfId="9157" xr:uid="{6C872296-5E17-4821-9139-E52AD113B06C}"/>
    <cellStyle name="Normal 17 3" xfId="9154" xr:uid="{DC3FF210-EC1F-47CE-8CCE-F8F5460671B1}"/>
    <cellStyle name="Normal 17 4" xfId="18053" xr:uid="{0F7A226C-5056-427C-9EC3-518162E605EB}"/>
    <cellStyle name="Normal 18" xfId="9153" xr:uid="{EF04732C-9519-4C21-BD73-A108E18EA17F}"/>
    <cellStyle name="Normal 19" xfId="8739" xr:uid="{D907EBA7-1F94-4726-9ABB-7E7835FFF57E}"/>
    <cellStyle name="Normal 19 2" xfId="18063" xr:uid="{0F95B554-30B4-46C8-8486-788CDF6B86D2}"/>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2" xr:uid="{5DA7602B-FE7F-436C-8EC6-08EC90BABD77}"/>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DC6E40CD-9F39-4EDB-A8D3-26373FD3613D}"/>
    <cellStyle name="Normal 2 4 2 10 2 3" xfId="13580" xr:uid="{59AB3B83-41EE-4B1F-8FF4-70E1F2138CFB}"/>
    <cellStyle name="Normal 2 4 2 10 3" xfId="6326" xr:uid="{00000000-0005-0000-0000-0000910E0000}"/>
    <cellStyle name="Normal 2 4 2 10 3 2" xfId="15652" xr:uid="{B8754947-1C19-4E9E-9D8D-4EF711086AC4}"/>
    <cellStyle name="Normal 2 4 2 10 4" xfId="11435" xr:uid="{53C730CA-D517-4F42-851D-48EBDF988B19}"/>
    <cellStyle name="Normal 2 4 2 11" xfId="2456" xr:uid="{00000000-0005-0000-0000-0000920E0000}"/>
    <cellStyle name="Normal 2 4 2 11 2" xfId="6739" xr:uid="{00000000-0005-0000-0000-0000930E0000}"/>
    <cellStyle name="Normal 2 4 2 11 2 2" xfId="16065" xr:uid="{DABFEA1B-57BA-4E79-9306-C0D48232B7A5}"/>
    <cellStyle name="Normal 2 4 2 11 3" xfId="11848" xr:uid="{41ECFF9B-3985-4069-894B-751A34077CA6}"/>
    <cellStyle name="Normal 2 4 2 12" xfId="4673" xr:uid="{00000000-0005-0000-0000-0000940E0000}"/>
    <cellStyle name="Normal 2 4 2 12 2" xfId="13999" xr:uid="{C7E5E88D-2265-415B-8878-69922C7CC1DC}"/>
    <cellStyle name="Normal 2 4 2 13" xfId="8757" xr:uid="{563A76DD-F7DD-49F0-A61E-0419F4C31301}"/>
    <cellStyle name="Normal 2 4 2 13 2" xfId="18081" xr:uid="{3E17F42A-A63C-40FF-A768-5B609AEA713F}"/>
    <cellStyle name="Normal 2 4 2 14" xfId="9782" xr:uid="{8FE88E0D-BEC2-44A5-AE83-632F7E961BA3}"/>
    <cellStyle name="Normal 2 4 2 2" xfId="280" xr:uid="{00000000-0005-0000-0000-0000950E0000}"/>
    <cellStyle name="Normal 2 4 2 3" xfId="281" xr:uid="{00000000-0005-0000-0000-0000960E0000}"/>
    <cellStyle name="Normal 2 4 2 3 10" xfId="4674" xr:uid="{00000000-0005-0000-0000-0000970E0000}"/>
    <cellStyle name="Normal 2 4 2 3 10 2" xfId="14000" xr:uid="{F4C4FE55-8AE3-472C-B7AE-B181082078B8}"/>
    <cellStyle name="Normal 2 4 2 3 11" xfId="8788" xr:uid="{EAD3D227-C8EF-4F54-8D24-EE1EA1F017BB}"/>
    <cellStyle name="Normal 2 4 2 3 11 2" xfId="18112" xr:uid="{DF53B324-F314-4947-B232-ADFB4B1AEB61}"/>
    <cellStyle name="Normal 2 4 2 3 12" xfId="9783" xr:uid="{721B9323-492A-48A3-B294-31A9951298B7}"/>
    <cellStyle name="Normal 2 4 2 3 2" xfId="282" xr:uid="{00000000-0005-0000-0000-0000980E0000}"/>
    <cellStyle name="Normal 2 4 2 3 2 10" xfId="8813" xr:uid="{C03AE35D-2438-4E07-AE9C-6D04EC6DA2B7}"/>
    <cellStyle name="Normal 2 4 2 3 2 10 2" xfId="18137" xr:uid="{1F1B8404-C5E7-4B1D-B92C-087904CB3235}"/>
    <cellStyle name="Normal 2 4 2 3 2 11" xfId="9784" xr:uid="{8C142F05-C1B2-4B8E-906C-53CFCFC8CBBD}"/>
    <cellStyle name="Normal 2 4 2 3 2 2" xfId="283" xr:uid="{00000000-0005-0000-0000-0000990E0000}"/>
    <cellStyle name="Normal 2 4 2 3 2 2 10" xfId="9785" xr:uid="{89D33B7F-A386-4BDF-9563-92A57EAB2AEF}"/>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F2D2D6F7-C150-4418-96B7-17DABEEB8FAC}"/>
    <cellStyle name="Normal 2 4 2 3 2 2 2 2 2 3" xfId="12345" xr:uid="{89C304A7-B21E-4D7A-A00C-6C9FCFCF20AA}"/>
    <cellStyle name="Normal 2 4 2 3 2 2 2 2 3" xfId="5091" xr:uid="{00000000-0005-0000-0000-00009E0E0000}"/>
    <cellStyle name="Normal 2 4 2 3 2 2 2 2 3 2" xfId="14417" xr:uid="{2EADCFC6-C704-4027-A8EB-0BE70A99941A}"/>
    <cellStyle name="Normal 2 4 2 3 2 2 2 2 4" xfId="9548" xr:uid="{29E7289E-B3F4-4F63-9B9C-B531B0E50CEB}"/>
    <cellStyle name="Normal 2 4 2 3 2 2 2 2 4 2" xfId="18863" xr:uid="{1480A8EA-D502-43BE-9647-AB1B7FB04A4B}"/>
    <cellStyle name="Normal 2 4 2 3 2 2 2 2 5" xfId="10200" xr:uid="{2357A565-C148-497F-BBE7-2C678AEB67F7}"/>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BCB63ADA-BFFB-449E-961B-E34AFED9ED68}"/>
    <cellStyle name="Normal 2 4 2 3 2 2 2 3 2 3" xfId="12758" xr:uid="{1797E0E0-BD86-4FCB-B6FB-C03CE1084707}"/>
    <cellStyle name="Normal 2 4 2 3 2 2 2 3 3" xfId="5504" xr:uid="{00000000-0005-0000-0000-0000A20E0000}"/>
    <cellStyle name="Normal 2 4 2 3 2 2 2 3 3 2" xfId="14830" xr:uid="{A5E41158-D71C-41E9-93AB-528D5629340C}"/>
    <cellStyle name="Normal 2 4 2 3 2 2 2 3 4" xfId="10613" xr:uid="{B0281EEB-50D4-40F2-AA00-A5092967347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514AE6E1-13DB-499F-B374-5B385E74CDAD}"/>
    <cellStyle name="Normal 2 4 2 3 2 2 2 4 2 3" xfId="13171" xr:uid="{4AD398AB-A1AA-4D57-A4BA-89ECC30ED1DE}"/>
    <cellStyle name="Normal 2 4 2 3 2 2 2 4 3" xfId="5917" xr:uid="{00000000-0005-0000-0000-0000A60E0000}"/>
    <cellStyle name="Normal 2 4 2 3 2 2 2 4 3 2" xfId="15243" xr:uid="{3B23F7FD-5BE0-4AF4-9CAC-FEFC2C9D4BE4}"/>
    <cellStyle name="Normal 2 4 2 3 2 2 2 4 4" xfId="11026" xr:uid="{AE15B423-7D68-480A-8A4E-F3B202C7F8E3}"/>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CDEFC300-9AA9-4E2F-A763-734B918FD10C}"/>
    <cellStyle name="Normal 2 4 2 3 2 2 2 5 2 3" xfId="13584" xr:uid="{2CE93B03-8188-45CB-A28A-667BADA4B32E}"/>
    <cellStyle name="Normal 2 4 2 3 2 2 2 5 3" xfId="6330" xr:uid="{00000000-0005-0000-0000-0000AA0E0000}"/>
    <cellStyle name="Normal 2 4 2 3 2 2 2 5 3 2" xfId="15656" xr:uid="{E7605AAC-2E44-457D-AB36-9FF5D62A5196}"/>
    <cellStyle name="Normal 2 4 2 3 2 2 2 5 4" xfId="11439" xr:uid="{89EEB466-0382-4900-BD31-A0B397899267}"/>
    <cellStyle name="Normal 2 4 2 3 2 2 2 6" xfId="2460" xr:uid="{00000000-0005-0000-0000-0000AB0E0000}"/>
    <cellStyle name="Normal 2 4 2 3 2 2 2 6 2" xfId="6743" xr:uid="{00000000-0005-0000-0000-0000AC0E0000}"/>
    <cellStyle name="Normal 2 4 2 3 2 2 2 6 2 2" xfId="16069" xr:uid="{059E3F8C-CF98-4638-A5B5-716C58021E2A}"/>
    <cellStyle name="Normal 2 4 2 3 2 2 2 6 3" xfId="11852" xr:uid="{DF409324-2E03-4C72-A68A-2EA08CF1B92E}"/>
    <cellStyle name="Normal 2 4 2 3 2 2 2 7" xfId="4677" xr:uid="{00000000-0005-0000-0000-0000AD0E0000}"/>
    <cellStyle name="Normal 2 4 2 3 2 2 2 7 2" xfId="14003" xr:uid="{A7091858-E52D-412D-893C-5EA96BD1E773}"/>
    <cellStyle name="Normal 2 4 2 3 2 2 2 8" xfId="9123" xr:uid="{9F0183A9-880D-46D9-BB7D-5696E4723F5F}"/>
    <cellStyle name="Normal 2 4 2 3 2 2 2 8 2" xfId="18447" xr:uid="{000276D9-F0C1-4D17-962E-634D0D74DF8D}"/>
    <cellStyle name="Normal 2 4 2 3 2 2 2 9" xfId="9786" xr:uid="{8755E460-BD4B-41AD-BB7A-C02645C429EB}"/>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14983C18-7FEF-4347-AB41-170B467B95E4}"/>
    <cellStyle name="Normal 2 4 2 3 2 2 3 2 3" xfId="12344" xr:uid="{92E71B7D-25C5-4D15-B91F-4C4A323EF6D2}"/>
    <cellStyle name="Normal 2 4 2 3 2 2 3 3" xfId="5090" xr:uid="{00000000-0005-0000-0000-0000B10E0000}"/>
    <cellStyle name="Normal 2 4 2 3 2 2 3 3 2" xfId="14416" xr:uid="{1EDA1CCA-8A81-4280-9F31-D5369386955B}"/>
    <cellStyle name="Normal 2 4 2 3 2 2 3 4" xfId="9341" xr:uid="{4F113FF5-050D-47D1-A7D5-F829C93D993D}"/>
    <cellStyle name="Normal 2 4 2 3 2 2 3 4 2" xfId="18656" xr:uid="{C3979852-D621-4A2C-A404-F91CFD4F300A}"/>
    <cellStyle name="Normal 2 4 2 3 2 2 3 5" xfId="10199" xr:uid="{0C2B4FD9-0C85-4BB4-894B-2F802F3F477F}"/>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82422E29-6F87-4149-8EAF-A3BB7239D609}"/>
    <cellStyle name="Normal 2 4 2 3 2 2 4 2 3" xfId="12757" xr:uid="{B5452862-FACE-4392-B988-A6C4996B29DE}"/>
    <cellStyle name="Normal 2 4 2 3 2 2 4 3" xfId="5503" xr:uid="{00000000-0005-0000-0000-0000B50E0000}"/>
    <cellStyle name="Normal 2 4 2 3 2 2 4 3 2" xfId="14829" xr:uid="{ECF00C97-C607-47FF-997D-0C7AEC95AD69}"/>
    <cellStyle name="Normal 2 4 2 3 2 2 4 4" xfId="10612" xr:uid="{66BB23C4-5F17-4E1C-87FA-D8446BE366DC}"/>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7DAAE420-BCFE-4B17-9E96-4300703F2FCB}"/>
    <cellStyle name="Normal 2 4 2 3 2 2 5 2 3" xfId="13170" xr:uid="{E52C5A4A-2802-4C67-B087-623466BA12B5}"/>
    <cellStyle name="Normal 2 4 2 3 2 2 5 3" xfId="5916" xr:uid="{00000000-0005-0000-0000-0000B90E0000}"/>
    <cellStyle name="Normal 2 4 2 3 2 2 5 3 2" xfId="15242" xr:uid="{CCEEAF87-FF4E-4B92-9063-BA2F99778B09}"/>
    <cellStyle name="Normal 2 4 2 3 2 2 5 4" xfId="11025" xr:uid="{74FC1E90-A6B1-4D9D-830D-4F5FB46AF40D}"/>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97235A36-1D78-4ECF-A36A-FCEF083AB164}"/>
    <cellStyle name="Normal 2 4 2 3 2 2 6 2 3" xfId="13583" xr:uid="{6B8295C7-4EB1-4896-93F4-D43A5ABE9241}"/>
    <cellStyle name="Normal 2 4 2 3 2 2 6 3" xfId="6329" xr:uid="{00000000-0005-0000-0000-0000BD0E0000}"/>
    <cellStyle name="Normal 2 4 2 3 2 2 6 3 2" xfId="15655" xr:uid="{E8EAFCC1-7BB7-42BA-ACAB-121D5E638283}"/>
    <cellStyle name="Normal 2 4 2 3 2 2 6 4" xfId="11438" xr:uid="{853CC4C2-9DBC-490A-9883-4004E3F36656}"/>
    <cellStyle name="Normal 2 4 2 3 2 2 7" xfId="2459" xr:uid="{00000000-0005-0000-0000-0000BE0E0000}"/>
    <cellStyle name="Normal 2 4 2 3 2 2 7 2" xfId="6742" xr:uid="{00000000-0005-0000-0000-0000BF0E0000}"/>
    <cellStyle name="Normal 2 4 2 3 2 2 7 2 2" xfId="16068" xr:uid="{44FE77A0-BB12-4B24-8092-04592317A67A}"/>
    <cellStyle name="Normal 2 4 2 3 2 2 7 3" xfId="11851" xr:uid="{3C03F091-490D-43A8-A56D-AC90D87ACDA5}"/>
    <cellStyle name="Normal 2 4 2 3 2 2 8" xfId="4676" xr:uid="{00000000-0005-0000-0000-0000C00E0000}"/>
    <cellStyle name="Normal 2 4 2 3 2 2 8 2" xfId="14002" xr:uid="{036480A0-5B65-42E1-A7D9-239E02D902DA}"/>
    <cellStyle name="Normal 2 4 2 3 2 2 9" xfId="8916" xr:uid="{1EF18CC7-44BB-43EB-8DB6-D193CEF128C1}"/>
    <cellStyle name="Normal 2 4 2 3 2 2 9 2" xfId="18240" xr:uid="{A3C10A2C-38A7-4A94-94DB-AA83572D93DD}"/>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50DAD43E-3F5B-4928-9D4F-3D86D89F3FE4}"/>
    <cellStyle name="Normal 2 4 2 3 2 3 2 2 3" xfId="12346" xr:uid="{0032FDC4-1F6F-496F-85ED-EDFA1442A94E}"/>
    <cellStyle name="Normal 2 4 2 3 2 3 2 3" xfId="5092" xr:uid="{00000000-0005-0000-0000-0000C50E0000}"/>
    <cellStyle name="Normal 2 4 2 3 2 3 2 3 2" xfId="14418" xr:uid="{64AAD9AC-6285-48E3-91D8-8E6DAD15D6DE}"/>
    <cellStyle name="Normal 2 4 2 3 2 3 2 4" xfId="9445" xr:uid="{67F9E33C-8554-469D-8D7A-1147F632F3B0}"/>
    <cellStyle name="Normal 2 4 2 3 2 3 2 4 2" xfId="18760" xr:uid="{B01B7C2B-C8B8-423C-B28A-A14C13AD0AEB}"/>
    <cellStyle name="Normal 2 4 2 3 2 3 2 5" xfId="10201" xr:uid="{79230E41-0C92-40BA-8F43-FFFA443AA5CB}"/>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A05C5478-D83F-4C0C-AB58-B1E2E53BA95E}"/>
    <cellStyle name="Normal 2 4 2 3 2 3 3 2 3" xfId="12759" xr:uid="{21206376-563D-4E4C-915F-09921790686C}"/>
    <cellStyle name="Normal 2 4 2 3 2 3 3 3" xfId="5505" xr:uid="{00000000-0005-0000-0000-0000C90E0000}"/>
    <cellStyle name="Normal 2 4 2 3 2 3 3 3 2" xfId="14831" xr:uid="{542C39B1-653F-4D7D-85AB-047B4AE14BF1}"/>
    <cellStyle name="Normal 2 4 2 3 2 3 3 4" xfId="10614" xr:uid="{82796AB3-A1E3-45B0-BC21-5EE312B92394}"/>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120133E2-D844-4483-8AF4-14026C287E42}"/>
    <cellStyle name="Normal 2 4 2 3 2 3 4 2 3" xfId="13172" xr:uid="{81B64BFD-998B-4966-B29F-180AE3E485AB}"/>
    <cellStyle name="Normal 2 4 2 3 2 3 4 3" xfId="5918" xr:uid="{00000000-0005-0000-0000-0000CD0E0000}"/>
    <cellStyle name="Normal 2 4 2 3 2 3 4 3 2" xfId="15244" xr:uid="{B8FC5E8C-DB65-4B4F-9D34-548659057E3B}"/>
    <cellStyle name="Normal 2 4 2 3 2 3 4 4" xfId="11027" xr:uid="{A2C286E6-279C-4135-9BEC-390064B78AAF}"/>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7D643000-5672-413D-8B4F-1A9258F76C68}"/>
    <cellStyle name="Normal 2 4 2 3 2 3 5 2 3" xfId="13585" xr:uid="{DD2312C4-6D37-4F35-8BA2-255E88186378}"/>
    <cellStyle name="Normal 2 4 2 3 2 3 5 3" xfId="6331" xr:uid="{00000000-0005-0000-0000-0000D10E0000}"/>
    <cellStyle name="Normal 2 4 2 3 2 3 5 3 2" xfId="15657" xr:uid="{47F33762-94B4-401E-BBF8-42D1996B8C25}"/>
    <cellStyle name="Normal 2 4 2 3 2 3 5 4" xfId="11440" xr:uid="{9AD0353D-D568-4123-870D-4BE9645B3D3F}"/>
    <cellStyle name="Normal 2 4 2 3 2 3 6" xfId="2461" xr:uid="{00000000-0005-0000-0000-0000D20E0000}"/>
    <cellStyle name="Normal 2 4 2 3 2 3 6 2" xfId="6744" xr:uid="{00000000-0005-0000-0000-0000D30E0000}"/>
    <cellStyle name="Normal 2 4 2 3 2 3 6 2 2" xfId="16070" xr:uid="{4BDA2F08-CB81-44C5-91A8-D35015D4C980}"/>
    <cellStyle name="Normal 2 4 2 3 2 3 6 3" xfId="11853" xr:uid="{5AB2D3E4-203D-4EB1-9803-9EAB82BB0067}"/>
    <cellStyle name="Normal 2 4 2 3 2 3 7" xfId="4678" xr:uid="{00000000-0005-0000-0000-0000D40E0000}"/>
    <cellStyle name="Normal 2 4 2 3 2 3 7 2" xfId="14004" xr:uid="{37DAFCB2-F607-4A32-B57A-087292AA1DE8}"/>
    <cellStyle name="Normal 2 4 2 3 2 3 8" xfId="9020" xr:uid="{5718F785-8E2C-4B45-91D1-4597173D90A6}"/>
    <cellStyle name="Normal 2 4 2 3 2 3 8 2" xfId="18344" xr:uid="{FE3EC206-8AC8-44B3-9C7C-EC35DD121B44}"/>
    <cellStyle name="Normal 2 4 2 3 2 3 9" xfId="9787" xr:uid="{C8B87FC6-9E74-4EF7-BC59-7E80A4C483F4}"/>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DB365311-720E-4475-9A51-C17F06E19F70}"/>
    <cellStyle name="Normal 2 4 2 3 2 4 2 3" xfId="12343" xr:uid="{D0B7C67B-C21E-4B9A-BB89-A0FA4F9B5DFC}"/>
    <cellStyle name="Normal 2 4 2 3 2 4 3" xfId="5089" xr:uid="{00000000-0005-0000-0000-0000D80E0000}"/>
    <cellStyle name="Normal 2 4 2 3 2 4 3 2" xfId="14415" xr:uid="{C16568B1-D159-4980-B888-5A313BEC6601}"/>
    <cellStyle name="Normal 2 4 2 3 2 4 4" xfId="9238" xr:uid="{BC6E5A3D-C256-46E9-A109-D643C24AA206}"/>
    <cellStyle name="Normal 2 4 2 3 2 4 4 2" xfId="18553" xr:uid="{30D0FD76-5582-46FC-A27E-0305D598B30F}"/>
    <cellStyle name="Normal 2 4 2 3 2 4 5" xfId="10198" xr:uid="{5799BCF5-33A0-4F0E-9CA5-33586FEE7D7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453BF768-7312-4E06-B967-57821CC5475D}"/>
    <cellStyle name="Normal 2 4 2 3 2 5 2 3" xfId="12756" xr:uid="{07FCBD1C-621C-4C01-A0B5-21561558439A}"/>
    <cellStyle name="Normal 2 4 2 3 2 5 3" xfId="5502" xr:uid="{00000000-0005-0000-0000-0000DC0E0000}"/>
    <cellStyle name="Normal 2 4 2 3 2 5 3 2" xfId="14828" xr:uid="{48A78276-ADE3-4F0D-AB68-3017DC7F8C63}"/>
    <cellStyle name="Normal 2 4 2 3 2 5 4" xfId="10611" xr:uid="{C8D7D1D5-4738-44B0-8F18-D6827E658082}"/>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ECA69B76-ABC6-4DFE-B2D2-2BE7240BAAA1}"/>
    <cellStyle name="Normal 2 4 2 3 2 6 2 3" xfId="13169" xr:uid="{1375C614-718D-408D-8EA4-76563A70AB6A}"/>
    <cellStyle name="Normal 2 4 2 3 2 6 3" xfId="5915" xr:uid="{00000000-0005-0000-0000-0000E00E0000}"/>
    <cellStyle name="Normal 2 4 2 3 2 6 3 2" xfId="15241" xr:uid="{2D358093-36FC-4C5A-BF94-9A89B2FD5FD7}"/>
    <cellStyle name="Normal 2 4 2 3 2 6 4" xfId="11024" xr:uid="{910DEBE8-1A25-4970-8B72-5AED28F0FD17}"/>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D629C16B-E54B-44CC-AA46-2C7053B63410}"/>
    <cellStyle name="Normal 2 4 2 3 2 7 2 3" xfId="13582" xr:uid="{D8A63BD7-83AC-4A51-8341-E3FEF23F62DF}"/>
    <cellStyle name="Normal 2 4 2 3 2 7 3" xfId="6328" xr:uid="{00000000-0005-0000-0000-0000E40E0000}"/>
    <cellStyle name="Normal 2 4 2 3 2 7 3 2" xfId="15654" xr:uid="{C7B65F44-3E5A-40C7-B739-D32C4558153C}"/>
    <cellStyle name="Normal 2 4 2 3 2 7 4" xfId="11437" xr:uid="{4DA6E097-2C45-44F0-BC52-F7500F7A1118}"/>
    <cellStyle name="Normal 2 4 2 3 2 8" xfId="2458" xr:uid="{00000000-0005-0000-0000-0000E50E0000}"/>
    <cellStyle name="Normal 2 4 2 3 2 8 2" xfId="6741" xr:uid="{00000000-0005-0000-0000-0000E60E0000}"/>
    <cellStyle name="Normal 2 4 2 3 2 8 2 2" xfId="16067" xr:uid="{548B5823-27D2-47E5-A7AB-BC923097383A}"/>
    <cellStyle name="Normal 2 4 2 3 2 8 3" xfId="11850" xr:uid="{4BBDF09A-1715-4D2E-86BF-D546AFCF8287}"/>
    <cellStyle name="Normal 2 4 2 3 2 9" xfId="4675" xr:uid="{00000000-0005-0000-0000-0000E70E0000}"/>
    <cellStyle name="Normal 2 4 2 3 2 9 2" xfId="14001" xr:uid="{4EE5337F-BADD-411A-BEB5-18BBA8B3281B}"/>
    <cellStyle name="Normal 2 4 2 3 3" xfId="286" xr:uid="{00000000-0005-0000-0000-0000E80E0000}"/>
    <cellStyle name="Normal 2 4 2 3 3 10" xfId="9788" xr:uid="{7BD94148-F71B-46CA-B3D7-B3DC9BDFB825}"/>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5BF4C3A6-4316-4961-986E-7D0173AA6B21}"/>
    <cellStyle name="Normal 2 4 2 3 3 2 2 2 3" xfId="12348" xr:uid="{DD139C66-8825-4499-B5E9-AE27F23205D1}"/>
    <cellStyle name="Normal 2 4 2 3 3 2 2 3" xfId="5094" xr:uid="{00000000-0005-0000-0000-0000ED0E0000}"/>
    <cellStyle name="Normal 2 4 2 3 3 2 2 3 2" xfId="14420" xr:uid="{FF5F1C28-4739-466A-88EE-BC6840AAC13C}"/>
    <cellStyle name="Normal 2 4 2 3 3 2 2 4" xfId="9523" xr:uid="{49BCB42B-3FEB-4D87-8E20-52FE775F87DD}"/>
    <cellStyle name="Normal 2 4 2 3 3 2 2 4 2" xfId="18838" xr:uid="{845CC38F-E08A-4B17-B4C3-3C423B140A13}"/>
    <cellStyle name="Normal 2 4 2 3 3 2 2 5" xfId="10203" xr:uid="{67E34573-8E91-45A6-AB7E-A8EA12018434}"/>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1FB0A44D-C681-4E26-B82F-725D734185A0}"/>
    <cellStyle name="Normal 2 4 2 3 3 2 3 2 3" xfId="12761" xr:uid="{16A2EDCB-8FD3-4B68-BAB1-9EF5AA4E8A09}"/>
    <cellStyle name="Normal 2 4 2 3 3 2 3 3" xfId="5507" xr:uid="{00000000-0005-0000-0000-0000F10E0000}"/>
    <cellStyle name="Normal 2 4 2 3 3 2 3 3 2" xfId="14833" xr:uid="{CDE6C455-F971-4BE1-8C2C-FFC808498E6D}"/>
    <cellStyle name="Normal 2 4 2 3 3 2 3 4" xfId="10616" xr:uid="{6094F376-C3B4-46C8-B642-4C5B511183EE}"/>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ED39DC0A-1815-413F-ACDD-BB06C05E3689}"/>
    <cellStyle name="Normal 2 4 2 3 3 2 4 2 3" xfId="13174" xr:uid="{1EAD398D-1040-4796-9F5A-B5DA37DA125F}"/>
    <cellStyle name="Normal 2 4 2 3 3 2 4 3" xfId="5920" xr:uid="{00000000-0005-0000-0000-0000F50E0000}"/>
    <cellStyle name="Normal 2 4 2 3 3 2 4 3 2" xfId="15246" xr:uid="{72648B96-FA27-4CEC-AC26-F0D428A4D0D7}"/>
    <cellStyle name="Normal 2 4 2 3 3 2 4 4" xfId="11029" xr:uid="{912C0470-A3AB-4A3C-9DBA-50061EF6DC15}"/>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04E93D74-B641-456F-BA15-F23280B455AF}"/>
    <cellStyle name="Normal 2 4 2 3 3 2 5 2 3" xfId="13587" xr:uid="{5D540D65-0438-48E8-82B7-789D43C8DE96}"/>
    <cellStyle name="Normal 2 4 2 3 3 2 5 3" xfId="6333" xr:uid="{00000000-0005-0000-0000-0000F90E0000}"/>
    <cellStyle name="Normal 2 4 2 3 3 2 5 3 2" xfId="15659" xr:uid="{CF5BD72D-9F05-413B-A249-15086473123C}"/>
    <cellStyle name="Normal 2 4 2 3 3 2 5 4" xfId="11442" xr:uid="{C8A0DB7D-61AF-4576-9448-99640C2C33F1}"/>
    <cellStyle name="Normal 2 4 2 3 3 2 6" xfId="2463" xr:uid="{00000000-0005-0000-0000-0000FA0E0000}"/>
    <cellStyle name="Normal 2 4 2 3 3 2 6 2" xfId="6746" xr:uid="{00000000-0005-0000-0000-0000FB0E0000}"/>
    <cellStyle name="Normal 2 4 2 3 3 2 6 2 2" xfId="16072" xr:uid="{7C44D9F4-CFCF-4D6D-BA12-21D840794DF5}"/>
    <cellStyle name="Normal 2 4 2 3 3 2 6 3" xfId="11855" xr:uid="{931ADD5A-1E1F-46FB-9201-0732960AB6A1}"/>
    <cellStyle name="Normal 2 4 2 3 3 2 7" xfId="4680" xr:uid="{00000000-0005-0000-0000-0000FC0E0000}"/>
    <cellStyle name="Normal 2 4 2 3 3 2 7 2" xfId="14006" xr:uid="{31AF2C8F-CB92-4E21-80AD-20BB176E6C69}"/>
    <cellStyle name="Normal 2 4 2 3 3 2 8" xfId="9098" xr:uid="{15335B31-FFDD-479D-88EC-FAB83DC4E6EC}"/>
    <cellStyle name="Normal 2 4 2 3 3 2 8 2" xfId="18422" xr:uid="{DE31F973-5B1D-47EF-851E-814BB45C3083}"/>
    <cellStyle name="Normal 2 4 2 3 3 2 9" xfId="9789" xr:uid="{88E5103C-EF85-43C2-9CBE-93A4A9CF5BCE}"/>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A129C1F0-5C8F-4AFB-9FDD-5588018BB85F}"/>
    <cellStyle name="Normal 2 4 2 3 3 3 2 3" xfId="12347" xr:uid="{85D2A4B0-EAD0-4CCF-A7C3-89E1BF34A3B5}"/>
    <cellStyle name="Normal 2 4 2 3 3 3 3" xfId="5093" xr:uid="{00000000-0005-0000-0000-0000000F0000}"/>
    <cellStyle name="Normal 2 4 2 3 3 3 3 2" xfId="14419" xr:uid="{416D3FB5-C505-404B-9F79-AF026AD3F368}"/>
    <cellStyle name="Normal 2 4 2 3 3 3 4" xfId="9316" xr:uid="{C8C83D09-5A3A-4C90-8A04-9D7CD8C85B11}"/>
    <cellStyle name="Normal 2 4 2 3 3 3 4 2" xfId="18631" xr:uid="{DB98FF32-8E20-4118-B986-617E38F94BD0}"/>
    <cellStyle name="Normal 2 4 2 3 3 3 5" xfId="10202" xr:uid="{EEC9CAC3-15B8-4D2B-BD96-0C165FA3DFE7}"/>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64F34335-A430-4FE0-BC46-0C1E8C8D8F5D}"/>
    <cellStyle name="Normal 2 4 2 3 3 4 2 3" xfId="12760" xr:uid="{98399F01-3300-45C4-ACD7-C61DAA0770D5}"/>
    <cellStyle name="Normal 2 4 2 3 3 4 3" xfId="5506" xr:uid="{00000000-0005-0000-0000-0000040F0000}"/>
    <cellStyle name="Normal 2 4 2 3 3 4 3 2" xfId="14832" xr:uid="{9776749E-E41D-4533-AD85-61A3A094ED3C}"/>
    <cellStyle name="Normal 2 4 2 3 3 4 4" xfId="10615" xr:uid="{B07E1A5F-DD5A-43C5-8101-BB32345C53D6}"/>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9C9A5C96-99BC-4AEB-BEB3-0532597DAD89}"/>
    <cellStyle name="Normal 2 4 2 3 3 5 2 3" xfId="13173" xr:uid="{36C17F21-786C-428A-9B56-8994059BC5A0}"/>
    <cellStyle name="Normal 2 4 2 3 3 5 3" xfId="5919" xr:uid="{00000000-0005-0000-0000-0000080F0000}"/>
    <cellStyle name="Normal 2 4 2 3 3 5 3 2" xfId="15245" xr:uid="{98FF9E4C-71A0-4E5E-A4D8-FAC647584287}"/>
    <cellStyle name="Normal 2 4 2 3 3 5 4" xfId="11028" xr:uid="{669865EF-DB3E-4C77-B466-E2974754F9AE}"/>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5E812967-D1AE-46FB-87E5-E03C85FD3224}"/>
    <cellStyle name="Normal 2 4 2 3 3 6 2 3" xfId="13586" xr:uid="{CF84B83C-4955-46E5-8811-8EC44A5E6DEC}"/>
    <cellStyle name="Normal 2 4 2 3 3 6 3" xfId="6332" xr:uid="{00000000-0005-0000-0000-00000C0F0000}"/>
    <cellStyle name="Normal 2 4 2 3 3 6 3 2" xfId="15658" xr:uid="{9EB922B8-632D-409F-BE65-640E0AD3D363}"/>
    <cellStyle name="Normal 2 4 2 3 3 6 4" xfId="11441" xr:uid="{3040B407-50B3-4374-8E2A-24510E060882}"/>
    <cellStyle name="Normal 2 4 2 3 3 7" xfId="2462" xr:uid="{00000000-0005-0000-0000-00000D0F0000}"/>
    <cellStyle name="Normal 2 4 2 3 3 7 2" xfId="6745" xr:uid="{00000000-0005-0000-0000-00000E0F0000}"/>
    <cellStyle name="Normal 2 4 2 3 3 7 2 2" xfId="16071" xr:uid="{704CD974-32E4-42EC-A2C5-882078839604}"/>
    <cellStyle name="Normal 2 4 2 3 3 7 3" xfId="11854" xr:uid="{A6BC247A-BAFB-45AB-BDED-0FB9CCED92CB}"/>
    <cellStyle name="Normal 2 4 2 3 3 8" xfId="4679" xr:uid="{00000000-0005-0000-0000-00000F0F0000}"/>
    <cellStyle name="Normal 2 4 2 3 3 8 2" xfId="14005" xr:uid="{27239AA4-D168-43F0-A6DC-2335D916BBF4}"/>
    <cellStyle name="Normal 2 4 2 3 3 9" xfId="8891" xr:uid="{D2DF60A1-A34B-4A3F-B29E-E581EFBA8360}"/>
    <cellStyle name="Normal 2 4 2 3 3 9 2" xfId="18215" xr:uid="{7E2F9451-3191-420A-A34B-7213F8F1A1AA}"/>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CCC084D9-758E-4A1E-A56C-0CAD9B0F8D8D}"/>
    <cellStyle name="Normal 2 4 2 3 4 2 2 3" xfId="12349" xr:uid="{F98DAF61-267A-4DFB-AB52-F01064C46B82}"/>
    <cellStyle name="Normal 2 4 2 3 4 2 3" xfId="5095" xr:uid="{00000000-0005-0000-0000-0000140F0000}"/>
    <cellStyle name="Normal 2 4 2 3 4 2 3 2" xfId="14421" xr:uid="{82C72824-E222-43CB-B70B-7D9C2CFE4E0E}"/>
    <cellStyle name="Normal 2 4 2 3 4 2 4" xfId="9420" xr:uid="{49E252B3-99BC-416A-A0CB-FE2641ECFDE3}"/>
    <cellStyle name="Normal 2 4 2 3 4 2 4 2" xfId="18735" xr:uid="{3C7EE76B-C280-402B-841C-9B66BAE225A1}"/>
    <cellStyle name="Normal 2 4 2 3 4 2 5" xfId="10204" xr:uid="{91283C48-EB45-4FC6-BD8B-3A1D48CCA05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EE260F9E-2E12-46DF-A6F3-6B5EF6E30AD5}"/>
    <cellStyle name="Normal 2 4 2 3 4 3 2 3" xfId="12762" xr:uid="{BEF16F16-023E-4C2A-B787-E25E6C4C961B}"/>
    <cellStyle name="Normal 2 4 2 3 4 3 3" xfId="5508" xr:uid="{00000000-0005-0000-0000-0000180F0000}"/>
    <cellStyle name="Normal 2 4 2 3 4 3 3 2" xfId="14834" xr:uid="{4B8C2B9F-7CB1-481F-BDF3-AA5D2D0DCF5D}"/>
    <cellStyle name="Normal 2 4 2 3 4 3 4" xfId="10617" xr:uid="{9727BAFC-B25E-4A84-820E-61E5378BFF29}"/>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6DA9008B-A334-422C-9854-BD18FA902329}"/>
    <cellStyle name="Normal 2 4 2 3 4 4 2 3" xfId="13175" xr:uid="{CCDA873F-1D92-4C96-A4F0-5E4EA1EDAAC0}"/>
    <cellStyle name="Normal 2 4 2 3 4 4 3" xfId="5921" xr:uid="{00000000-0005-0000-0000-00001C0F0000}"/>
    <cellStyle name="Normal 2 4 2 3 4 4 3 2" xfId="15247" xr:uid="{A6851707-B834-4377-966D-29366D54F1AD}"/>
    <cellStyle name="Normal 2 4 2 3 4 4 4" xfId="11030" xr:uid="{9A6866C4-F8A0-4E34-8325-D82DC627E64B}"/>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8096EE6A-4F10-41C3-8619-79DD7C272225}"/>
    <cellStyle name="Normal 2 4 2 3 4 5 2 3" xfId="13588" xr:uid="{220B4293-3DD8-40F0-AD77-22B31175120C}"/>
    <cellStyle name="Normal 2 4 2 3 4 5 3" xfId="6334" xr:uid="{00000000-0005-0000-0000-0000200F0000}"/>
    <cellStyle name="Normal 2 4 2 3 4 5 3 2" xfId="15660" xr:uid="{1E865F4F-17DE-4E88-B613-F1FBEF372F00}"/>
    <cellStyle name="Normal 2 4 2 3 4 5 4" xfId="11443" xr:uid="{FDDA06CA-26A0-48BA-BD15-D0508F80484A}"/>
    <cellStyle name="Normal 2 4 2 3 4 6" xfId="2464" xr:uid="{00000000-0005-0000-0000-0000210F0000}"/>
    <cellStyle name="Normal 2 4 2 3 4 6 2" xfId="6747" xr:uid="{00000000-0005-0000-0000-0000220F0000}"/>
    <cellStyle name="Normal 2 4 2 3 4 6 2 2" xfId="16073" xr:uid="{B093EBDC-F477-40D9-BBDA-5CC0328AFCC4}"/>
    <cellStyle name="Normal 2 4 2 3 4 6 3" xfId="11856" xr:uid="{CE61E7E9-3EED-4650-B39F-27B69898ECBF}"/>
    <cellStyle name="Normal 2 4 2 3 4 7" xfId="4681" xr:uid="{00000000-0005-0000-0000-0000230F0000}"/>
    <cellStyle name="Normal 2 4 2 3 4 7 2" xfId="14007" xr:uid="{C4EBAD9E-F440-4B9B-A834-F7D4E17A002D}"/>
    <cellStyle name="Normal 2 4 2 3 4 8" xfId="8995" xr:uid="{EEE25A27-4C18-4948-8341-FF27707A7A86}"/>
    <cellStyle name="Normal 2 4 2 3 4 8 2" xfId="18319" xr:uid="{96599F58-E7DD-4E24-AAD6-179668F6C116}"/>
    <cellStyle name="Normal 2 4 2 3 4 9" xfId="9790" xr:uid="{4ABB07A5-FF89-40A5-892C-4829FAD7C0E8}"/>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90156241-5F1F-4006-9794-496487295B2E}"/>
    <cellStyle name="Normal 2 4 2 3 5 2 3" xfId="12342" xr:uid="{00AD9C20-DBFD-40F4-90F6-B5C3E618FC0D}"/>
    <cellStyle name="Normal 2 4 2 3 5 3" xfId="5088" xr:uid="{00000000-0005-0000-0000-0000270F0000}"/>
    <cellStyle name="Normal 2 4 2 3 5 3 2" xfId="14414" xr:uid="{F19C148B-601F-4B66-A3F0-E44681752265}"/>
    <cellStyle name="Normal 2 4 2 3 5 4" xfId="9212" xr:uid="{39F1BF9F-C79C-4226-B2D8-665EAA6F3686}"/>
    <cellStyle name="Normal 2 4 2 3 5 4 2" xfId="18528" xr:uid="{85D2A66E-6A06-4B87-A449-46568F8D679D}"/>
    <cellStyle name="Normal 2 4 2 3 5 5" xfId="10197" xr:uid="{FFD5DA0E-114F-42D1-AB40-8D21C7243785}"/>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830181E0-A86F-4AC3-ACF6-258253F24F43}"/>
    <cellStyle name="Normal 2 4 2 3 6 2 3" xfId="12755" xr:uid="{79316F66-FE0F-42ED-A064-27808E0F0B57}"/>
    <cellStyle name="Normal 2 4 2 3 6 3" xfId="5501" xr:uid="{00000000-0005-0000-0000-00002B0F0000}"/>
    <cellStyle name="Normal 2 4 2 3 6 3 2" xfId="14827" xr:uid="{04B3EFCB-D67F-4026-99FB-BB84E33E8A78}"/>
    <cellStyle name="Normal 2 4 2 3 6 4" xfId="10610" xr:uid="{04E66B8E-CD47-4744-B44F-B80358F81C39}"/>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C901EB73-CA19-46DD-ACA1-42CC5E82A7F9}"/>
    <cellStyle name="Normal 2 4 2 3 7 2 3" xfId="13168" xr:uid="{1AA4FB36-6FFA-4935-8425-B4C2976434B9}"/>
    <cellStyle name="Normal 2 4 2 3 7 3" xfId="5914" xr:uid="{00000000-0005-0000-0000-00002F0F0000}"/>
    <cellStyle name="Normal 2 4 2 3 7 3 2" xfId="15240" xr:uid="{8872B612-3E40-43E7-8C53-B3D5C9048EB8}"/>
    <cellStyle name="Normal 2 4 2 3 7 4" xfId="11023" xr:uid="{2DC768B1-8E72-40A2-A080-9BAC878B6826}"/>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67B81B6C-61C4-43B5-B77A-7B8EAAFF53DC}"/>
    <cellStyle name="Normal 2 4 2 3 8 2 3" xfId="13581" xr:uid="{44C7DEF7-C614-4883-987F-B6D2AB3A5207}"/>
    <cellStyle name="Normal 2 4 2 3 8 3" xfId="6327" xr:uid="{00000000-0005-0000-0000-0000330F0000}"/>
    <cellStyle name="Normal 2 4 2 3 8 3 2" xfId="15653" xr:uid="{F35C2201-F40C-434F-8C0A-44805B73120D}"/>
    <cellStyle name="Normal 2 4 2 3 8 4" xfId="11436" xr:uid="{1F20BE48-6539-498B-8BAE-36CDCD4AEDBD}"/>
    <cellStyle name="Normal 2 4 2 3 9" xfId="2457" xr:uid="{00000000-0005-0000-0000-0000340F0000}"/>
    <cellStyle name="Normal 2 4 2 3 9 2" xfId="6740" xr:uid="{00000000-0005-0000-0000-0000350F0000}"/>
    <cellStyle name="Normal 2 4 2 3 9 2 2" xfId="16066" xr:uid="{75A69C0F-320A-410E-B1BF-058F365ED186}"/>
    <cellStyle name="Normal 2 4 2 3 9 3" xfId="11849" xr:uid="{D2CF30DD-7A24-44C6-9120-4FADBE255B15}"/>
    <cellStyle name="Normal 2 4 2 4" xfId="289" xr:uid="{00000000-0005-0000-0000-0000360F0000}"/>
    <cellStyle name="Normal 2 4 2 4 10" xfId="8812" xr:uid="{C2E08BA7-2068-4F74-AFE2-E0AED0B82FE2}"/>
    <cellStyle name="Normal 2 4 2 4 10 2" xfId="18136" xr:uid="{38F6D13A-891B-47B9-AC9D-C639A53AB6A1}"/>
    <cellStyle name="Normal 2 4 2 4 11" xfId="9791" xr:uid="{B1FD59C9-476B-47AE-ADE4-641FDB43CE30}"/>
    <cellStyle name="Normal 2 4 2 4 2" xfId="290" xr:uid="{00000000-0005-0000-0000-0000370F0000}"/>
    <cellStyle name="Normal 2 4 2 4 2 10" xfId="9792" xr:uid="{3616EAB9-AF8F-43FA-9A68-A5CFF106407C}"/>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C7F90FF4-6630-42EA-AA81-F575C8FC7F9F}"/>
    <cellStyle name="Normal 2 4 2 4 2 2 2 2 3" xfId="12352" xr:uid="{8ED655B7-9F97-4587-90DF-CB0C95B1569C}"/>
    <cellStyle name="Normal 2 4 2 4 2 2 2 3" xfId="5098" xr:uid="{00000000-0005-0000-0000-00003C0F0000}"/>
    <cellStyle name="Normal 2 4 2 4 2 2 2 3 2" xfId="14424" xr:uid="{3083177C-F044-4C63-B73D-0708F7083727}"/>
    <cellStyle name="Normal 2 4 2 4 2 2 2 4" xfId="9547" xr:uid="{F8909421-8B16-4168-8B85-A5523C430C3C}"/>
    <cellStyle name="Normal 2 4 2 4 2 2 2 4 2" xfId="18862" xr:uid="{6F25CAF4-9A30-452C-8545-4070FFEFBAD1}"/>
    <cellStyle name="Normal 2 4 2 4 2 2 2 5" xfId="10207" xr:uid="{05E42CC3-227B-49DE-B555-1F12A3270245}"/>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EFD2DDE0-A136-404C-99D7-A8027CB4B1DC}"/>
    <cellStyle name="Normal 2 4 2 4 2 2 3 2 3" xfId="12765" xr:uid="{ACBE6B5D-A554-4470-AE73-25F915042178}"/>
    <cellStyle name="Normal 2 4 2 4 2 2 3 3" xfId="5511" xr:uid="{00000000-0005-0000-0000-0000400F0000}"/>
    <cellStyle name="Normal 2 4 2 4 2 2 3 3 2" xfId="14837" xr:uid="{A37A9203-0D3D-4672-8011-F8CEE3258997}"/>
    <cellStyle name="Normal 2 4 2 4 2 2 3 4" xfId="10620" xr:uid="{F9C6117D-9D64-4D6B-BA2D-465AF1CB316A}"/>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A982CA62-14E1-4A93-86B3-1D5DD613523A}"/>
    <cellStyle name="Normal 2 4 2 4 2 2 4 2 3" xfId="13178" xr:uid="{9F2B754C-AD68-4E5D-B70C-8AFAA88E01C6}"/>
    <cellStyle name="Normal 2 4 2 4 2 2 4 3" xfId="5924" xr:uid="{00000000-0005-0000-0000-0000440F0000}"/>
    <cellStyle name="Normal 2 4 2 4 2 2 4 3 2" xfId="15250" xr:uid="{66C21BD9-5A23-4FD3-94DF-6142ACD9AAE2}"/>
    <cellStyle name="Normal 2 4 2 4 2 2 4 4" xfId="11033" xr:uid="{25FDE79F-5838-42E9-A238-F44CEE9AB74B}"/>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B032F380-44F0-4DAB-9EE6-9FE28EFA7852}"/>
    <cellStyle name="Normal 2 4 2 4 2 2 5 2 3" xfId="13591" xr:uid="{A34FAC14-FCB9-49DB-971F-3E9829D6EBEC}"/>
    <cellStyle name="Normal 2 4 2 4 2 2 5 3" xfId="6337" xr:uid="{00000000-0005-0000-0000-0000480F0000}"/>
    <cellStyle name="Normal 2 4 2 4 2 2 5 3 2" xfId="15663" xr:uid="{90057F7B-30F4-4F8D-B876-9332361E4D86}"/>
    <cellStyle name="Normal 2 4 2 4 2 2 5 4" xfId="11446" xr:uid="{6326754E-35C9-4ED4-891F-4CC4CA2297C6}"/>
    <cellStyle name="Normal 2 4 2 4 2 2 6" xfId="2467" xr:uid="{00000000-0005-0000-0000-0000490F0000}"/>
    <cellStyle name="Normal 2 4 2 4 2 2 6 2" xfId="6750" xr:uid="{00000000-0005-0000-0000-00004A0F0000}"/>
    <cellStyle name="Normal 2 4 2 4 2 2 6 2 2" xfId="16076" xr:uid="{BE741447-9B85-41A1-AEF9-5BED711ADD2F}"/>
    <cellStyle name="Normal 2 4 2 4 2 2 6 3" xfId="11859" xr:uid="{FE58154F-8EE0-4F64-AB56-D8E35177F025}"/>
    <cellStyle name="Normal 2 4 2 4 2 2 7" xfId="4684" xr:uid="{00000000-0005-0000-0000-00004B0F0000}"/>
    <cellStyle name="Normal 2 4 2 4 2 2 7 2" xfId="14010" xr:uid="{FEACE1F0-C1E0-443E-8EDC-8AB8F524ED4D}"/>
    <cellStyle name="Normal 2 4 2 4 2 2 8" xfId="9122" xr:uid="{861CB008-611F-4F3F-9D09-5BCA5A4CB255}"/>
    <cellStyle name="Normal 2 4 2 4 2 2 8 2" xfId="18446" xr:uid="{6BCBAC7F-1D4C-48AB-857C-AA20CFFEB581}"/>
    <cellStyle name="Normal 2 4 2 4 2 2 9" xfId="9793" xr:uid="{329F6FE6-0371-48A4-8114-C42B30B6DA36}"/>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06E6B6FA-A2CF-4E59-B329-248D985FE544}"/>
    <cellStyle name="Normal 2 4 2 4 2 3 2 3" xfId="12351" xr:uid="{54F46D49-E563-4B63-B126-B771D345A110}"/>
    <cellStyle name="Normal 2 4 2 4 2 3 3" xfId="5097" xr:uid="{00000000-0005-0000-0000-00004F0F0000}"/>
    <cellStyle name="Normal 2 4 2 4 2 3 3 2" xfId="14423" xr:uid="{FB3F8772-FEA1-46D7-80C0-8B1DDADC5153}"/>
    <cellStyle name="Normal 2 4 2 4 2 3 4" xfId="9340" xr:uid="{2D1F2F91-F6E8-42AC-98D0-B8667E0ECE37}"/>
    <cellStyle name="Normal 2 4 2 4 2 3 4 2" xfId="18655" xr:uid="{8FCCBAB2-8DD7-4F83-8CA0-32E3A0621400}"/>
    <cellStyle name="Normal 2 4 2 4 2 3 5" xfId="10206" xr:uid="{3F1D7F01-0DEF-4EA5-BEFF-D40D345F8108}"/>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005719BB-1260-4A0D-BE92-8B386C4959FE}"/>
    <cellStyle name="Normal 2 4 2 4 2 4 2 3" xfId="12764" xr:uid="{B505DFFE-08AE-4752-99C4-5A9F4D8C84AC}"/>
    <cellStyle name="Normal 2 4 2 4 2 4 3" xfId="5510" xr:uid="{00000000-0005-0000-0000-0000530F0000}"/>
    <cellStyle name="Normal 2 4 2 4 2 4 3 2" xfId="14836" xr:uid="{A1E1B3A7-BC89-4275-8DB5-24E29535C702}"/>
    <cellStyle name="Normal 2 4 2 4 2 4 4" xfId="10619" xr:uid="{6AB5D35D-3FD1-4CBB-994D-5FD3E3801C11}"/>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2BA6CA7B-A58B-4A09-A90A-B07C36B23710}"/>
    <cellStyle name="Normal 2 4 2 4 2 5 2 3" xfId="13177" xr:uid="{A6F88CF8-CAA0-4C6C-A210-4826C3151B96}"/>
    <cellStyle name="Normal 2 4 2 4 2 5 3" xfId="5923" xr:uid="{00000000-0005-0000-0000-0000570F0000}"/>
    <cellStyle name="Normal 2 4 2 4 2 5 3 2" xfId="15249" xr:uid="{873A8B71-C472-4D44-9266-A68CA91B23F5}"/>
    <cellStyle name="Normal 2 4 2 4 2 5 4" xfId="11032" xr:uid="{4D7F3B67-4D38-44A1-9CBE-3AD26522183F}"/>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BE8196E7-5964-451A-B3A2-488E1C293840}"/>
    <cellStyle name="Normal 2 4 2 4 2 6 2 3" xfId="13590" xr:uid="{6F87F4CB-243A-47FF-8E44-FBF54B32F6FF}"/>
    <cellStyle name="Normal 2 4 2 4 2 6 3" xfId="6336" xr:uid="{00000000-0005-0000-0000-00005B0F0000}"/>
    <cellStyle name="Normal 2 4 2 4 2 6 3 2" xfId="15662" xr:uid="{3E812966-19EC-4910-9F4E-06264B387BEF}"/>
    <cellStyle name="Normal 2 4 2 4 2 6 4" xfId="11445" xr:uid="{A6CC0928-918B-4ACD-803D-4207D162E9B1}"/>
    <cellStyle name="Normal 2 4 2 4 2 7" xfId="2466" xr:uid="{00000000-0005-0000-0000-00005C0F0000}"/>
    <cellStyle name="Normal 2 4 2 4 2 7 2" xfId="6749" xr:uid="{00000000-0005-0000-0000-00005D0F0000}"/>
    <cellStyle name="Normal 2 4 2 4 2 7 2 2" xfId="16075" xr:uid="{65CCA57E-3FDC-451E-90DE-4DB76A0FB903}"/>
    <cellStyle name="Normal 2 4 2 4 2 7 3" xfId="11858" xr:uid="{31052DA9-600C-49A4-A72A-1E4E2AF6F07A}"/>
    <cellStyle name="Normal 2 4 2 4 2 8" xfId="4683" xr:uid="{00000000-0005-0000-0000-00005E0F0000}"/>
    <cellStyle name="Normal 2 4 2 4 2 8 2" xfId="14009" xr:uid="{F489D382-DEA2-4B24-95B4-D82BD62E8BFE}"/>
    <cellStyle name="Normal 2 4 2 4 2 9" xfId="8915" xr:uid="{2BEB15AA-2AFA-47D4-AC0E-63DAF2CFE119}"/>
    <cellStyle name="Normal 2 4 2 4 2 9 2" xfId="18239" xr:uid="{535D1F34-1422-4354-95C6-8C4AF6CDE2AC}"/>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27DE823E-9718-4042-840B-275EFCEFC2E4}"/>
    <cellStyle name="Normal 2 4 2 4 3 2 2 3" xfId="12353" xr:uid="{DF942C5E-369F-40C0-A102-C4569930C1F8}"/>
    <cellStyle name="Normal 2 4 2 4 3 2 3" xfId="5099" xr:uid="{00000000-0005-0000-0000-0000630F0000}"/>
    <cellStyle name="Normal 2 4 2 4 3 2 3 2" xfId="14425" xr:uid="{8FA58CC9-90F6-44E8-A953-2153DDDBBEDD}"/>
    <cellStyle name="Normal 2 4 2 4 3 2 4" xfId="9444" xr:uid="{807939DF-E7C0-4015-A3D8-AE9E56020172}"/>
    <cellStyle name="Normal 2 4 2 4 3 2 4 2" xfId="18759" xr:uid="{12CE41BE-A06B-427D-B75E-BFBE84FCC70A}"/>
    <cellStyle name="Normal 2 4 2 4 3 2 5" xfId="10208" xr:uid="{292D3F5A-101E-428F-BA6A-77FA74709396}"/>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A4B7E16E-CAA0-41A8-9C35-CB8295D461FB}"/>
    <cellStyle name="Normal 2 4 2 4 3 3 2 3" xfId="12766" xr:uid="{309C3B8F-5797-421B-89DD-06028F2EEF15}"/>
    <cellStyle name="Normal 2 4 2 4 3 3 3" xfId="5512" xr:uid="{00000000-0005-0000-0000-0000670F0000}"/>
    <cellStyle name="Normal 2 4 2 4 3 3 3 2" xfId="14838" xr:uid="{AB881604-8A86-4FBE-8C4F-0D1B214254E4}"/>
    <cellStyle name="Normal 2 4 2 4 3 3 4" xfId="10621" xr:uid="{485EEE74-C7A0-4CB8-8805-17BAFF56F5B3}"/>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6F97BC6B-E07F-43B7-BB8F-87E954501FAB}"/>
    <cellStyle name="Normal 2 4 2 4 3 4 2 3" xfId="13179" xr:uid="{0577EA9D-8B36-43E2-AB07-066D7FA53AEA}"/>
    <cellStyle name="Normal 2 4 2 4 3 4 3" xfId="5925" xr:uid="{00000000-0005-0000-0000-00006B0F0000}"/>
    <cellStyle name="Normal 2 4 2 4 3 4 3 2" xfId="15251" xr:uid="{03802E97-289F-4E41-BCB0-368D46576C56}"/>
    <cellStyle name="Normal 2 4 2 4 3 4 4" xfId="11034" xr:uid="{A24CFEFB-2F29-4200-B54E-ECDB6DDA1D5B}"/>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99E693D9-F8D1-4EDC-9772-2711090D2E72}"/>
    <cellStyle name="Normal 2 4 2 4 3 5 2 3" xfId="13592" xr:uid="{A9B9B9B1-8200-41AD-BAAA-CA33932CBFFD}"/>
    <cellStyle name="Normal 2 4 2 4 3 5 3" xfId="6338" xr:uid="{00000000-0005-0000-0000-00006F0F0000}"/>
    <cellStyle name="Normal 2 4 2 4 3 5 3 2" xfId="15664" xr:uid="{03A85E9C-6EBE-445F-A2E2-924FDE5AF0A4}"/>
    <cellStyle name="Normal 2 4 2 4 3 5 4" xfId="11447" xr:uid="{F968C199-2D01-4895-B87E-06AEC2B10C82}"/>
    <cellStyle name="Normal 2 4 2 4 3 6" xfId="2468" xr:uid="{00000000-0005-0000-0000-0000700F0000}"/>
    <cellStyle name="Normal 2 4 2 4 3 6 2" xfId="6751" xr:uid="{00000000-0005-0000-0000-0000710F0000}"/>
    <cellStyle name="Normal 2 4 2 4 3 6 2 2" xfId="16077" xr:uid="{F83B3ADE-0E35-4F2A-9393-651C23880830}"/>
    <cellStyle name="Normal 2 4 2 4 3 6 3" xfId="11860" xr:uid="{90C52FFD-BEBD-4137-8C5B-C080355E93C2}"/>
    <cellStyle name="Normal 2 4 2 4 3 7" xfId="4685" xr:uid="{00000000-0005-0000-0000-0000720F0000}"/>
    <cellStyle name="Normal 2 4 2 4 3 7 2" xfId="14011" xr:uid="{75461B50-314E-4796-A3C6-A0F6B89ED543}"/>
    <cellStyle name="Normal 2 4 2 4 3 8" xfId="9019" xr:uid="{1F22810F-FF7D-4FF4-861A-F2BA8F253428}"/>
    <cellStyle name="Normal 2 4 2 4 3 8 2" xfId="18343" xr:uid="{627381A8-B37E-4AF2-BA82-84DE2FF8D7CC}"/>
    <cellStyle name="Normal 2 4 2 4 3 9" xfId="9794" xr:uid="{8CCC250C-A934-497D-A2A7-06AC4EE89A3F}"/>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3E22B48F-AD58-4FD3-9183-70FA72EE4C1F}"/>
    <cellStyle name="Normal 2 4 2 4 4 2 3" xfId="12350" xr:uid="{677F8439-4F05-4D46-8E3A-87D81724404B}"/>
    <cellStyle name="Normal 2 4 2 4 4 3" xfId="5096" xr:uid="{00000000-0005-0000-0000-0000760F0000}"/>
    <cellStyle name="Normal 2 4 2 4 4 3 2" xfId="14422" xr:uid="{F4B5CE76-FDF3-4699-B33C-9BE8FA2F31FF}"/>
    <cellStyle name="Normal 2 4 2 4 4 4" xfId="9237" xr:uid="{FF4B133D-A40B-4895-9E3D-E727B18E66C8}"/>
    <cellStyle name="Normal 2 4 2 4 4 4 2" xfId="18552" xr:uid="{91F8386C-4C5B-4A77-AF06-E9405E92D0B8}"/>
    <cellStyle name="Normal 2 4 2 4 4 5" xfId="10205" xr:uid="{B23C78B0-BA4D-42AB-97F6-7278DA970C3E}"/>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AB4FD639-65AB-4ACE-BB68-F1A263D16ADF}"/>
    <cellStyle name="Normal 2 4 2 4 5 2 3" xfId="12763" xr:uid="{4EEC97E9-8679-470E-BE67-9B48B65EE59A}"/>
    <cellStyle name="Normal 2 4 2 4 5 3" xfId="5509" xr:uid="{00000000-0005-0000-0000-00007A0F0000}"/>
    <cellStyle name="Normal 2 4 2 4 5 3 2" xfId="14835" xr:uid="{EC143012-752D-441C-A70D-99A1A6D0CE94}"/>
    <cellStyle name="Normal 2 4 2 4 5 4" xfId="10618" xr:uid="{F1EC4FC1-5077-484C-84EB-D4B656ADEC17}"/>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8D6D62D5-AD8C-43D0-97F6-554EDEDD114B}"/>
    <cellStyle name="Normal 2 4 2 4 6 2 3" xfId="13176" xr:uid="{D69A4F77-AF49-4F0E-8892-D727DC6FABA2}"/>
    <cellStyle name="Normal 2 4 2 4 6 3" xfId="5922" xr:uid="{00000000-0005-0000-0000-00007E0F0000}"/>
    <cellStyle name="Normal 2 4 2 4 6 3 2" xfId="15248" xr:uid="{0703636E-4644-496F-AFFE-E397DD7912D9}"/>
    <cellStyle name="Normal 2 4 2 4 6 4" xfId="11031" xr:uid="{BC66F759-686E-42C9-9900-F7C324C75E6C}"/>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1BFB075F-473B-4583-9BD2-813327DAA972}"/>
    <cellStyle name="Normal 2 4 2 4 7 2 3" xfId="13589" xr:uid="{4E6E7C9D-16C9-4DC3-AF98-DBD685D48F78}"/>
    <cellStyle name="Normal 2 4 2 4 7 3" xfId="6335" xr:uid="{00000000-0005-0000-0000-0000820F0000}"/>
    <cellStyle name="Normal 2 4 2 4 7 3 2" xfId="15661" xr:uid="{68D15CC2-0485-45F4-A6A9-14A7BC08A273}"/>
    <cellStyle name="Normal 2 4 2 4 7 4" xfId="11444" xr:uid="{BB5966BD-71A5-41F1-BCAA-C22D9ABEF029}"/>
    <cellStyle name="Normal 2 4 2 4 8" xfId="2465" xr:uid="{00000000-0005-0000-0000-0000830F0000}"/>
    <cellStyle name="Normal 2 4 2 4 8 2" xfId="6748" xr:uid="{00000000-0005-0000-0000-0000840F0000}"/>
    <cellStyle name="Normal 2 4 2 4 8 2 2" xfId="16074" xr:uid="{CB944EC7-44EE-498E-8EE2-19BC10777D3D}"/>
    <cellStyle name="Normal 2 4 2 4 8 3" xfId="11857" xr:uid="{E14E94DA-F3A3-4129-B238-21602DD13547}"/>
    <cellStyle name="Normal 2 4 2 4 9" xfId="4682" xr:uid="{00000000-0005-0000-0000-0000850F0000}"/>
    <cellStyle name="Normal 2 4 2 4 9 2" xfId="14008" xr:uid="{0E218E51-D6DC-44AC-A65D-97EA90DFA59F}"/>
    <cellStyle name="Normal 2 4 2 5" xfId="293" xr:uid="{00000000-0005-0000-0000-0000860F0000}"/>
    <cellStyle name="Normal 2 4 2 5 10" xfId="9795" xr:uid="{98FFA1DF-C95A-47B0-B120-63B5A6372F0B}"/>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1B37BE12-3BC4-4AD2-93BA-D43567258EB5}"/>
    <cellStyle name="Normal 2 4 2 5 2 2 2 3" xfId="12355" xr:uid="{B6F0278C-3177-412E-8704-638D5244F376}"/>
    <cellStyle name="Normal 2 4 2 5 2 2 3" xfId="5101" xr:uid="{00000000-0005-0000-0000-00008B0F0000}"/>
    <cellStyle name="Normal 2 4 2 5 2 2 3 2" xfId="14427" xr:uid="{323741FF-4C71-47B2-B1F5-292844A073A0}"/>
    <cellStyle name="Normal 2 4 2 5 2 2 4" xfId="9492" xr:uid="{07DC9204-2F52-408E-80EE-617A106DD9FD}"/>
    <cellStyle name="Normal 2 4 2 5 2 2 4 2" xfId="18807" xr:uid="{64531E01-CC44-4676-8BD9-AD8906BCFD67}"/>
    <cellStyle name="Normal 2 4 2 5 2 2 5" xfId="10210" xr:uid="{DC806B60-11B1-4B18-B749-25523288ACB7}"/>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56A84C96-C1A5-4601-AAB8-C364C3A682A7}"/>
    <cellStyle name="Normal 2 4 2 5 2 3 2 3" xfId="12768" xr:uid="{C3A1640F-BB2C-408D-B020-F96E2B207078}"/>
    <cellStyle name="Normal 2 4 2 5 2 3 3" xfId="5514" xr:uid="{00000000-0005-0000-0000-00008F0F0000}"/>
    <cellStyle name="Normal 2 4 2 5 2 3 3 2" xfId="14840" xr:uid="{F7B64E67-2E94-492D-9053-55A20242F0CB}"/>
    <cellStyle name="Normal 2 4 2 5 2 3 4" xfId="10623" xr:uid="{7A930DD0-85BF-4A72-9D65-D9C954FEA293}"/>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D5F473CD-3F84-4B25-A9D5-F85F5425556C}"/>
    <cellStyle name="Normal 2 4 2 5 2 4 2 3" xfId="13181" xr:uid="{3E798EDD-0026-42E5-A512-82F1939CD496}"/>
    <cellStyle name="Normal 2 4 2 5 2 4 3" xfId="5927" xr:uid="{00000000-0005-0000-0000-0000930F0000}"/>
    <cellStyle name="Normal 2 4 2 5 2 4 3 2" xfId="15253" xr:uid="{F132DD55-6B75-4F35-87CE-60EBDC85916C}"/>
    <cellStyle name="Normal 2 4 2 5 2 4 4" xfId="11036" xr:uid="{CDF5FEF8-D5D2-408D-9057-4812AA330284}"/>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79FBA488-E328-4013-83BA-6771C5943783}"/>
    <cellStyle name="Normal 2 4 2 5 2 5 2 3" xfId="13594" xr:uid="{27E96F06-9691-47AA-8966-D3EC33CD4F09}"/>
    <cellStyle name="Normal 2 4 2 5 2 5 3" xfId="6340" xr:uid="{00000000-0005-0000-0000-0000970F0000}"/>
    <cellStyle name="Normal 2 4 2 5 2 5 3 2" xfId="15666" xr:uid="{6CCC2DC9-DB46-4FC6-8F60-4D9754C69B6B}"/>
    <cellStyle name="Normal 2 4 2 5 2 5 4" xfId="11449" xr:uid="{19B0A880-925B-4505-9EE5-EADBA17590C1}"/>
    <cellStyle name="Normal 2 4 2 5 2 6" xfId="2470" xr:uid="{00000000-0005-0000-0000-0000980F0000}"/>
    <cellStyle name="Normal 2 4 2 5 2 6 2" xfId="6753" xr:uid="{00000000-0005-0000-0000-0000990F0000}"/>
    <cellStyle name="Normal 2 4 2 5 2 6 2 2" xfId="16079" xr:uid="{3AF65314-198F-49D4-9913-AFFD0E6B8C04}"/>
    <cellStyle name="Normal 2 4 2 5 2 6 3" xfId="11862" xr:uid="{FC06D175-0EC0-4165-9D36-B2DDA9501D08}"/>
    <cellStyle name="Normal 2 4 2 5 2 7" xfId="4687" xr:uid="{00000000-0005-0000-0000-00009A0F0000}"/>
    <cellStyle name="Normal 2 4 2 5 2 7 2" xfId="14013" xr:uid="{CB1C8034-86F2-45FE-A1B2-81B8A4625530}"/>
    <cellStyle name="Normal 2 4 2 5 2 8" xfId="9067" xr:uid="{89D5CB5A-ADE0-44B8-BC1E-FDE984B579C9}"/>
    <cellStyle name="Normal 2 4 2 5 2 8 2" xfId="18391" xr:uid="{04A03C45-DC5F-40B9-AEA7-2453AA30AC2A}"/>
    <cellStyle name="Normal 2 4 2 5 2 9" xfId="9796" xr:uid="{37000F1E-1F3C-42DF-A1CD-4C38C89BD9B3}"/>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EEC786B2-80D7-4A76-93B0-C20235AA5E1F}"/>
    <cellStyle name="Normal 2 4 2 5 3 2 3" xfId="12354" xr:uid="{971C06E8-ACBC-43A3-A7F1-BDFFFF35C2FE}"/>
    <cellStyle name="Normal 2 4 2 5 3 3" xfId="5100" xr:uid="{00000000-0005-0000-0000-00009E0F0000}"/>
    <cellStyle name="Normal 2 4 2 5 3 3 2" xfId="14426" xr:uid="{07553377-228A-4402-81B0-35914ED99D12}"/>
    <cellStyle name="Normal 2 4 2 5 3 4" xfId="9285" xr:uid="{5DA39FB9-904E-46D3-8E24-58BF2F19DA5B}"/>
    <cellStyle name="Normal 2 4 2 5 3 4 2" xfId="18600" xr:uid="{A3CB8D8F-2CF9-479C-8DDD-375EA0DC8860}"/>
    <cellStyle name="Normal 2 4 2 5 3 5" xfId="10209" xr:uid="{D5B801E6-5F3A-4CFA-B39B-DF45869449F2}"/>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79DCAE07-A862-44FE-83DD-AB85CA457729}"/>
    <cellStyle name="Normal 2 4 2 5 4 2 3" xfId="12767" xr:uid="{0A289674-2CB9-4A22-AC1D-3AB7AAF38897}"/>
    <cellStyle name="Normal 2 4 2 5 4 3" xfId="5513" xr:uid="{00000000-0005-0000-0000-0000A20F0000}"/>
    <cellStyle name="Normal 2 4 2 5 4 3 2" xfId="14839" xr:uid="{A715C005-162F-49BA-912F-BD8410DC6FAF}"/>
    <cellStyle name="Normal 2 4 2 5 4 4" xfId="10622" xr:uid="{D104D7E2-D95B-404B-92C1-BC6B452F7C0C}"/>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33090CAE-ED1D-4E2D-A9CF-2EE7628F42A4}"/>
    <cellStyle name="Normal 2 4 2 5 5 2 3" xfId="13180" xr:uid="{F8756F0C-6C57-4BF5-95A4-C98F43D65506}"/>
    <cellStyle name="Normal 2 4 2 5 5 3" xfId="5926" xr:uid="{00000000-0005-0000-0000-0000A60F0000}"/>
    <cellStyle name="Normal 2 4 2 5 5 3 2" xfId="15252" xr:uid="{406D7410-8BFF-478A-8F78-B12E21AE3757}"/>
    <cellStyle name="Normal 2 4 2 5 5 4" xfId="11035" xr:uid="{3883DC07-7C45-4FCD-B078-E73476EF811E}"/>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B17E091E-701F-4605-800C-AB72A48EA5CC}"/>
    <cellStyle name="Normal 2 4 2 5 6 2 3" xfId="13593" xr:uid="{B0743168-F51E-4F0C-81A4-0D7FE79AC233}"/>
    <cellStyle name="Normal 2 4 2 5 6 3" xfId="6339" xr:uid="{00000000-0005-0000-0000-0000AA0F0000}"/>
    <cellStyle name="Normal 2 4 2 5 6 3 2" xfId="15665" xr:uid="{F743A4DE-6042-4400-9C17-380A12AFAA13}"/>
    <cellStyle name="Normal 2 4 2 5 6 4" xfId="11448" xr:uid="{89FF7196-B8AB-466F-A258-AA93BBF09AA1}"/>
    <cellStyle name="Normal 2 4 2 5 7" xfId="2469" xr:uid="{00000000-0005-0000-0000-0000AB0F0000}"/>
    <cellStyle name="Normal 2 4 2 5 7 2" xfId="6752" xr:uid="{00000000-0005-0000-0000-0000AC0F0000}"/>
    <cellStyle name="Normal 2 4 2 5 7 2 2" xfId="16078" xr:uid="{F07F95AB-11B9-4A57-A386-D199A01923C8}"/>
    <cellStyle name="Normal 2 4 2 5 7 3" xfId="11861" xr:uid="{350CB379-6A60-418A-BF09-B6DD4BE3A457}"/>
    <cellStyle name="Normal 2 4 2 5 8" xfId="4686" xr:uid="{00000000-0005-0000-0000-0000AD0F0000}"/>
    <cellStyle name="Normal 2 4 2 5 8 2" xfId="14012" xr:uid="{4E7A68DA-1BC1-4F35-9728-5BA4F7322E6A}"/>
    <cellStyle name="Normal 2 4 2 5 9" xfId="8860" xr:uid="{5FAFEFC0-3249-464B-9F12-2B1DA137C588}"/>
    <cellStyle name="Normal 2 4 2 5 9 2" xfId="18184" xr:uid="{9D9A3E17-2FFD-4F9A-A2A5-F38E920395B4}"/>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5F128F74-9E2A-4FC1-B267-C2CE83194CA3}"/>
    <cellStyle name="Normal 2 4 2 6 2 2 3" xfId="12356" xr:uid="{33ED58B5-96AD-4DE0-B6FD-71743B26D7E3}"/>
    <cellStyle name="Normal 2 4 2 6 2 3" xfId="5102" xr:uid="{00000000-0005-0000-0000-0000B20F0000}"/>
    <cellStyle name="Normal 2 4 2 6 2 3 2" xfId="14428" xr:uid="{DA9AF45C-0374-4F5C-89DA-B8E518C36295}"/>
    <cellStyle name="Normal 2 4 2 6 2 4" xfId="9401" xr:uid="{C89DD342-23DD-474B-84C5-F9DED42F169B}"/>
    <cellStyle name="Normal 2 4 2 6 2 4 2" xfId="18716" xr:uid="{0091E522-ACEA-4EDD-80F9-D3A5ABA1D91F}"/>
    <cellStyle name="Normal 2 4 2 6 2 5" xfId="10211" xr:uid="{9FD61187-2273-4876-85FC-8228B45F1074}"/>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6E2C44B4-19B8-4569-8E37-77BBCD995019}"/>
    <cellStyle name="Normal 2 4 2 6 3 2 3" xfId="12769" xr:uid="{0D2E5BFA-5C17-46DA-96D1-5FB65DBCE0C7}"/>
    <cellStyle name="Normal 2 4 2 6 3 3" xfId="5515" xr:uid="{00000000-0005-0000-0000-0000B60F0000}"/>
    <cellStyle name="Normal 2 4 2 6 3 3 2" xfId="14841" xr:uid="{DFC028B6-71F3-46AF-9750-3E7F2B4410C2}"/>
    <cellStyle name="Normal 2 4 2 6 3 4" xfId="10624" xr:uid="{9E868436-63E9-45CC-B79C-86CC5F81F0AF}"/>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E03BBBEE-B66D-471E-81BC-6566D9E6495C}"/>
    <cellStyle name="Normal 2 4 2 6 4 2 3" xfId="13182" xr:uid="{7183765F-75AD-499C-AE18-780CB8B5060A}"/>
    <cellStyle name="Normal 2 4 2 6 4 3" xfId="5928" xr:uid="{00000000-0005-0000-0000-0000BA0F0000}"/>
    <cellStyle name="Normal 2 4 2 6 4 3 2" xfId="15254" xr:uid="{1A7729E2-0F2C-4EAA-9EC9-3FC0C8736C5F}"/>
    <cellStyle name="Normal 2 4 2 6 4 4" xfId="11037" xr:uid="{9B016BAE-08C3-4F09-8B51-1E22AF6C0562}"/>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9557CAB2-4A4E-4726-A36A-3E49E8F33AAB}"/>
    <cellStyle name="Normal 2 4 2 6 5 2 3" xfId="13595" xr:uid="{9ECCE03E-E2EE-4FB8-BDC7-5BDC4435EED7}"/>
    <cellStyle name="Normal 2 4 2 6 5 3" xfId="6341" xr:uid="{00000000-0005-0000-0000-0000BE0F0000}"/>
    <cellStyle name="Normal 2 4 2 6 5 3 2" xfId="15667" xr:uid="{725FB603-ED9C-46F1-8631-70EDBFCF7CBB}"/>
    <cellStyle name="Normal 2 4 2 6 5 4" xfId="11450" xr:uid="{775BE337-18DE-4DDF-A724-7CD6E0F7E4F1}"/>
    <cellStyle name="Normal 2 4 2 6 6" xfId="2471" xr:uid="{00000000-0005-0000-0000-0000BF0F0000}"/>
    <cellStyle name="Normal 2 4 2 6 6 2" xfId="6754" xr:uid="{00000000-0005-0000-0000-0000C00F0000}"/>
    <cellStyle name="Normal 2 4 2 6 6 2 2" xfId="16080" xr:uid="{16D3AC4B-7093-4C51-8A30-8D607B4F888C}"/>
    <cellStyle name="Normal 2 4 2 6 6 3" xfId="11863" xr:uid="{DF280588-0DEA-4DC9-8C58-C8E26FF9C9B4}"/>
    <cellStyle name="Normal 2 4 2 6 7" xfId="4688" xr:uid="{00000000-0005-0000-0000-0000C10F0000}"/>
    <cellStyle name="Normal 2 4 2 6 7 2" xfId="14014" xr:uid="{FC8F15A1-945A-456B-BF17-2B142B8E36DD}"/>
    <cellStyle name="Normal 2 4 2 6 8" xfId="8976" xr:uid="{6DEAFF8C-68CB-4364-A161-479509F453AE}"/>
    <cellStyle name="Normal 2 4 2 6 8 2" xfId="18300" xr:uid="{B0E43DCC-D1A4-4DC8-AC0B-48B4F7ADBC8E}"/>
    <cellStyle name="Normal 2 4 2 6 9" xfId="9797" xr:uid="{81284FF6-8B29-40A7-B828-4425D0B7375B}"/>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FE153ED9-8F30-4663-A1A2-8F2C005B84F6}"/>
    <cellStyle name="Normal 2 4 2 7 2 3" xfId="12341" xr:uid="{C5D6F590-1056-4104-B29D-E92D71160705}"/>
    <cellStyle name="Normal 2 4 2 7 3" xfId="5087" xr:uid="{00000000-0005-0000-0000-0000C50F0000}"/>
    <cellStyle name="Normal 2 4 2 7 3 2" xfId="14413" xr:uid="{0DC84FE7-7E4C-4663-B25F-DC2DC168A18E}"/>
    <cellStyle name="Normal 2 4 2 7 4" xfId="9179" xr:uid="{D1C44CED-398E-43B3-AFA3-1E7DC60C5D92}"/>
    <cellStyle name="Normal 2 4 2 7 4 2" xfId="18497" xr:uid="{3CF40A79-8624-4EF3-93A1-0D5F9319749A}"/>
    <cellStyle name="Normal 2 4 2 7 5" xfId="10196" xr:uid="{CFFD2EC5-3256-4F8C-ADE0-744F6AAC11C9}"/>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A0CE06B1-8905-4663-9915-B2D446688D53}"/>
    <cellStyle name="Normal 2 4 2 8 2 3" xfId="12754" xr:uid="{25893E60-B951-4BBD-B842-991268E7BECE}"/>
    <cellStyle name="Normal 2 4 2 8 3" xfId="5500" xr:uid="{00000000-0005-0000-0000-0000C90F0000}"/>
    <cellStyle name="Normal 2 4 2 8 3 2" xfId="14826" xr:uid="{B4353764-35E5-4FD0-8D90-848A41BD4F63}"/>
    <cellStyle name="Normal 2 4 2 8 4" xfId="10609" xr:uid="{FB0A33B1-07BA-4D0C-B3C2-3AA6E75D287C}"/>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E4B0D437-32C3-4375-BE11-435A48E7F031}"/>
    <cellStyle name="Normal 2 4 2 9 2 3" xfId="13167" xr:uid="{359F23EE-27D8-4E86-8ECF-94A01CAE847E}"/>
    <cellStyle name="Normal 2 4 2 9 3" xfId="5913" xr:uid="{00000000-0005-0000-0000-0000CD0F0000}"/>
    <cellStyle name="Normal 2 4 2 9 3 2" xfId="15239" xr:uid="{C9A8CEE0-C54C-4D25-99B0-FC395D8EDED8}"/>
    <cellStyle name="Normal 2 4 2 9 4" xfId="11022" xr:uid="{8C79BFCF-C4D4-4D01-A0DF-9CB8B024B75C}"/>
    <cellStyle name="Normal 2 4 3" xfId="296" xr:uid="{00000000-0005-0000-0000-0000CE0F0000}"/>
    <cellStyle name="Normal 2 4 3 10" xfId="9798" xr:uid="{C9216B64-B811-4B9A-8FF4-07EC6593A808}"/>
    <cellStyle name="Normal 2 4 3 2" xfId="297" xr:uid="{00000000-0005-0000-0000-0000CF0F0000}"/>
    <cellStyle name="Normal 2 4 3 3" xfId="298" xr:uid="{00000000-0005-0000-0000-0000D00F0000}"/>
    <cellStyle name="Normal 2 4 3 3 10" xfId="8814" xr:uid="{F78EFD99-FCC5-4915-ACA3-DFC3FC0D45A5}"/>
    <cellStyle name="Normal 2 4 3 3 10 2" xfId="18138" xr:uid="{E30FB1F7-6F24-4385-8343-C6FD7DF5C1A4}"/>
    <cellStyle name="Normal 2 4 3 3 11" xfId="9799" xr:uid="{2C1C6970-2224-44EA-8512-E1CFB58974A0}"/>
    <cellStyle name="Normal 2 4 3 3 2" xfId="299" xr:uid="{00000000-0005-0000-0000-0000D10F0000}"/>
    <cellStyle name="Normal 2 4 3 3 2 10" xfId="9800" xr:uid="{B1F43BF7-D543-4A0D-9E00-F434C9E0A131}"/>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4A90056C-C91D-4378-BD3C-8431E4CAB8FE}"/>
    <cellStyle name="Normal 2 4 3 3 2 2 2 2 3" xfId="12360" xr:uid="{F2528ADC-F667-4DCA-AF22-9D1C7B1CA980}"/>
    <cellStyle name="Normal 2 4 3 3 2 2 2 3" xfId="5106" xr:uid="{00000000-0005-0000-0000-0000D60F0000}"/>
    <cellStyle name="Normal 2 4 3 3 2 2 2 3 2" xfId="14432" xr:uid="{AD01E91A-1676-483A-866A-F08D5E6842F8}"/>
    <cellStyle name="Normal 2 4 3 3 2 2 2 4" xfId="9549" xr:uid="{EA88B7BC-E37D-4688-A768-0D7FE5EF9F42}"/>
    <cellStyle name="Normal 2 4 3 3 2 2 2 4 2" xfId="18864" xr:uid="{CA59F961-21C2-434D-BE91-FC20EEA7E717}"/>
    <cellStyle name="Normal 2 4 3 3 2 2 2 5" xfId="10215" xr:uid="{3F6B00B0-DFDA-4970-B0AA-C1CD8E9B22F7}"/>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E8630BAB-58A8-405F-AE38-C5A85565117F}"/>
    <cellStyle name="Normal 2 4 3 3 2 2 3 2 3" xfId="12773" xr:uid="{B9793AD2-422D-4E98-8264-5014E11BD035}"/>
    <cellStyle name="Normal 2 4 3 3 2 2 3 3" xfId="5519" xr:uid="{00000000-0005-0000-0000-0000DA0F0000}"/>
    <cellStyle name="Normal 2 4 3 3 2 2 3 3 2" xfId="14845" xr:uid="{23198648-78E5-4313-8D85-42A068E2B888}"/>
    <cellStyle name="Normal 2 4 3 3 2 2 3 4" xfId="10628" xr:uid="{2CF7BE3A-666F-48CB-8B4C-30310A14C4F4}"/>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2845A04E-5474-4FAE-9594-52CBE7A3CB56}"/>
    <cellStyle name="Normal 2 4 3 3 2 2 4 2 3" xfId="13186" xr:uid="{6B4EA243-5266-4E03-94A4-0EAF7CCF862A}"/>
    <cellStyle name="Normal 2 4 3 3 2 2 4 3" xfId="5932" xr:uid="{00000000-0005-0000-0000-0000DE0F0000}"/>
    <cellStyle name="Normal 2 4 3 3 2 2 4 3 2" xfId="15258" xr:uid="{C2AB9FC9-8C93-4BA7-B81B-D3F4C336D2D5}"/>
    <cellStyle name="Normal 2 4 3 3 2 2 4 4" xfId="11041" xr:uid="{E4C7C739-8D1B-44C3-9B5F-DBA5DCF53372}"/>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04943A80-2567-4A09-B031-62A1A6878DBF}"/>
    <cellStyle name="Normal 2 4 3 3 2 2 5 2 3" xfId="13599" xr:uid="{02FB7F89-D139-46C4-AE17-A06C54AA8700}"/>
    <cellStyle name="Normal 2 4 3 3 2 2 5 3" xfId="6345" xr:uid="{00000000-0005-0000-0000-0000E20F0000}"/>
    <cellStyle name="Normal 2 4 3 3 2 2 5 3 2" xfId="15671" xr:uid="{A82365D0-C1B8-4598-875F-7D950875CEF7}"/>
    <cellStyle name="Normal 2 4 3 3 2 2 5 4" xfId="11454" xr:uid="{857B7A8D-71D5-4B63-AE8C-D92F187DDF72}"/>
    <cellStyle name="Normal 2 4 3 3 2 2 6" xfId="2475" xr:uid="{00000000-0005-0000-0000-0000E30F0000}"/>
    <cellStyle name="Normal 2 4 3 3 2 2 6 2" xfId="6758" xr:uid="{00000000-0005-0000-0000-0000E40F0000}"/>
    <cellStyle name="Normal 2 4 3 3 2 2 6 2 2" xfId="16084" xr:uid="{A374E70E-2CD2-4BFB-A7BE-A435646A3053}"/>
    <cellStyle name="Normal 2 4 3 3 2 2 6 3" xfId="11867" xr:uid="{AFDD0609-3744-4B7B-B9A1-B3AB9D6B8443}"/>
    <cellStyle name="Normal 2 4 3 3 2 2 7" xfId="4692" xr:uid="{00000000-0005-0000-0000-0000E50F0000}"/>
    <cellStyle name="Normal 2 4 3 3 2 2 7 2" xfId="14018" xr:uid="{2B40981F-BB0F-435C-8FCC-DED3EF3E2FFA}"/>
    <cellStyle name="Normal 2 4 3 3 2 2 8" xfId="9124" xr:uid="{1FF2B195-09C8-4D7B-A363-E8AF809A669B}"/>
    <cellStyle name="Normal 2 4 3 3 2 2 8 2" xfId="18448" xr:uid="{797DE5EA-C465-4FBF-A0F0-1B3AC9294832}"/>
    <cellStyle name="Normal 2 4 3 3 2 2 9" xfId="9801" xr:uid="{CB46C975-2C14-4D4C-86BC-7A2F95719692}"/>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35B26313-BAE5-4AAB-8D38-9AA8E5952D39}"/>
    <cellStyle name="Normal 2 4 3 3 2 3 2 3" xfId="12359" xr:uid="{4DEC254D-7BA6-4840-ACEF-3F3D4E5EA2BB}"/>
    <cellStyle name="Normal 2 4 3 3 2 3 3" xfId="5105" xr:uid="{00000000-0005-0000-0000-0000E90F0000}"/>
    <cellStyle name="Normal 2 4 3 3 2 3 3 2" xfId="14431" xr:uid="{7A745B9B-3D2A-4AC8-B91D-9F0F5D122DB9}"/>
    <cellStyle name="Normal 2 4 3 3 2 3 4" xfId="9342" xr:uid="{41454CF9-47C1-4E8A-868A-8F39341308EB}"/>
    <cellStyle name="Normal 2 4 3 3 2 3 4 2" xfId="18657" xr:uid="{94E8E451-313C-40E7-874A-CF73A0415C9C}"/>
    <cellStyle name="Normal 2 4 3 3 2 3 5" xfId="10214" xr:uid="{F71E7BA6-DECD-4861-82FE-5F3AF3AC60CC}"/>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FD66F05A-F089-41DD-8CC7-F595DFE29164}"/>
    <cellStyle name="Normal 2 4 3 3 2 4 2 3" xfId="12772" xr:uid="{2534D2B6-1DC0-4F08-8F4F-024DFC1C66CE}"/>
    <cellStyle name="Normal 2 4 3 3 2 4 3" xfId="5518" xr:uid="{00000000-0005-0000-0000-0000ED0F0000}"/>
    <cellStyle name="Normal 2 4 3 3 2 4 3 2" xfId="14844" xr:uid="{5B6695E7-10A5-459A-952F-B97D852AEC9B}"/>
    <cellStyle name="Normal 2 4 3 3 2 4 4" xfId="10627" xr:uid="{015D8EF7-8594-4FDF-BC3D-A2734A44D8C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F0083C82-129B-4D1E-9398-6A05DE93433D}"/>
    <cellStyle name="Normal 2 4 3 3 2 5 2 3" xfId="13185" xr:uid="{5809D61E-3434-4506-8693-B15FEBE6F910}"/>
    <cellStyle name="Normal 2 4 3 3 2 5 3" xfId="5931" xr:uid="{00000000-0005-0000-0000-0000F10F0000}"/>
    <cellStyle name="Normal 2 4 3 3 2 5 3 2" xfId="15257" xr:uid="{D874750B-C2E0-49F9-A7DB-007712817B93}"/>
    <cellStyle name="Normal 2 4 3 3 2 5 4" xfId="11040" xr:uid="{4746BBF1-7A81-47AA-9A78-1011752BF858}"/>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4746C874-0E94-4D37-8E06-FECD0018F373}"/>
    <cellStyle name="Normal 2 4 3 3 2 6 2 3" xfId="13598" xr:uid="{8F51B5E0-A6BE-4AAE-BA08-47A5E75DF008}"/>
    <cellStyle name="Normal 2 4 3 3 2 6 3" xfId="6344" xr:uid="{00000000-0005-0000-0000-0000F50F0000}"/>
    <cellStyle name="Normal 2 4 3 3 2 6 3 2" xfId="15670" xr:uid="{60A288B8-B7F9-4AD9-890F-3E61B1E8BD9C}"/>
    <cellStyle name="Normal 2 4 3 3 2 6 4" xfId="11453" xr:uid="{A6221FBC-0A6C-41FF-9167-394FD97FCB23}"/>
    <cellStyle name="Normal 2 4 3 3 2 7" xfId="2474" xr:uid="{00000000-0005-0000-0000-0000F60F0000}"/>
    <cellStyle name="Normal 2 4 3 3 2 7 2" xfId="6757" xr:uid="{00000000-0005-0000-0000-0000F70F0000}"/>
    <cellStyle name="Normal 2 4 3 3 2 7 2 2" xfId="16083" xr:uid="{89E11F91-B676-4195-A26C-41DB85598A2D}"/>
    <cellStyle name="Normal 2 4 3 3 2 7 3" xfId="11866" xr:uid="{58D01A01-8389-4E42-A885-05900F71DBBA}"/>
    <cellStyle name="Normal 2 4 3 3 2 8" xfId="4691" xr:uid="{00000000-0005-0000-0000-0000F80F0000}"/>
    <cellStyle name="Normal 2 4 3 3 2 8 2" xfId="14017" xr:uid="{3833BE9F-84CE-45A5-A4B2-2A869F452B95}"/>
    <cellStyle name="Normal 2 4 3 3 2 9" xfId="8917" xr:uid="{1E22693C-F4B1-4678-80B0-65CF6DC31586}"/>
    <cellStyle name="Normal 2 4 3 3 2 9 2" xfId="18241" xr:uid="{0A7B462C-BE9A-46EC-B2B1-A1D1BDCF6FE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75DA9F6A-CCFC-4294-9E60-6CA13077F2B9}"/>
    <cellStyle name="Normal 2 4 3 3 3 2 2 3" xfId="12361" xr:uid="{7BF6EDF8-60D9-4C4B-97C5-2E53C39CE982}"/>
    <cellStyle name="Normal 2 4 3 3 3 2 3" xfId="5107" xr:uid="{00000000-0005-0000-0000-0000FD0F0000}"/>
    <cellStyle name="Normal 2 4 3 3 3 2 3 2" xfId="14433" xr:uid="{9C2666A2-D0E1-4057-929B-9255AF8CE37B}"/>
    <cellStyle name="Normal 2 4 3 3 3 2 4" xfId="9446" xr:uid="{7ACDBBC8-943F-41CF-9832-96F56BCB3985}"/>
    <cellStyle name="Normal 2 4 3 3 3 2 4 2" xfId="18761" xr:uid="{2113A1D3-7B79-457D-AF9D-3C43C7398F49}"/>
    <cellStyle name="Normal 2 4 3 3 3 2 5" xfId="10216" xr:uid="{5A60056D-148F-4957-BFE0-A3BE9F1AEE2F}"/>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A727F8B4-E67C-4D70-8479-2DF5040E73D9}"/>
    <cellStyle name="Normal 2 4 3 3 3 3 2 3" xfId="12774" xr:uid="{CA03E269-F20F-46A7-8DFE-5750DC0DF3C1}"/>
    <cellStyle name="Normal 2 4 3 3 3 3 3" xfId="5520" xr:uid="{00000000-0005-0000-0000-000001100000}"/>
    <cellStyle name="Normal 2 4 3 3 3 3 3 2" xfId="14846" xr:uid="{22F28832-4A68-4DA0-A619-66CFE982B709}"/>
    <cellStyle name="Normal 2 4 3 3 3 3 4" xfId="10629" xr:uid="{FFFCBAD3-9C08-4917-8F59-C873C9099684}"/>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31195C30-BCED-4583-9939-E04551B320FE}"/>
    <cellStyle name="Normal 2 4 3 3 3 4 2 3" xfId="13187" xr:uid="{5E6ABE3D-2395-43EA-A80C-026432CA9C30}"/>
    <cellStyle name="Normal 2 4 3 3 3 4 3" xfId="5933" xr:uid="{00000000-0005-0000-0000-000005100000}"/>
    <cellStyle name="Normal 2 4 3 3 3 4 3 2" xfId="15259" xr:uid="{431B985C-9F99-4BA0-9A07-3A7D3AFF54CF}"/>
    <cellStyle name="Normal 2 4 3 3 3 4 4" xfId="11042" xr:uid="{D1487D0E-1441-49C9-BD7D-3B7068A9FAD9}"/>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22F75A98-AD21-4747-9961-7BD7AA6790F1}"/>
    <cellStyle name="Normal 2 4 3 3 3 5 2 3" xfId="13600" xr:uid="{6E1EF6A8-A84F-430E-AB5B-732A677660F0}"/>
    <cellStyle name="Normal 2 4 3 3 3 5 3" xfId="6346" xr:uid="{00000000-0005-0000-0000-000009100000}"/>
    <cellStyle name="Normal 2 4 3 3 3 5 3 2" xfId="15672" xr:uid="{38747043-080A-4116-82C5-6FD18B845ACB}"/>
    <cellStyle name="Normal 2 4 3 3 3 5 4" xfId="11455" xr:uid="{A8C22C1B-A8B7-4984-9292-BC787907CE2D}"/>
    <cellStyle name="Normal 2 4 3 3 3 6" xfId="2476" xr:uid="{00000000-0005-0000-0000-00000A100000}"/>
    <cellStyle name="Normal 2 4 3 3 3 6 2" xfId="6759" xr:uid="{00000000-0005-0000-0000-00000B100000}"/>
    <cellStyle name="Normal 2 4 3 3 3 6 2 2" xfId="16085" xr:uid="{99EA6278-62D7-4091-B3C9-C054695CBAB1}"/>
    <cellStyle name="Normal 2 4 3 3 3 6 3" xfId="11868" xr:uid="{662DCABB-68AF-4269-8EF2-E0F5EDABD1A4}"/>
    <cellStyle name="Normal 2 4 3 3 3 7" xfId="4693" xr:uid="{00000000-0005-0000-0000-00000C100000}"/>
    <cellStyle name="Normal 2 4 3 3 3 7 2" xfId="14019" xr:uid="{EA78CC4F-3DAF-437F-9B52-C6F8C34F56C1}"/>
    <cellStyle name="Normal 2 4 3 3 3 8" xfId="9021" xr:uid="{4EC0F035-DC07-4262-9C58-7142AC357944}"/>
    <cellStyle name="Normal 2 4 3 3 3 8 2" xfId="18345" xr:uid="{9192B202-579D-478E-B384-5B96469C6BEF}"/>
    <cellStyle name="Normal 2 4 3 3 3 9" xfId="9802" xr:uid="{A67E3870-17F3-4D3A-B07D-5B84B230B0A9}"/>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649B259D-F3E7-469A-A108-BF9D964B81DA}"/>
    <cellStyle name="Normal 2 4 3 3 4 2 3" xfId="12358" xr:uid="{BE3F4B90-9F05-4744-909D-72EE3506D720}"/>
    <cellStyle name="Normal 2 4 3 3 4 3" xfId="5104" xr:uid="{00000000-0005-0000-0000-000010100000}"/>
    <cellStyle name="Normal 2 4 3 3 4 3 2" xfId="14430" xr:uid="{68146288-D707-4927-81C7-412BC35EF7A1}"/>
    <cellStyle name="Normal 2 4 3 3 4 4" xfId="9239" xr:uid="{3DCBA9AF-C63D-4CA9-81B6-AC7CB7B67292}"/>
    <cellStyle name="Normal 2 4 3 3 4 4 2" xfId="18554" xr:uid="{5A4ECFA7-275F-45FA-83EC-F25BD79BFD4D}"/>
    <cellStyle name="Normal 2 4 3 3 4 5" xfId="10213" xr:uid="{BA8CF002-2AB5-4E00-8976-A25C6EADF211}"/>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772F13C3-B9BC-4038-A93E-DD5FBBE3A69B}"/>
    <cellStyle name="Normal 2 4 3 3 5 2 3" xfId="12771" xr:uid="{E4B937E1-792A-40AE-9EC5-8A4EBF642E6E}"/>
    <cellStyle name="Normal 2 4 3 3 5 3" xfId="5517" xr:uid="{00000000-0005-0000-0000-000014100000}"/>
    <cellStyle name="Normal 2 4 3 3 5 3 2" xfId="14843" xr:uid="{CA1269D7-5656-438C-ACC9-FDDA9B9DAD6D}"/>
    <cellStyle name="Normal 2 4 3 3 5 4" xfId="10626" xr:uid="{BAE1ECDA-36BC-4CD7-94C9-05FFDD5971F9}"/>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773CACDA-1573-4BE5-9BC4-ECD707182C14}"/>
    <cellStyle name="Normal 2 4 3 3 6 2 3" xfId="13184" xr:uid="{25535FFF-9F7D-40AE-B4C8-FF22F476B9FE}"/>
    <cellStyle name="Normal 2 4 3 3 6 3" xfId="5930" xr:uid="{00000000-0005-0000-0000-000018100000}"/>
    <cellStyle name="Normal 2 4 3 3 6 3 2" xfId="15256" xr:uid="{AD2320BD-62B7-452B-AD59-DD67A647D73D}"/>
    <cellStyle name="Normal 2 4 3 3 6 4" xfId="11039" xr:uid="{C241C2F4-1909-4DDC-B040-183DB83C6721}"/>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77B3778B-9F4A-4FAA-97A4-37C6AD6E380D}"/>
    <cellStyle name="Normal 2 4 3 3 7 2 3" xfId="13597" xr:uid="{BC6BFD26-7B74-4D6E-9E40-1AB1FDF75E49}"/>
    <cellStyle name="Normal 2 4 3 3 7 3" xfId="6343" xr:uid="{00000000-0005-0000-0000-00001C100000}"/>
    <cellStyle name="Normal 2 4 3 3 7 3 2" xfId="15669" xr:uid="{A096DB5B-47B1-4590-AA2C-2D1C9AE4BD24}"/>
    <cellStyle name="Normal 2 4 3 3 7 4" xfId="11452" xr:uid="{7EF7DD13-AFB0-4597-AC9E-4879809BD1D9}"/>
    <cellStyle name="Normal 2 4 3 3 8" xfId="2473" xr:uid="{00000000-0005-0000-0000-00001D100000}"/>
    <cellStyle name="Normal 2 4 3 3 8 2" xfId="6756" xr:uid="{00000000-0005-0000-0000-00001E100000}"/>
    <cellStyle name="Normal 2 4 3 3 8 2 2" xfId="16082" xr:uid="{8FB65887-9909-4B7F-A3C8-D6418FC18B56}"/>
    <cellStyle name="Normal 2 4 3 3 8 3" xfId="11865" xr:uid="{8FF6B043-2FA1-47DA-B675-055E46CE9526}"/>
    <cellStyle name="Normal 2 4 3 3 9" xfId="4690" xr:uid="{00000000-0005-0000-0000-00001F100000}"/>
    <cellStyle name="Normal 2 4 3 3 9 2" xfId="14016" xr:uid="{1FC6D587-FEE0-412E-9BD9-ACE04EC28940}"/>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48574E47-4752-4DDA-8036-BA3948F34194}"/>
    <cellStyle name="Normal 2 4 3 4 2 3" xfId="12357" xr:uid="{0D1664A4-1940-4AF6-9830-1423861409F8}"/>
    <cellStyle name="Normal 2 4 3 4 3" xfId="5103" xr:uid="{00000000-0005-0000-0000-000023100000}"/>
    <cellStyle name="Normal 2 4 3 4 3 2" xfId="14429" xr:uid="{FE6CE108-75DF-4E52-A67B-0BBE5BBD45A5}"/>
    <cellStyle name="Normal 2 4 3 4 4" xfId="9605" xr:uid="{31B075F0-6828-4EC6-AC77-4B4B0626A722}"/>
    <cellStyle name="Normal 2 4 3 4 4 2" xfId="18906" xr:uid="{78F8CC1A-0DE4-4CAD-99BE-C63BFD0E9BE3}"/>
    <cellStyle name="Normal 2 4 3 4 5" xfId="10212" xr:uid="{D3FCFC4D-1B83-4396-B302-F599E910C5EA}"/>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BE6096E8-3BA8-435C-9148-72E833170401}"/>
    <cellStyle name="Normal 2 4 3 5 2 3" xfId="12770" xr:uid="{46E302FB-B70F-4538-8E17-532B68E8AEA1}"/>
    <cellStyle name="Normal 2 4 3 5 3" xfId="5516" xr:uid="{00000000-0005-0000-0000-000027100000}"/>
    <cellStyle name="Normal 2 4 3 5 3 2" xfId="14842" xr:uid="{119C27F0-5594-47C3-81B5-098589F62B7C}"/>
    <cellStyle name="Normal 2 4 3 5 4" xfId="10625" xr:uid="{686F23D5-8775-4715-B5B5-CF04DC3AC40D}"/>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71ECF553-CB6C-476A-97CF-5398C1E4EE33}"/>
    <cellStyle name="Normal 2 4 3 6 2 3" xfId="13183" xr:uid="{F506FC8C-1FCE-4CDF-8D28-32E253825D50}"/>
    <cellStyle name="Normal 2 4 3 6 3" xfId="5929" xr:uid="{00000000-0005-0000-0000-00002B100000}"/>
    <cellStyle name="Normal 2 4 3 6 3 2" xfId="15255" xr:uid="{201C04D0-87AC-4FBC-A85D-CCA5335232B4}"/>
    <cellStyle name="Normal 2 4 3 6 4" xfId="11038" xr:uid="{DA5E5DA8-1F4B-49EE-9FCF-95A232EC187D}"/>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9652DA71-3526-479F-AA9E-CE6B13DBA09B}"/>
    <cellStyle name="Normal 2 4 3 7 2 3" xfId="13596" xr:uid="{FA10DF74-984B-4E6B-A2D1-4234E5AC9147}"/>
    <cellStyle name="Normal 2 4 3 7 3" xfId="6342" xr:uid="{00000000-0005-0000-0000-00002F100000}"/>
    <cellStyle name="Normal 2 4 3 7 3 2" xfId="15668" xr:uid="{8C49EFF6-0A85-40A9-BEB8-6EF0ABB84206}"/>
    <cellStyle name="Normal 2 4 3 7 4" xfId="11451" xr:uid="{45A43272-216F-48FE-82B9-7C5AB674D48B}"/>
    <cellStyle name="Normal 2 4 3 8" xfId="2472" xr:uid="{00000000-0005-0000-0000-000030100000}"/>
    <cellStyle name="Normal 2 4 3 8 2" xfId="6755" xr:uid="{00000000-0005-0000-0000-000031100000}"/>
    <cellStyle name="Normal 2 4 3 8 2 2" xfId="16081" xr:uid="{042FEFFF-D345-4604-873B-5E341B8A77B8}"/>
    <cellStyle name="Normal 2 4 3 8 3" xfId="11864" xr:uid="{6C5BF760-06E9-44A7-9C0C-D49526EA9F8D}"/>
    <cellStyle name="Normal 2 4 3 9" xfId="4689" xr:uid="{00000000-0005-0000-0000-000032100000}"/>
    <cellStyle name="Normal 2 4 3 9 2" xfId="14015" xr:uid="{0812D8B2-4109-41D6-83C0-B9737D2B4416}"/>
    <cellStyle name="Normal 2 4 4" xfId="302" xr:uid="{00000000-0005-0000-0000-000033100000}"/>
    <cellStyle name="Normal 2 4 5" xfId="303" xr:uid="{00000000-0005-0000-0000-000034100000}"/>
    <cellStyle name="Normal 2 4 5 10" xfId="4694" xr:uid="{00000000-0005-0000-0000-000035100000}"/>
    <cellStyle name="Normal 2 4 5 10 2" xfId="14020" xr:uid="{6DEA1D19-2C67-4ED4-80CA-F7E66EC16050}"/>
    <cellStyle name="Normal 2 4 5 11" xfId="8780" xr:uid="{7650B30D-5C17-47F0-B17B-A5E27258C29E}"/>
    <cellStyle name="Normal 2 4 5 11 2" xfId="18104" xr:uid="{558824DF-6C45-4075-80B9-B6628B459C4E}"/>
    <cellStyle name="Normal 2 4 5 12" xfId="9803" xr:uid="{0E037141-AF79-4E86-BF94-94DE997ED1F7}"/>
    <cellStyle name="Normal 2 4 5 2" xfId="304" xr:uid="{00000000-0005-0000-0000-000036100000}"/>
    <cellStyle name="Normal 2 4 5 2 10" xfId="8815" xr:uid="{40A5EFE5-2EC9-4F25-B9EC-CAF9321E00F7}"/>
    <cellStyle name="Normal 2 4 5 2 10 2" xfId="18139" xr:uid="{452C7760-6CBC-40E2-96F8-58D905D2CDF0}"/>
    <cellStyle name="Normal 2 4 5 2 11" xfId="9804" xr:uid="{D5DF4BC0-2D4A-4977-B98F-EBEAA8CA3042}"/>
    <cellStyle name="Normal 2 4 5 2 2" xfId="305" xr:uid="{00000000-0005-0000-0000-000037100000}"/>
    <cellStyle name="Normal 2 4 5 2 2 10" xfId="9805" xr:uid="{6C1BE8B8-3233-47F6-B677-1FBF68390269}"/>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07214635-BFE2-4BB2-BB87-0BE51FE5D519}"/>
    <cellStyle name="Normal 2 4 5 2 2 2 2 2 3" xfId="12365" xr:uid="{291A2774-EAD7-45DE-9CE7-EE81AB9CEFA3}"/>
    <cellStyle name="Normal 2 4 5 2 2 2 2 3" xfId="5111" xr:uid="{00000000-0005-0000-0000-00003C100000}"/>
    <cellStyle name="Normal 2 4 5 2 2 2 2 3 2" xfId="14437" xr:uid="{3B53C444-889A-48E0-AAF7-46511332EA92}"/>
    <cellStyle name="Normal 2 4 5 2 2 2 2 4" xfId="9550" xr:uid="{8A7671EC-AB7E-4F51-9B1B-FE1F0FDC42A9}"/>
    <cellStyle name="Normal 2 4 5 2 2 2 2 4 2" xfId="18865" xr:uid="{826E7821-6021-4650-8776-7F42E4C86EEE}"/>
    <cellStyle name="Normal 2 4 5 2 2 2 2 5" xfId="10220" xr:uid="{BD4D78D4-D52F-467C-B2B5-7F3ECCC6F025}"/>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5F87356A-1A2D-4BED-8876-A4D20E9641C0}"/>
    <cellStyle name="Normal 2 4 5 2 2 2 3 2 3" xfId="12778" xr:uid="{8742DAF8-109F-485B-9854-88BA6F9E7175}"/>
    <cellStyle name="Normal 2 4 5 2 2 2 3 3" xfId="5524" xr:uid="{00000000-0005-0000-0000-000040100000}"/>
    <cellStyle name="Normal 2 4 5 2 2 2 3 3 2" xfId="14850" xr:uid="{8342D43E-C53D-4590-94A7-3A392CCA2E2D}"/>
    <cellStyle name="Normal 2 4 5 2 2 2 3 4" xfId="10633" xr:uid="{C4F7C2C6-8EC8-4E25-A926-83A62381EBCA}"/>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3A31FDEE-BD3D-4E18-88E8-E0D1D84A7B22}"/>
    <cellStyle name="Normal 2 4 5 2 2 2 4 2 3" xfId="13191" xr:uid="{C1EDA28D-5973-4486-99D9-3CB81246B233}"/>
    <cellStyle name="Normal 2 4 5 2 2 2 4 3" xfId="5937" xr:uid="{00000000-0005-0000-0000-000044100000}"/>
    <cellStyle name="Normal 2 4 5 2 2 2 4 3 2" xfId="15263" xr:uid="{E7EA772A-41E0-41D7-932F-0DDFDA61DAC2}"/>
    <cellStyle name="Normal 2 4 5 2 2 2 4 4" xfId="11046" xr:uid="{ECB3D766-2B46-4F31-843D-5BF7E849B2DA}"/>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7096ABEA-6A11-4213-92B4-EE1933582585}"/>
    <cellStyle name="Normal 2 4 5 2 2 2 5 2 3" xfId="13604" xr:uid="{ED8652C2-A4E0-4DEA-A6EF-A0743A0F0724}"/>
    <cellStyle name="Normal 2 4 5 2 2 2 5 3" xfId="6350" xr:uid="{00000000-0005-0000-0000-000048100000}"/>
    <cellStyle name="Normal 2 4 5 2 2 2 5 3 2" xfId="15676" xr:uid="{CCEE73FA-92B3-4050-8E9E-0795F77CE9B1}"/>
    <cellStyle name="Normal 2 4 5 2 2 2 5 4" xfId="11459" xr:uid="{1E93ECE2-EB24-4EB6-ABA9-B6287BC06AEF}"/>
    <cellStyle name="Normal 2 4 5 2 2 2 6" xfId="2480" xr:uid="{00000000-0005-0000-0000-000049100000}"/>
    <cellStyle name="Normal 2 4 5 2 2 2 6 2" xfId="6763" xr:uid="{00000000-0005-0000-0000-00004A100000}"/>
    <cellStyle name="Normal 2 4 5 2 2 2 6 2 2" xfId="16089" xr:uid="{965A4AB3-BF53-41A1-AD0C-C05B9812FB2F}"/>
    <cellStyle name="Normal 2 4 5 2 2 2 6 3" xfId="11872" xr:uid="{8C1410AE-E28F-4D3A-ABEA-A7AF321F69AA}"/>
    <cellStyle name="Normal 2 4 5 2 2 2 7" xfId="4697" xr:uid="{00000000-0005-0000-0000-00004B100000}"/>
    <cellStyle name="Normal 2 4 5 2 2 2 7 2" xfId="14023" xr:uid="{A5E694F0-6E97-4004-9DFD-2DFA31BC82AF}"/>
    <cellStyle name="Normal 2 4 5 2 2 2 8" xfId="9125" xr:uid="{AE6B93A1-5C0B-49F1-AF15-6FC3FAFFE3B2}"/>
    <cellStyle name="Normal 2 4 5 2 2 2 8 2" xfId="18449" xr:uid="{D942542E-2614-4F7C-A328-9D5BDE1CE7B6}"/>
    <cellStyle name="Normal 2 4 5 2 2 2 9" xfId="9806" xr:uid="{74F70AF2-DDAA-4CA9-AC94-0F69AC6BCE35}"/>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20AFBF97-BDAA-4CEC-933E-821036E14A3F}"/>
    <cellStyle name="Normal 2 4 5 2 2 3 2 3" xfId="12364" xr:uid="{BF836548-ACCC-4757-B49E-A559678DB718}"/>
    <cellStyle name="Normal 2 4 5 2 2 3 3" xfId="5110" xr:uid="{00000000-0005-0000-0000-00004F100000}"/>
    <cellStyle name="Normal 2 4 5 2 2 3 3 2" xfId="14436" xr:uid="{394289FD-6DB9-4FFA-ACE8-FF402A79A5AC}"/>
    <cellStyle name="Normal 2 4 5 2 2 3 4" xfId="9343" xr:uid="{FC4CD386-4202-45E2-8021-2A85CACF4E8B}"/>
    <cellStyle name="Normal 2 4 5 2 2 3 4 2" xfId="18658" xr:uid="{68F45AE7-AD62-4AF2-AD82-EF15BDC8A565}"/>
    <cellStyle name="Normal 2 4 5 2 2 3 5" xfId="10219" xr:uid="{C0FD296B-7CD9-49BA-B73D-BF51829EA14A}"/>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5B736EE5-A25D-4B87-850E-6AAD8909E776}"/>
    <cellStyle name="Normal 2 4 5 2 2 4 2 3" xfId="12777" xr:uid="{949E6CC0-00CE-4D56-9571-3DCAA5817B9C}"/>
    <cellStyle name="Normal 2 4 5 2 2 4 3" xfId="5523" xr:uid="{00000000-0005-0000-0000-000053100000}"/>
    <cellStyle name="Normal 2 4 5 2 2 4 3 2" xfId="14849" xr:uid="{7628AA61-215C-48F8-848E-BD3DB8105EAF}"/>
    <cellStyle name="Normal 2 4 5 2 2 4 4" xfId="10632" xr:uid="{679640BF-F3C2-4FA2-968B-6EA5C6824A0D}"/>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EC4509D8-F814-41C6-AF2C-45C3DFF3248D}"/>
    <cellStyle name="Normal 2 4 5 2 2 5 2 3" xfId="13190" xr:uid="{8964EE86-6701-422C-8838-DE0B5ED25D77}"/>
    <cellStyle name="Normal 2 4 5 2 2 5 3" xfId="5936" xr:uid="{00000000-0005-0000-0000-000057100000}"/>
    <cellStyle name="Normal 2 4 5 2 2 5 3 2" xfId="15262" xr:uid="{2133649C-F402-4B99-BA0C-FFF5FB48868B}"/>
    <cellStyle name="Normal 2 4 5 2 2 5 4" xfId="11045" xr:uid="{0C38D29E-8AED-4E10-93BC-85A83AAE8CA1}"/>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9D8F2E54-5554-480A-96DC-7EC07EEC4486}"/>
    <cellStyle name="Normal 2 4 5 2 2 6 2 3" xfId="13603" xr:uid="{849E88F2-909A-4A4A-A0F5-8D8AEAECC784}"/>
    <cellStyle name="Normal 2 4 5 2 2 6 3" xfId="6349" xr:uid="{00000000-0005-0000-0000-00005B100000}"/>
    <cellStyle name="Normal 2 4 5 2 2 6 3 2" xfId="15675" xr:uid="{39BCE5DB-5B3B-4198-BE44-0CAA8860D569}"/>
    <cellStyle name="Normal 2 4 5 2 2 6 4" xfId="11458" xr:uid="{8C5C9017-D2C1-4642-90F5-0F752D4442A1}"/>
    <cellStyle name="Normal 2 4 5 2 2 7" xfId="2479" xr:uid="{00000000-0005-0000-0000-00005C100000}"/>
    <cellStyle name="Normal 2 4 5 2 2 7 2" xfId="6762" xr:uid="{00000000-0005-0000-0000-00005D100000}"/>
    <cellStyle name="Normal 2 4 5 2 2 7 2 2" xfId="16088" xr:uid="{D067BBB7-E1F0-4001-8F17-9B7D99604242}"/>
    <cellStyle name="Normal 2 4 5 2 2 7 3" xfId="11871" xr:uid="{26B6AA66-A226-458D-859E-9E26FC053216}"/>
    <cellStyle name="Normal 2 4 5 2 2 8" xfId="4696" xr:uid="{00000000-0005-0000-0000-00005E100000}"/>
    <cellStyle name="Normal 2 4 5 2 2 8 2" xfId="14022" xr:uid="{E4419F7C-9935-456C-B58A-310298142603}"/>
    <cellStyle name="Normal 2 4 5 2 2 9" xfId="8918" xr:uid="{C191AFB9-5B9B-45BF-8589-0BB68E370D0F}"/>
    <cellStyle name="Normal 2 4 5 2 2 9 2" xfId="18242" xr:uid="{06DB7CB7-DF09-46AB-9113-9B8F6EDC4BBA}"/>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3CF53119-0EBE-42FD-92F8-D4D3BA039D5B}"/>
    <cellStyle name="Normal 2 4 5 2 3 2 2 3" xfId="12366" xr:uid="{2A98CC49-FF58-408E-86C3-AF6F53AD6610}"/>
    <cellStyle name="Normal 2 4 5 2 3 2 3" xfId="5112" xr:uid="{00000000-0005-0000-0000-000063100000}"/>
    <cellStyle name="Normal 2 4 5 2 3 2 3 2" xfId="14438" xr:uid="{12A0616F-ABFE-4402-8F1F-F5DAF5588913}"/>
    <cellStyle name="Normal 2 4 5 2 3 2 4" xfId="9447" xr:uid="{5DAE67B2-15F6-4C7F-9310-B9C816D42F72}"/>
    <cellStyle name="Normal 2 4 5 2 3 2 4 2" xfId="18762" xr:uid="{1869D50C-EEAD-49AB-BAA2-A03AFB99EF0E}"/>
    <cellStyle name="Normal 2 4 5 2 3 2 5" xfId="10221" xr:uid="{B7D36DAA-530D-470D-B47D-75DAFE4BDE67}"/>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3D5C173F-ED2D-46B3-8B71-D78A25170036}"/>
    <cellStyle name="Normal 2 4 5 2 3 3 2 3" xfId="12779" xr:uid="{A5CB60FE-5BEE-483F-91DB-8E048462DEC3}"/>
    <cellStyle name="Normal 2 4 5 2 3 3 3" xfId="5525" xr:uid="{00000000-0005-0000-0000-000067100000}"/>
    <cellStyle name="Normal 2 4 5 2 3 3 3 2" xfId="14851" xr:uid="{4E075522-3E4A-42B9-A02F-880AAA6C9DA8}"/>
    <cellStyle name="Normal 2 4 5 2 3 3 4" xfId="10634" xr:uid="{FA196613-28D7-4B42-9549-F48F4B70B889}"/>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9F936989-A857-4B5A-A456-2A8B02875474}"/>
    <cellStyle name="Normal 2 4 5 2 3 4 2 3" xfId="13192" xr:uid="{9E4A7EAE-C24A-4ACB-A402-6026DF72CC3F}"/>
    <cellStyle name="Normal 2 4 5 2 3 4 3" xfId="5938" xr:uid="{00000000-0005-0000-0000-00006B100000}"/>
    <cellStyle name="Normal 2 4 5 2 3 4 3 2" xfId="15264" xr:uid="{1C5917ED-DEF8-44CC-A33F-9595D89B5277}"/>
    <cellStyle name="Normal 2 4 5 2 3 4 4" xfId="11047" xr:uid="{C6160E54-7E9D-46CF-897F-1CDDE821DBDF}"/>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6AE756FB-2940-40A0-B7E2-085A0DBF1585}"/>
    <cellStyle name="Normal 2 4 5 2 3 5 2 3" xfId="13605" xr:uid="{AF5CE7BA-58F6-4CE2-9AAB-B88B336DE1AA}"/>
    <cellStyle name="Normal 2 4 5 2 3 5 3" xfId="6351" xr:uid="{00000000-0005-0000-0000-00006F100000}"/>
    <cellStyle name="Normal 2 4 5 2 3 5 3 2" xfId="15677" xr:uid="{4666AAF8-ADE3-45FA-8BE8-20EFDD66A489}"/>
    <cellStyle name="Normal 2 4 5 2 3 5 4" xfId="11460" xr:uid="{8E2AE23E-101D-4E2A-9E53-10CCBFFC7F25}"/>
    <cellStyle name="Normal 2 4 5 2 3 6" xfId="2481" xr:uid="{00000000-0005-0000-0000-000070100000}"/>
    <cellStyle name="Normal 2 4 5 2 3 6 2" xfId="6764" xr:uid="{00000000-0005-0000-0000-000071100000}"/>
    <cellStyle name="Normal 2 4 5 2 3 6 2 2" xfId="16090" xr:uid="{1C31BD70-A67E-49F5-A14C-EB4EAC9C1A2A}"/>
    <cellStyle name="Normal 2 4 5 2 3 6 3" xfId="11873" xr:uid="{7D9D7A2D-7219-4183-8F2C-5E84D3CCF103}"/>
    <cellStyle name="Normal 2 4 5 2 3 7" xfId="4698" xr:uid="{00000000-0005-0000-0000-000072100000}"/>
    <cellStyle name="Normal 2 4 5 2 3 7 2" xfId="14024" xr:uid="{B8F23F5D-352A-4758-999A-E222167101BA}"/>
    <cellStyle name="Normal 2 4 5 2 3 8" xfId="9022" xr:uid="{B979F5DF-A88B-437D-B1B4-B92D08856DC7}"/>
    <cellStyle name="Normal 2 4 5 2 3 8 2" xfId="18346" xr:uid="{2095F65D-2A07-4869-9CBD-8E80FD7F17A5}"/>
    <cellStyle name="Normal 2 4 5 2 3 9" xfId="9807" xr:uid="{013DF43C-7B2C-4120-9BA5-770165E1C96C}"/>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E1887FC6-1AAC-41CE-90BE-56B14CD8E721}"/>
    <cellStyle name="Normal 2 4 5 2 4 2 3" xfId="12363" xr:uid="{625A579F-ADD5-43A8-8234-91CB595930AE}"/>
    <cellStyle name="Normal 2 4 5 2 4 3" xfId="5109" xr:uid="{00000000-0005-0000-0000-000076100000}"/>
    <cellStyle name="Normal 2 4 5 2 4 3 2" xfId="14435" xr:uid="{7B44EA5F-26DA-4FC8-B056-5149C1F84DB0}"/>
    <cellStyle name="Normal 2 4 5 2 4 4" xfId="9240" xr:uid="{16FBE981-4867-4157-8C0D-9C1339DB5B3F}"/>
    <cellStyle name="Normal 2 4 5 2 4 4 2" xfId="18555" xr:uid="{2DA590FF-E4EB-4F75-AF46-7220238CF624}"/>
    <cellStyle name="Normal 2 4 5 2 4 5" xfId="10218" xr:uid="{E29F501B-851A-46A6-BD53-444F98E88470}"/>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A6F85CE0-278D-407D-9F17-C438442B7EA4}"/>
    <cellStyle name="Normal 2 4 5 2 5 2 3" xfId="12776" xr:uid="{ECFBAADA-872C-40E7-8CDB-C52F02EF4864}"/>
    <cellStyle name="Normal 2 4 5 2 5 3" xfId="5522" xr:uid="{00000000-0005-0000-0000-00007A100000}"/>
    <cellStyle name="Normal 2 4 5 2 5 3 2" xfId="14848" xr:uid="{09B1444E-5C85-4814-8163-44AAB7CE729A}"/>
    <cellStyle name="Normal 2 4 5 2 5 4" xfId="10631" xr:uid="{BA40ECD0-9809-403F-A329-AD05452B366B}"/>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C07D3F3C-B3D7-48CB-9C62-D2F0D25D46EC}"/>
    <cellStyle name="Normal 2 4 5 2 6 2 3" xfId="13189" xr:uid="{7641DEC8-60AC-4A0E-9077-87ECB85DF000}"/>
    <cellStyle name="Normal 2 4 5 2 6 3" xfId="5935" xr:uid="{00000000-0005-0000-0000-00007E100000}"/>
    <cellStyle name="Normal 2 4 5 2 6 3 2" xfId="15261" xr:uid="{CB7C9981-163E-44D3-9697-279CD93174DF}"/>
    <cellStyle name="Normal 2 4 5 2 6 4" xfId="11044" xr:uid="{CBF26D43-CFC8-473E-9DF6-3A03BF93B600}"/>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1F5CDD92-3B1A-4D24-B0C3-05B9E35B329A}"/>
    <cellStyle name="Normal 2 4 5 2 7 2 3" xfId="13602" xr:uid="{A051C8BE-668F-4E63-9CA3-DF40839A5E15}"/>
    <cellStyle name="Normal 2 4 5 2 7 3" xfId="6348" xr:uid="{00000000-0005-0000-0000-000082100000}"/>
    <cellStyle name="Normal 2 4 5 2 7 3 2" xfId="15674" xr:uid="{A807247A-EBC3-4DD9-9699-A9F81C83ABDC}"/>
    <cellStyle name="Normal 2 4 5 2 7 4" xfId="11457" xr:uid="{095177AC-4BB6-4ADE-AFEA-4A265480A1F6}"/>
    <cellStyle name="Normal 2 4 5 2 8" xfId="2478" xr:uid="{00000000-0005-0000-0000-000083100000}"/>
    <cellStyle name="Normal 2 4 5 2 8 2" xfId="6761" xr:uid="{00000000-0005-0000-0000-000084100000}"/>
    <cellStyle name="Normal 2 4 5 2 8 2 2" xfId="16087" xr:uid="{A2769F3D-B02C-44F9-A76B-DB9949C5BB72}"/>
    <cellStyle name="Normal 2 4 5 2 8 3" xfId="11870" xr:uid="{B4CBA391-2C6A-4B28-90C4-8475F5C77530}"/>
    <cellStyle name="Normal 2 4 5 2 9" xfId="4695" xr:uid="{00000000-0005-0000-0000-000085100000}"/>
    <cellStyle name="Normal 2 4 5 2 9 2" xfId="14021" xr:uid="{7A75B1A3-5168-4215-8961-F2EB7BCC99C1}"/>
    <cellStyle name="Normal 2 4 5 3" xfId="308" xr:uid="{00000000-0005-0000-0000-000086100000}"/>
    <cellStyle name="Normal 2 4 5 3 10" xfId="9808" xr:uid="{937986A0-19CB-4FFD-9485-30931B1D69DB}"/>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A096E1FC-0B82-4B30-B3E3-BBC23DFFC8EF}"/>
    <cellStyle name="Normal 2 4 5 3 2 2 2 3" xfId="12368" xr:uid="{6F8A4F98-3635-453A-A3D4-11450AF618B4}"/>
    <cellStyle name="Normal 2 4 5 3 2 2 3" xfId="5114" xr:uid="{00000000-0005-0000-0000-00008B100000}"/>
    <cellStyle name="Normal 2 4 5 3 2 2 3 2" xfId="14440" xr:uid="{8425B669-890D-4D5C-AB8E-7CEBC707E1CB}"/>
    <cellStyle name="Normal 2 4 5 3 2 2 4" xfId="9515" xr:uid="{A1D6949C-773D-44DB-B26F-4DD01D24FF00}"/>
    <cellStyle name="Normal 2 4 5 3 2 2 4 2" xfId="18830" xr:uid="{AC646ACD-2F59-436C-A934-C1342BC78F68}"/>
    <cellStyle name="Normal 2 4 5 3 2 2 5" xfId="10223" xr:uid="{2D925CB3-FA36-4087-A43C-95A0427D9EB1}"/>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7759E41B-F9D8-4B9D-8F2A-9A5854FB84C6}"/>
    <cellStyle name="Normal 2 4 5 3 2 3 2 3" xfId="12781" xr:uid="{00078DAE-43F9-4C23-A45B-F63478BC403E}"/>
    <cellStyle name="Normal 2 4 5 3 2 3 3" xfId="5527" xr:uid="{00000000-0005-0000-0000-00008F100000}"/>
    <cellStyle name="Normal 2 4 5 3 2 3 3 2" xfId="14853" xr:uid="{27438D93-485F-462E-9A72-AC609BA09B70}"/>
    <cellStyle name="Normal 2 4 5 3 2 3 4" xfId="10636" xr:uid="{5965AEEE-AA1B-48EC-B65A-71110D639C4D}"/>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442058AC-2546-46AB-8485-6E1261707BBB}"/>
    <cellStyle name="Normal 2 4 5 3 2 4 2 3" xfId="13194" xr:uid="{1209C2F7-A711-4402-BA77-24BAD3C062CB}"/>
    <cellStyle name="Normal 2 4 5 3 2 4 3" xfId="5940" xr:uid="{00000000-0005-0000-0000-000093100000}"/>
    <cellStyle name="Normal 2 4 5 3 2 4 3 2" xfId="15266" xr:uid="{7D0136A8-1448-4608-BABF-4CD5EC9718AC}"/>
    <cellStyle name="Normal 2 4 5 3 2 4 4" xfId="11049" xr:uid="{89CDE953-28FA-4DA3-8C16-6B44DEFB03E2}"/>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1CB9607C-2420-46EE-85B3-4AE7A3227D89}"/>
    <cellStyle name="Normal 2 4 5 3 2 5 2 3" xfId="13607" xr:uid="{670EADD2-5715-4987-B39E-8A1607CED589}"/>
    <cellStyle name="Normal 2 4 5 3 2 5 3" xfId="6353" xr:uid="{00000000-0005-0000-0000-000097100000}"/>
    <cellStyle name="Normal 2 4 5 3 2 5 3 2" xfId="15679" xr:uid="{A6C144EB-4597-43C0-8A17-9162E416C8DF}"/>
    <cellStyle name="Normal 2 4 5 3 2 5 4" xfId="11462" xr:uid="{AFB00611-65A3-4A38-858D-3C985C0382E9}"/>
    <cellStyle name="Normal 2 4 5 3 2 6" xfId="2483" xr:uid="{00000000-0005-0000-0000-000098100000}"/>
    <cellStyle name="Normal 2 4 5 3 2 6 2" xfId="6766" xr:uid="{00000000-0005-0000-0000-000099100000}"/>
    <cellStyle name="Normal 2 4 5 3 2 6 2 2" xfId="16092" xr:uid="{B1CBB824-87F4-4271-AD28-4DA6840C3948}"/>
    <cellStyle name="Normal 2 4 5 3 2 6 3" xfId="11875" xr:uid="{3006D2D3-16FB-4CDA-8952-03AEC261720C}"/>
    <cellStyle name="Normal 2 4 5 3 2 7" xfId="4700" xr:uid="{00000000-0005-0000-0000-00009A100000}"/>
    <cellStyle name="Normal 2 4 5 3 2 7 2" xfId="14026" xr:uid="{0AC94814-FAD9-435A-8FCA-105D8336758A}"/>
    <cellStyle name="Normal 2 4 5 3 2 8" xfId="9090" xr:uid="{4B64C5F8-5AC3-43D3-B94A-46850BBF79A5}"/>
    <cellStyle name="Normal 2 4 5 3 2 8 2" xfId="18414" xr:uid="{8291E91B-385B-42E3-88C1-774C15DA7149}"/>
    <cellStyle name="Normal 2 4 5 3 2 9" xfId="9809" xr:uid="{1D84532D-34BD-4FEB-BC96-28D3C7B9891A}"/>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F3A41390-4E5F-4B99-A976-705BC845AECE}"/>
    <cellStyle name="Normal 2 4 5 3 3 2 3" xfId="12367" xr:uid="{CC43F26E-E32B-4DF8-925E-55FB476F16AE}"/>
    <cellStyle name="Normal 2 4 5 3 3 3" xfId="5113" xr:uid="{00000000-0005-0000-0000-00009E100000}"/>
    <cellStyle name="Normal 2 4 5 3 3 3 2" xfId="14439" xr:uid="{D7CABA78-261A-497D-8B77-F5CF3A4ADC22}"/>
    <cellStyle name="Normal 2 4 5 3 3 4" xfId="9308" xr:uid="{40198FFA-4C90-42BE-90C8-42459F1A2A1C}"/>
    <cellStyle name="Normal 2 4 5 3 3 4 2" xfId="18623" xr:uid="{C446305F-859C-4BFE-B8A0-0BCE28E37117}"/>
    <cellStyle name="Normal 2 4 5 3 3 5" xfId="10222" xr:uid="{888D370D-8A7B-4A67-B4B6-FD1BA3319191}"/>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CFCF047D-4350-42F6-9AAF-D9EE3E88D7BF}"/>
    <cellStyle name="Normal 2 4 5 3 4 2 3" xfId="12780" xr:uid="{A097DD49-6001-48D7-AC0F-6A40E68F10A4}"/>
    <cellStyle name="Normal 2 4 5 3 4 3" xfId="5526" xr:uid="{00000000-0005-0000-0000-0000A2100000}"/>
    <cellStyle name="Normal 2 4 5 3 4 3 2" xfId="14852" xr:uid="{14C03564-1D8F-4C64-A986-89EEB6ED1712}"/>
    <cellStyle name="Normal 2 4 5 3 4 4" xfId="10635" xr:uid="{E38222C3-D049-4133-9B32-5DED8EE1878E}"/>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B07DDD0F-EAA4-467F-88F6-CE295DC690AC}"/>
    <cellStyle name="Normal 2 4 5 3 5 2 3" xfId="13193" xr:uid="{267CFEC0-E223-4219-8CC3-03D72B5C9BCE}"/>
    <cellStyle name="Normal 2 4 5 3 5 3" xfId="5939" xr:uid="{00000000-0005-0000-0000-0000A6100000}"/>
    <cellStyle name="Normal 2 4 5 3 5 3 2" xfId="15265" xr:uid="{526B4E07-9052-4F63-B58F-E129C24EB455}"/>
    <cellStyle name="Normal 2 4 5 3 5 4" xfId="11048" xr:uid="{B14EFAB7-C8BA-4603-AF98-1E1F34A5A217}"/>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22933CA4-AE7E-4FD1-ABB4-5FD15DC0EB87}"/>
    <cellStyle name="Normal 2 4 5 3 6 2 3" xfId="13606" xr:uid="{47F13120-1880-4FC9-B301-994CDEE98C9F}"/>
    <cellStyle name="Normal 2 4 5 3 6 3" xfId="6352" xr:uid="{00000000-0005-0000-0000-0000AA100000}"/>
    <cellStyle name="Normal 2 4 5 3 6 3 2" xfId="15678" xr:uid="{E7A6DE95-F19E-437A-8616-A5B099CBCDC1}"/>
    <cellStyle name="Normal 2 4 5 3 6 4" xfId="11461" xr:uid="{5DE5CD8F-E0C6-435F-82DE-2670FB986A32}"/>
    <cellStyle name="Normal 2 4 5 3 7" xfId="2482" xr:uid="{00000000-0005-0000-0000-0000AB100000}"/>
    <cellStyle name="Normal 2 4 5 3 7 2" xfId="6765" xr:uid="{00000000-0005-0000-0000-0000AC100000}"/>
    <cellStyle name="Normal 2 4 5 3 7 2 2" xfId="16091" xr:uid="{9310F39B-9632-46C2-ADF0-6E8DEE584A3D}"/>
    <cellStyle name="Normal 2 4 5 3 7 3" xfId="11874" xr:uid="{201265D0-ACA0-4E85-AB51-21B71107EBC0}"/>
    <cellStyle name="Normal 2 4 5 3 8" xfId="4699" xr:uid="{00000000-0005-0000-0000-0000AD100000}"/>
    <cellStyle name="Normal 2 4 5 3 8 2" xfId="14025" xr:uid="{FD17A58F-E550-4327-9F1D-8625B80765B1}"/>
    <cellStyle name="Normal 2 4 5 3 9" xfId="8883" xr:uid="{0A470B75-873E-4D74-A257-113E3E343E18}"/>
    <cellStyle name="Normal 2 4 5 3 9 2" xfId="18207" xr:uid="{86ED986A-B9A6-47B2-A46F-F0DF490F6A06}"/>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609ED362-E8A6-4E05-94CE-B5BCB6F00D5F}"/>
    <cellStyle name="Normal 2 4 5 4 2 2 3" xfId="12369" xr:uid="{2DC53785-5919-4FC1-992F-9161107B6BE5}"/>
    <cellStyle name="Normal 2 4 5 4 2 3" xfId="5115" xr:uid="{00000000-0005-0000-0000-0000B2100000}"/>
    <cellStyle name="Normal 2 4 5 4 2 3 2" xfId="14441" xr:uid="{843F7212-2980-465D-B773-22CA5751F781}"/>
    <cellStyle name="Normal 2 4 5 4 2 4" xfId="9412" xr:uid="{0ECAC303-3EA0-4623-AA0F-854157CA32E5}"/>
    <cellStyle name="Normal 2 4 5 4 2 4 2" xfId="18727" xr:uid="{D9D2527E-7D98-4D7C-A8AD-09EEF69D11B0}"/>
    <cellStyle name="Normal 2 4 5 4 2 5" xfId="10224" xr:uid="{029AE4B1-7DA8-41EF-B848-3270E02AF6D2}"/>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0982B029-2EF3-48E8-B5A7-93ABEE16349A}"/>
    <cellStyle name="Normal 2 4 5 4 3 2 3" xfId="12782" xr:uid="{E16C003B-7674-484E-96B0-6142A9F7B1A4}"/>
    <cellStyle name="Normal 2 4 5 4 3 3" xfId="5528" xr:uid="{00000000-0005-0000-0000-0000B6100000}"/>
    <cellStyle name="Normal 2 4 5 4 3 3 2" xfId="14854" xr:uid="{1FE83071-D98B-43FE-B56F-6D0ACC5DB6D8}"/>
    <cellStyle name="Normal 2 4 5 4 3 4" xfId="10637" xr:uid="{0CCC567D-75C3-42B9-8C76-D5B0CB56331C}"/>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9D32B53F-DCD4-4D4B-90F5-0C87884939A9}"/>
    <cellStyle name="Normal 2 4 5 4 4 2 3" xfId="13195" xr:uid="{8D20BD97-9A87-4D32-B2C2-D2151EEA2D87}"/>
    <cellStyle name="Normal 2 4 5 4 4 3" xfId="5941" xr:uid="{00000000-0005-0000-0000-0000BA100000}"/>
    <cellStyle name="Normal 2 4 5 4 4 3 2" xfId="15267" xr:uid="{BB431B1C-F01E-4055-B68B-1AF30608362E}"/>
    <cellStyle name="Normal 2 4 5 4 4 4" xfId="11050" xr:uid="{9C88CD1F-E2E0-4C37-928C-2847CCE724CF}"/>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238587DB-C158-4623-84C4-E490DF5A7D4B}"/>
    <cellStyle name="Normal 2 4 5 4 5 2 3" xfId="13608" xr:uid="{9D0D9D6F-B4C2-40AD-99ED-A713D4C45A8C}"/>
    <cellStyle name="Normal 2 4 5 4 5 3" xfId="6354" xr:uid="{00000000-0005-0000-0000-0000BE100000}"/>
    <cellStyle name="Normal 2 4 5 4 5 3 2" xfId="15680" xr:uid="{E35ED0F8-1446-4D29-B065-1AB4184F3E33}"/>
    <cellStyle name="Normal 2 4 5 4 5 4" xfId="11463" xr:uid="{8DCA7343-2B79-46D4-AC7D-DE33F69C9CE5}"/>
    <cellStyle name="Normal 2 4 5 4 6" xfId="2484" xr:uid="{00000000-0005-0000-0000-0000BF100000}"/>
    <cellStyle name="Normal 2 4 5 4 6 2" xfId="6767" xr:uid="{00000000-0005-0000-0000-0000C0100000}"/>
    <cellStyle name="Normal 2 4 5 4 6 2 2" xfId="16093" xr:uid="{50F0212D-4760-4611-AFAE-3793E14CEE75}"/>
    <cellStyle name="Normal 2 4 5 4 6 3" xfId="11876" xr:uid="{06A47519-1472-4625-B316-1AA76798166A}"/>
    <cellStyle name="Normal 2 4 5 4 7" xfId="4701" xr:uid="{00000000-0005-0000-0000-0000C1100000}"/>
    <cellStyle name="Normal 2 4 5 4 7 2" xfId="14027" xr:uid="{42AF28D6-F9B7-40AB-BA50-F2873FDBA14E}"/>
    <cellStyle name="Normal 2 4 5 4 8" xfId="8987" xr:uid="{8DC2C01A-3078-41AD-BCFB-AA1CA8EE9C0A}"/>
    <cellStyle name="Normal 2 4 5 4 8 2" xfId="18311" xr:uid="{89A6305C-175D-43C4-9397-8BC9703B81D6}"/>
    <cellStyle name="Normal 2 4 5 4 9" xfId="9810" xr:uid="{FDAC0403-E24D-4ACE-93C7-CA0499858E2F}"/>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60755FE5-6F2F-4783-ADF2-5B276DBE1A77}"/>
    <cellStyle name="Normal 2 4 5 5 2 3" xfId="12362" xr:uid="{D053719D-655C-4B56-8894-167447B42278}"/>
    <cellStyle name="Normal 2 4 5 5 3" xfId="5108" xr:uid="{00000000-0005-0000-0000-0000C5100000}"/>
    <cellStyle name="Normal 2 4 5 5 3 2" xfId="14434" xr:uid="{8912A674-C318-4F15-BEDD-76A329A4CEC6}"/>
    <cellStyle name="Normal 2 4 5 5 4" xfId="9204" xr:uid="{BE34B337-03EE-47D8-9E35-2EE6FAB30236}"/>
    <cellStyle name="Normal 2 4 5 5 4 2" xfId="18520" xr:uid="{C2AA674E-DF8E-4AB7-9873-6A0FF16D4033}"/>
    <cellStyle name="Normal 2 4 5 5 5" xfId="10217" xr:uid="{2D02BC85-60DB-4055-B5A1-41411F26BAAE}"/>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1CBCA161-8314-40BF-A2E4-072965E03D48}"/>
    <cellStyle name="Normal 2 4 5 6 2 3" xfId="12775" xr:uid="{BDAD5763-B667-466C-9014-67F89FAE7DC6}"/>
    <cellStyle name="Normal 2 4 5 6 3" xfId="5521" xr:uid="{00000000-0005-0000-0000-0000C9100000}"/>
    <cellStyle name="Normal 2 4 5 6 3 2" xfId="14847" xr:uid="{7663E490-D5E0-4F73-BF79-6A87A1FBE475}"/>
    <cellStyle name="Normal 2 4 5 6 4" xfId="10630" xr:uid="{C9737540-0B33-4A43-9395-9D4003286D84}"/>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265E55E5-8DD0-4C9D-AC6C-DE7BF5C068F2}"/>
    <cellStyle name="Normal 2 4 5 7 2 3" xfId="13188" xr:uid="{56F4A648-0307-4CB1-8BA1-CC97C3482461}"/>
    <cellStyle name="Normal 2 4 5 7 3" xfId="5934" xr:uid="{00000000-0005-0000-0000-0000CD100000}"/>
    <cellStyle name="Normal 2 4 5 7 3 2" xfId="15260" xr:uid="{15D24640-9AD3-4489-860E-6EAE332A5FFC}"/>
    <cellStyle name="Normal 2 4 5 7 4" xfId="11043" xr:uid="{1766C6EE-8A87-447F-B1A1-C40C92F7C155}"/>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B36EDCBE-99D5-444A-9446-D30E7CAC3987}"/>
    <cellStyle name="Normal 2 4 5 8 2 3" xfId="13601" xr:uid="{8EA2EA46-5054-4EDF-AB80-C607EF30CA13}"/>
    <cellStyle name="Normal 2 4 5 8 3" xfId="6347" xr:uid="{00000000-0005-0000-0000-0000D1100000}"/>
    <cellStyle name="Normal 2 4 5 8 3 2" xfId="15673" xr:uid="{27E441A6-2D7E-454C-8DD0-F594A28FC566}"/>
    <cellStyle name="Normal 2 4 5 8 4" xfId="11456" xr:uid="{C5CCA0C6-FEF3-45F3-8BD1-DC2B09BAEC40}"/>
    <cellStyle name="Normal 2 4 5 9" xfId="2477" xr:uid="{00000000-0005-0000-0000-0000D2100000}"/>
    <cellStyle name="Normal 2 4 5 9 2" xfId="6760" xr:uid="{00000000-0005-0000-0000-0000D3100000}"/>
    <cellStyle name="Normal 2 4 5 9 2 2" xfId="16086" xr:uid="{E8263501-5835-4D70-93AA-CDB4EB813598}"/>
    <cellStyle name="Normal 2 4 5 9 3" xfId="11869" xr:uid="{6200A324-7C72-41F0-B2B5-5EA983311A9C}"/>
    <cellStyle name="Normal 2 4 6" xfId="311" xr:uid="{00000000-0005-0000-0000-0000D4100000}"/>
    <cellStyle name="Normal 2 4 7" xfId="312" xr:uid="{00000000-0005-0000-0000-0000D5100000}"/>
    <cellStyle name="Normal 2 4 7 10" xfId="9811" xr:uid="{29BABBB6-32E3-4554-9159-878623A17577}"/>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D2F5D0AF-74E4-43C2-B450-D02C681AD75A}"/>
    <cellStyle name="Normal 2 4 7 2 2 2 3" xfId="12371" xr:uid="{F1895EE6-F58A-4600-8FBB-807B63F6D311}"/>
    <cellStyle name="Normal 2 4 7 2 2 3" xfId="5117" xr:uid="{00000000-0005-0000-0000-0000DA100000}"/>
    <cellStyle name="Normal 2 4 7 2 2 3 2" xfId="14443" xr:uid="{9B0823E4-5587-4F73-BEA3-9A89CD0BDB55}"/>
    <cellStyle name="Normal 2 4 7 2 2 4" xfId="9483" xr:uid="{3D7EFF6F-050D-4214-91CB-DF2673F23584}"/>
    <cellStyle name="Normal 2 4 7 2 2 4 2" xfId="18798" xr:uid="{17DDED29-3DAC-478B-8459-D35D938730CC}"/>
    <cellStyle name="Normal 2 4 7 2 2 5" xfId="10226" xr:uid="{5309154C-E62D-4DDB-9AC1-802C186852F4}"/>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B6E57FCD-006B-455B-BD20-82E407336DBB}"/>
    <cellStyle name="Normal 2 4 7 2 3 2 3" xfId="12784" xr:uid="{A258F933-9E6E-4538-9B36-08D3959712D1}"/>
    <cellStyle name="Normal 2 4 7 2 3 3" xfId="5530" xr:uid="{00000000-0005-0000-0000-0000DE100000}"/>
    <cellStyle name="Normal 2 4 7 2 3 3 2" xfId="14856" xr:uid="{FCE33FAC-9A6F-4F68-AB3B-844DE6787A82}"/>
    <cellStyle name="Normal 2 4 7 2 3 4" xfId="10639" xr:uid="{2D6B02E3-E539-45E4-AE45-8A7AE7C8B4A7}"/>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7143323E-E18E-42C4-AA1C-1DC628E12436}"/>
    <cellStyle name="Normal 2 4 7 2 4 2 3" xfId="13197" xr:uid="{861CC5A7-0E03-4BA2-9DAA-E4320648258B}"/>
    <cellStyle name="Normal 2 4 7 2 4 3" xfId="5943" xr:uid="{00000000-0005-0000-0000-0000E2100000}"/>
    <cellStyle name="Normal 2 4 7 2 4 3 2" xfId="15269" xr:uid="{EA74E2B5-C5E4-4CA5-983F-658F36164124}"/>
    <cellStyle name="Normal 2 4 7 2 4 4" xfId="11052" xr:uid="{46FD4BB8-E172-422F-BF10-303555A0EB1B}"/>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2016238A-160D-4346-B436-DEBE2F6B92A0}"/>
    <cellStyle name="Normal 2 4 7 2 5 2 3" xfId="13610" xr:uid="{F0AD5A91-083F-4C42-9364-3A9B81D2E023}"/>
    <cellStyle name="Normal 2 4 7 2 5 3" xfId="6356" xr:uid="{00000000-0005-0000-0000-0000E6100000}"/>
    <cellStyle name="Normal 2 4 7 2 5 3 2" xfId="15682" xr:uid="{7425F6BD-A362-44D6-B2AF-360C67D7852E}"/>
    <cellStyle name="Normal 2 4 7 2 5 4" xfId="11465" xr:uid="{6A717468-A366-421D-B042-A3D0DADF8861}"/>
    <cellStyle name="Normal 2 4 7 2 6" xfId="2486" xr:uid="{00000000-0005-0000-0000-0000E7100000}"/>
    <cellStyle name="Normal 2 4 7 2 6 2" xfId="6769" xr:uid="{00000000-0005-0000-0000-0000E8100000}"/>
    <cellStyle name="Normal 2 4 7 2 6 2 2" xfId="16095" xr:uid="{A94BBEFE-9FB2-4D2C-A1ED-3030B8439361}"/>
    <cellStyle name="Normal 2 4 7 2 6 3" xfId="11878" xr:uid="{CEE2F7C9-7C16-4987-B0D6-D7980E2C8E43}"/>
    <cellStyle name="Normal 2 4 7 2 7" xfId="4703" xr:uid="{00000000-0005-0000-0000-0000E9100000}"/>
    <cellStyle name="Normal 2 4 7 2 7 2" xfId="14029" xr:uid="{96F4EDB8-CD71-4EFA-BBBD-17CB87EE7CDE}"/>
    <cellStyle name="Normal 2 4 7 2 8" xfId="9058" xr:uid="{FCEC438E-EF6A-4A00-BFE3-0DA309169A82}"/>
    <cellStyle name="Normal 2 4 7 2 8 2" xfId="18382" xr:uid="{7469CF65-9E22-4DA2-A404-367C686E9B2D}"/>
    <cellStyle name="Normal 2 4 7 2 9" xfId="9812" xr:uid="{FB233AE0-2B79-498C-9A6A-7DF2781DF3CA}"/>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F8246685-0E9A-455B-98CF-79F29B450BE6}"/>
    <cellStyle name="Normal 2 4 7 3 2 3" xfId="12370" xr:uid="{A193B1B5-252B-4779-91E0-02C53DD83E5E}"/>
    <cellStyle name="Normal 2 4 7 3 3" xfId="5116" xr:uid="{00000000-0005-0000-0000-0000ED100000}"/>
    <cellStyle name="Normal 2 4 7 3 3 2" xfId="14442" xr:uid="{0D9464E9-45D8-463F-BF9B-4AE877261059}"/>
    <cellStyle name="Normal 2 4 7 3 4" xfId="9276" xr:uid="{90A81E61-1719-41E4-8673-7681E805C2E0}"/>
    <cellStyle name="Normal 2 4 7 3 4 2" xfId="18591" xr:uid="{9673C488-FB0A-4919-9ADF-A0069B2DCDEE}"/>
    <cellStyle name="Normal 2 4 7 3 5" xfId="10225" xr:uid="{6B9883B0-719E-42D8-84DF-3169A36383E8}"/>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DAC2B95D-D1CA-4FF8-A031-CD70DA9E9CBB}"/>
    <cellStyle name="Normal 2 4 7 4 2 3" xfId="12783" xr:uid="{A92E05B2-EB6D-4FC2-9623-879C2967E4E3}"/>
    <cellStyle name="Normal 2 4 7 4 3" xfId="5529" xr:uid="{00000000-0005-0000-0000-0000F1100000}"/>
    <cellStyle name="Normal 2 4 7 4 3 2" xfId="14855" xr:uid="{A2FFD01B-1600-42A3-A7F4-278407C0CE85}"/>
    <cellStyle name="Normal 2 4 7 4 4" xfId="10638" xr:uid="{5567153C-7768-4C74-B30C-34DBA1C9A681}"/>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DBF7721A-E959-4EC6-B16E-72D5E5F3AA19}"/>
    <cellStyle name="Normal 2 4 7 5 2 3" xfId="13196" xr:uid="{05DF5037-45CE-4BA9-A6F4-46C59F72846D}"/>
    <cellStyle name="Normal 2 4 7 5 3" xfId="5942" xr:uid="{00000000-0005-0000-0000-0000F5100000}"/>
    <cellStyle name="Normal 2 4 7 5 3 2" xfId="15268" xr:uid="{1119B6BD-33A4-483C-B842-CA14473F37B8}"/>
    <cellStyle name="Normal 2 4 7 5 4" xfId="11051" xr:uid="{3AA0F99D-024C-4AF6-AE26-EB41F434379D}"/>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C41A1D80-61BC-44CB-91D0-DF1AC5F32395}"/>
    <cellStyle name="Normal 2 4 7 6 2 3" xfId="13609" xr:uid="{9738FE88-67C5-499E-894E-29CED9659FCF}"/>
    <cellStyle name="Normal 2 4 7 6 3" xfId="6355" xr:uid="{00000000-0005-0000-0000-0000F9100000}"/>
    <cellStyle name="Normal 2 4 7 6 3 2" xfId="15681" xr:uid="{6247A2B0-74E1-46CC-98CA-05370579E93D}"/>
    <cellStyle name="Normal 2 4 7 6 4" xfId="11464" xr:uid="{CED99A87-1EE8-4E34-8DC1-02584DDBA71E}"/>
    <cellStyle name="Normal 2 4 7 7" xfId="2485" xr:uid="{00000000-0005-0000-0000-0000FA100000}"/>
    <cellStyle name="Normal 2 4 7 7 2" xfId="6768" xr:uid="{00000000-0005-0000-0000-0000FB100000}"/>
    <cellStyle name="Normal 2 4 7 7 2 2" xfId="16094" xr:uid="{2F55C130-E039-4EDF-A4FD-60B82390EB1A}"/>
    <cellStyle name="Normal 2 4 7 7 3" xfId="11877" xr:uid="{A6E1D9EE-A016-43E6-A888-47EA21B2104C}"/>
    <cellStyle name="Normal 2 4 7 8" xfId="4702" xr:uid="{00000000-0005-0000-0000-0000FC100000}"/>
    <cellStyle name="Normal 2 4 7 8 2" xfId="14028" xr:uid="{3B78A2FD-0421-4D8F-A8F3-561E66E9C390}"/>
    <cellStyle name="Normal 2 4 7 9" xfId="8851" xr:uid="{6946A6C1-9296-4D8F-B36F-8F7964FD7AC6}"/>
    <cellStyle name="Normal 2 4 7 9 2" xfId="18175" xr:uid="{0C3AEEB6-AF68-43E5-B353-3C13A4C99711}"/>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4553EDEC-D8FC-4128-A199-B96FABADEFCA}"/>
    <cellStyle name="Normal 2 4 8 2 2 3" xfId="12372" xr:uid="{278AEF0D-4590-432F-BD38-C4B652B653B5}"/>
    <cellStyle name="Normal 2 4 8 2 3" xfId="5118" xr:uid="{00000000-0005-0000-0000-000001110000}"/>
    <cellStyle name="Normal 2 4 8 2 3 2" xfId="14444" xr:uid="{4B2AE4F1-83F6-4706-81B2-A3E15F2CFD15}"/>
    <cellStyle name="Normal 2 4 8 2 4" xfId="9392" xr:uid="{812B973E-E5C9-43CD-85B0-C8CA30BD9BF3}"/>
    <cellStyle name="Normal 2 4 8 2 4 2" xfId="18707" xr:uid="{E7BD87BA-8129-45C2-A195-D93C372B576E}"/>
    <cellStyle name="Normal 2 4 8 2 5" xfId="10227" xr:uid="{32F8782A-ACD0-4CC2-BAF1-24E274282D1F}"/>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98C6C99B-FA4E-4A78-A3B3-88BADCE7E0FA}"/>
    <cellStyle name="Normal 2 4 8 3 2 3" xfId="12785" xr:uid="{A037931E-6149-42EC-8D52-847502987368}"/>
    <cellStyle name="Normal 2 4 8 3 3" xfId="5531" xr:uid="{00000000-0005-0000-0000-000005110000}"/>
    <cellStyle name="Normal 2 4 8 3 3 2" xfId="14857" xr:uid="{E75E128A-90EE-4E20-9FCB-4EB870001A4A}"/>
    <cellStyle name="Normal 2 4 8 3 4" xfId="10640" xr:uid="{04A34674-9EB5-4633-A2B9-EB138041C8FA}"/>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A52556B9-1DF2-4A2B-99F4-EC76631D6439}"/>
    <cellStyle name="Normal 2 4 8 4 2 3" xfId="13198" xr:uid="{CCF3FAAE-7FD9-4E47-BE02-8D96E86CF021}"/>
    <cellStyle name="Normal 2 4 8 4 3" xfId="5944" xr:uid="{00000000-0005-0000-0000-000009110000}"/>
    <cellStyle name="Normal 2 4 8 4 3 2" xfId="15270" xr:uid="{F52B3767-CDEE-4E49-9F46-7A674ECE62DA}"/>
    <cellStyle name="Normal 2 4 8 4 4" xfId="11053" xr:uid="{A5052E30-378D-4783-AE16-FAD6DC4E7EA3}"/>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421A0BE0-07A1-4968-AD53-1931AFB19701}"/>
    <cellStyle name="Normal 2 4 8 5 2 3" xfId="13611" xr:uid="{135BC0D3-CFC3-455B-B132-AE39E78A83C4}"/>
    <cellStyle name="Normal 2 4 8 5 3" xfId="6357" xr:uid="{00000000-0005-0000-0000-00000D110000}"/>
    <cellStyle name="Normal 2 4 8 5 3 2" xfId="15683" xr:uid="{462359E6-8E10-4177-8A7D-EF8AC2D0D315}"/>
    <cellStyle name="Normal 2 4 8 5 4" xfId="11466" xr:uid="{CF43070A-CFFF-4217-902A-22EC31F68864}"/>
    <cellStyle name="Normal 2 4 8 6" xfId="2487" xr:uid="{00000000-0005-0000-0000-00000E110000}"/>
    <cellStyle name="Normal 2 4 8 6 2" xfId="6770" xr:uid="{00000000-0005-0000-0000-00000F110000}"/>
    <cellStyle name="Normal 2 4 8 6 2 2" xfId="16096" xr:uid="{D0ABB16A-47FB-45EB-BD54-0D60843392CD}"/>
    <cellStyle name="Normal 2 4 8 6 3" xfId="11879" xr:uid="{01C6A9C3-0DF1-4715-ACC2-82D7A56BB8C1}"/>
    <cellStyle name="Normal 2 4 8 7" xfId="4704" xr:uid="{00000000-0005-0000-0000-000010110000}"/>
    <cellStyle name="Normal 2 4 8 7 2" xfId="14030" xr:uid="{1CFAF7F7-E985-4CB3-8630-9E63EE9C1B3B}"/>
    <cellStyle name="Normal 2 4 8 8" xfId="8967" xr:uid="{32AC97CD-D3FD-4AE1-A8B2-07BEA9D5DE52}"/>
    <cellStyle name="Normal 2 4 8 8 2" xfId="18291" xr:uid="{8B9CCF94-B743-427F-B6F7-DE9406F6E8E9}"/>
    <cellStyle name="Normal 2 4 8 9" xfId="9813" xr:uid="{E83C9EE9-FF6D-4124-BEB0-D6EE47F2AFB0}"/>
    <cellStyle name="Normal 2 4 9" xfId="9170" xr:uid="{5569C060-E090-4551-A44D-517EC3FD1834}"/>
    <cellStyle name="Normal 2 4 9 2" xfId="18488" xr:uid="{04B364C0-FB10-4CEF-AEF8-96D8BDA890C4}"/>
    <cellStyle name="Normal 2 5" xfId="315" xr:uid="{00000000-0005-0000-0000-000011110000}"/>
    <cellStyle name="Normal 2 5 10" xfId="4705" xr:uid="{00000000-0005-0000-0000-000012110000}"/>
    <cellStyle name="Normal 2 5 10 2" xfId="14031" xr:uid="{B26175C1-CA08-49BD-A85A-85BA13CC8BEB}"/>
    <cellStyle name="Normal 2 5 11" xfId="9814" xr:uid="{A3A3D942-FD58-4F14-911C-988DE1E266B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40" xr:uid="{B65B41BD-6AEC-4E65-9875-1E2B8B61680D}"/>
    <cellStyle name="Normal 2 5 4 11" xfId="9815" xr:uid="{B534A2F7-199F-4839-8B92-130CB0FB8D42}"/>
    <cellStyle name="Normal 2 5 4 2" xfId="319" xr:uid="{00000000-0005-0000-0000-000016110000}"/>
    <cellStyle name="Normal 2 5 4 2 10" xfId="9816" xr:uid="{BBC18F78-119C-4AC1-AF93-49EFB2DA9C2D}"/>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F0E4C888-9E8F-4D71-88D7-5049217BDB22}"/>
    <cellStyle name="Normal 2 5 4 2 2 2 2 3" xfId="12376" xr:uid="{65150298-BDC5-4714-AC25-8A0AC443843E}"/>
    <cellStyle name="Normal 2 5 4 2 2 2 3" xfId="5122" xr:uid="{00000000-0005-0000-0000-00001B110000}"/>
    <cellStyle name="Normal 2 5 4 2 2 2 3 2" xfId="14448" xr:uid="{8ACE38E1-77AD-4F20-82EE-050FB7D75307}"/>
    <cellStyle name="Normal 2 5 4 2 2 2 4" xfId="9551" xr:uid="{392D7741-6781-4EA5-9C28-040053C1B05B}"/>
    <cellStyle name="Normal 2 5 4 2 2 2 4 2" xfId="18866" xr:uid="{02F531C5-E6E6-405F-868D-D0CF1CB039A6}"/>
    <cellStyle name="Normal 2 5 4 2 2 2 5" xfId="10231" xr:uid="{E2413B72-63F3-409E-B242-D09B86D2E5B8}"/>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64CF7092-7299-4513-8BA9-644D721B78B2}"/>
    <cellStyle name="Normal 2 5 4 2 2 3 2 3" xfId="12789" xr:uid="{4F471B20-7344-41DC-B30A-244B5E02986A}"/>
    <cellStyle name="Normal 2 5 4 2 2 3 3" xfId="5535" xr:uid="{00000000-0005-0000-0000-00001F110000}"/>
    <cellStyle name="Normal 2 5 4 2 2 3 3 2" xfId="14861" xr:uid="{518BEFD5-6C6B-4FB7-8530-B8D58556DD9B}"/>
    <cellStyle name="Normal 2 5 4 2 2 3 4" xfId="10644" xr:uid="{8FE41D6D-15E3-47C4-B760-A91221FFD932}"/>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A5369E43-DF7B-4F46-882C-9DEF1F8C8557}"/>
    <cellStyle name="Normal 2 5 4 2 2 4 2 3" xfId="13202" xr:uid="{1EE1BAAA-CE62-493F-ADC8-D30F8C7241AC}"/>
    <cellStyle name="Normal 2 5 4 2 2 4 3" xfId="5948" xr:uid="{00000000-0005-0000-0000-000023110000}"/>
    <cellStyle name="Normal 2 5 4 2 2 4 3 2" xfId="15274" xr:uid="{F9836A07-4796-4023-8D54-2202BB54900E}"/>
    <cellStyle name="Normal 2 5 4 2 2 4 4" xfId="11057" xr:uid="{51D34CA5-A00B-4B01-B45E-3B16C65F69A1}"/>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C0F76E65-5372-4B90-94CC-2BF8FE666FBA}"/>
    <cellStyle name="Normal 2 5 4 2 2 5 2 3" xfId="13615" xr:uid="{2066E6B1-11BC-4F71-A4F8-15059FD8C86C}"/>
    <cellStyle name="Normal 2 5 4 2 2 5 3" xfId="6361" xr:uid="{00000000-0005-0000-0000-000027110000}"/>
    <cellStyle name="Normal 2 5 4 2 2 5 3 2" xfId="15687" xr:uid="{C64E6329-EA6C-4763-B75B-2ECED009B48B}"/>
    <cellStyle name="Normal 2 5 4 2 2 5 4" xfId="11470" xr:uid="{6D0675D5-26C8-4D92-8356-9C8840522D18}"/>
    <cellStyle name="Normal 2 5 4 2 2 6" xfId="2491" xr:uid="{00000000-0005-0000-0000-000028110000}"/>
    <cellStyle name="Normal 2 5 4 2 2 6 2" xfId="6774" xr:uid="{00000000-0005-0000-0000-000029110000}"/>
    <cellStyle name="Normal 2 5 4 2 2 6 2 2" xfId="16100" xr:uid="{09AF7CA0-2A8E-4C9E-A822-7DF32485A9E8}"/>
    <cellStyle name="Normal 2 5 4 2 2 6 3" xfId="11883" xr:uid="{9B611107-AF4A-4D5D-9DD0-59671A578E77}"/>
    <cellStyle name="Normal 2 5 4 2 2 7" xfId="4708" xr:uid="{00000000-0005-0000-0000-00002A110000}"/>
    <cellStyle name="Normal 2 5 4 2 2 7 2" xfId="14034" xr:uid="{DDB2E12E-CF8C-4C18-92B5-F10DB8DE5C08}"/>
    <cellStyle name="Normal 2 5 4 2 2 8" xfId="9126" xr:uid="{C2CF4AFD-4082-4555-941B-6E9759C32D63}"/>
    <cellStyle name="Normal 2 5 4 2 2 8 2" xfId="18450" xr:uid="{D137CDAB-A507-4450-A710-12E8CB147CD3}"/>
    <cellStyle name="Normal 2 5 4 2 2 9" xfId="9817" xr:uid="{B168E4CA-C22B-4B45-96BC-37E608ED8687}"/>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75D2562E-DC89-4C57-8AAC-ACB57C2C7903}"/>
    <cellStyle name="Normal 2 5 4 2 3 2 3" xfId="12375" xr:uid="{2B328EDA-A7E9-4C4F-99AC-86CB0BA3D9BA}"/>
    <cellStyle name="Normal 2 5 4 2 3 3" xfId="5121" xr:uid="{00000000-0005-0000-0000-00002E110000}"/>
    <cellStyle name="Normal 2 5 4 2 3 3 2" xfId="14447" xr:uid="{07E42D1E-EF7F-43C4-B51C-8F296D032FE2}"/>
    <cellStyle name="Normal 2 5 4 2 3 4" xfId="9344" xr:uid="{207B8A34-09D9-4349-A9C7-5A5A998C6B6F}"/>
    <cellStyle name="Normal 2 5 4 2 3 4 2" xfId="18659" xr:uid="{AA11E304-2BCB-43CA-A3D7-9D99F51EEA0E}"/>
    <cellStyle name="Normal 2 5 4 2 3 5" xfId="10230" xr:uid="{CAD8B3AA-5500-4C8A-869C-3C9748B32044}"/>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4EBFABD7-9432-4919-9D64-3016B951DF43}"/>
    <cellStyle name="Normal 2 5 4 2 4 2 3" xfId="12788" xr:uid="{29BA1892-D545-47FB-B6EA-2B9FE619EA50}"/>
    <cellStyle name="Normal 2 5 4 2 4 3" xfId="5534" xr:uid="{00000000-0005-0000-0000-000032110000}"/>
    <cellStyle name="Normal 2 5 4 2 4 3 2" xfId="14860" xr:uid="{4AB8232E-8454-4032-9A1B-D25390AD7992}"/>
    <cellStyle name="Normal 2 5 4 2 4 4" xfId="10643" xr:uid="{955852CF-7AA9-4856-B1C0-57DED8F285D7}"/>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C522529D-3902-445A-B50C-C4C24ABAD525}"/>
    <cellStyle name="Normal 2 5 4 2 5 2 3" xfId="13201" xr:uid="{52184A2C-3B03-49D0-AB2E-E0D5B1E741BC}"/>
    <cellStyle name="Normal 2 5 4 2 5 3" xfId="5947" xr:uid="{00000000-0005-0000-0000-000036110000}"/>
    <cellStyle name="Normal 2 5 4 2 5 3 2" xfId="15273" xr:uid="{C75B1D2A-C5BC-467B-9C28-8F3983C12360}"/>
    <cellStyle name="Normal 2 5 4 2 5 4" xfId="11056" xr:uid="{1055858B-7628-4327-9FE5-AF92CA363D3B}"/>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0564D887-5E4A-44F8-9E39-3DC05BE15020}"/>
    <cellStyle name="Normal 2 5 4 2 6 2 3" xfId="13614" xr:uid="{F132D07D-60F8-4D19-A94E-9058E77E4DB8}"/>
    <cellStyle name="Normal 2 5 4 2 6 3" xfId="6360" xr:uid="{00000000-0005-0000-0000-00003A110000}"/>
    <cellStyle name="Normal 2 5 4 2 6 3 2" xfId="15686" xr:uid="{B5E29DCD-D815-4FC8-994E-B8A2BB166023}"/>
    <cellStyle name="Normal 2 5 4 2 6 4" xfId="11469" xr:uid="{3445A04B-9268-4D95-92BE-2D0902F83D4A}"/>
    <cellStyle name="Normal 2 5 4 2 7" xfId="2490" xr:uid="{00000000-0005-0000-0000-00003B110000}"/>
    <cellStyle name="Normal 2 5 4 2 7 2" xfId="6773" xr:uid="{00000000-0005-0000-0000-00003C110000}"/>
    <cellStyle name="Normal 2 5 4 2 7 2 2" xfId="16099" xr:uid="{4603C62A-7FF1-4957-B050-180AF6D35737}"/>
    <cellStyle name="Normal 2 5 4 2 7 3" xfId="11882" xr:uid="{640084BD-B923-4EEF-9F65-FAB189115A78}"/>
    <cellStyle name="Normal 2 5 4 2 8" xfId="4707" xr:uid="{00000000-0005-0000-0000-00003D110000}"/>
    <cellStyle name="Normal 2 5 4 2 8 2" xfId="14033" xr:uid="{4AB237D7-8DE9-444F-81AA-846CCFC20EAA}"/>
    <cellStyle name="Normal 2 5 4 2 9" xfId="8919" xr:uid="{2A8C96F6-0F22-4271-BCA3-7E5B2E35A54F}"/>
    <cellStyle name="Normal 2 5 4 2 9 2" xfId="18243" xr:uid="{9A06C341-0C8C-4F0F-BCF3-8BF90BC98EE7}"/>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97E11597-6CB2-4B75-86F0-8AD24E2D4EEC}"/>
    <cellStyle name="Normal 2 5 4 3 2 2 3" xfId="12377" xr:uid="{DFA7115D-D635-4EAB-8E28-FCE34281F322}"/>
    <cellStyle name="Normal 2 5 4 3 2 3" xfId="5123" xr:uid="{00000000-0005-0000-0000-000042110000}"/>
    <cellStyle name="Normal 2 5 4 3 2 3 2" xfId="14449" xr:uid="{7BE6B186-5C68-4EB9-9922-FC90ECFFABA8}"/>
    <cellStyle name="Normal 2 5 4 3 2 4" xfId="9448" xr:uid="{0C1738F2-697E-4430-8A3F-E67747B3EDB0}"/>
    <cellStyle name="Normal 2 5 4 3 2 4 2" xfId="18763" xr:uid="{0D6A6907-935C-48EE-94A2-3B153CFE81AC}"/>
    <cellStyle name="Normal 2 5 4 3 2 5" xfId="10232" xr:uid="{84390AFC-7B1C-4E20-A494-2685281B0D63}"/>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2807A132-C7A9-4B11-A6A6-D63058166612}"/>
    <cellStyle name="Normal 2 5 4 3 3 2 3" xfId="12790" xr:uid="{50B14575-A25A-454E-8194-167F85773C7C}"/>
    <cellStyle name="Normal 2 5 4 3 3 3" xfId="5536" xr:uid="{00000000-0005-0000-0000-000046110000}"/>
    <cellStyle name="Normal 2 5 4 3 3 3 2" xfId="14862" xr:uid="{7CBA61A6-C1BA-4EE1-B43A-3569ABAE7E29}"/>
    <cellStyle name="Normal 2 5 4 3 3 4" xfId="10645" xr:uid="{3E30F0E0-6949-4AB4-B01F-4551BE252746}"/>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97E530A1-191D-4D31-95A8-D821C158593D}"/>
    <cellStyle name="Normal 2 5 4 3 4 2 3" xfId="13203" xr:uid="{0A13658C-F399-47B9-8CEF-A0362EE8742D}"/>
    <cellStyle name="Normal 2 5 4 3 4 3" xfId="5949" xr:uid="{00000000-0005-0000-0000-00004A110000}"/>
    <cellStyle name="Normal 2 5 4 3 4 3 2" xfId="15275" xr:uid="{4783D311-4745-4252-A02C-7CC6884B7C3A}"/>
    <cellStyle name="Normal 2 5 4 3 4 4" xfId="11058" xr:uid="{B0D58C4B-FC89-4193-85BD-8B83230BEF34}"/>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DFA77A54-EECD-4818-BF66-79AD890220BB}"/>
    <cellStyle name="Normal 2 5 4 3 5 2 3" xfId="13616" xr:uid="{0C5A0009-574D-4D69-9ED9-DB1943968C25}"/>
    <cellStyle name="Normal 2 5 4 3 5 3" xfId="6362" xr:uid="{00000000-0005-0000-0000-00004E110000}"/>
    <cellStyle name="Normal 2 5 4 3 5 3 2" xfId="15688" xr:uid="{43B158AF-32B6-4EF1-8E18-B7075F51941F}"/>
    <cellStyle name="Normal 2 5 4 3 5 4" xfId="11471" xr:uid="{68C3269A-C2FB-45F2-AFC8-E150EB19B67E}"/>
    <cellStyle name="Normal 2 5 4 3 6" xfId="2492" xr:uid="{00000000-0005-0000-0000-00004F110000}"/>
    <cellStyle name="Normal 2 5 4 3 6 2" xfId="6775" xr:uid="{00000000-0005-0000-0000-000050110000}"/>
    <cellStyle name="Normal 2 5 4 3 6 2 2" xfId="16101" xr:uid="{0547440A-DAE6-4014-BD2D-3908C23F11EC}"/>
    <cellStyle name="Normal 2 5 4 3 6 3" xfId="11884" xr:uid="{A954A509-7549-44B0-B7FE-439D6717EDBC}"/>
    <cellStyle name="Normal 2 5 4 3 7" xfId="4709" xr:uid="{00000000-0005-0000-0000-000051110000}"/>
    <cellStyle name="Normal 2 5 4 3 7 2" xfId="14035" xr:uid="{FEA654A0-9D94-4D61-AA8C-1E0A53E528CA}"/>
    <cellStyle name="Normal 2 5 4 3 8" xfId="9023" xr:uid="{9B869639-3DD4-4511-AD70-D5125D34938F}"/>
    <cellStyle name="Normal 2 5 4 3 8 2" xfId="18347" xr:uid="{5A41228F-28F9-42F6-B953-9AAA4B6C9C31}"/>
    <cellStyle name="Normal 2 5 4 3 9" xfId="9818" xr:uid="{65BF6DED-48C6-4655-9FD2-D5D3F5C28839}"/>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5444CEBA-12F0-42F3-8C20-42B8F0ED5246}"/>
    <cellStyle name="Normal 2 5 4 4 2 3" xfId="12374" xr:uid="{1EE12334-1AD5-4B41-8FEC-7D2AC3B454D2}"/>
    <cellStyle name="Normal 2 5 4 4 3" xfId="5120" xr:uid="{00000000-0005-0000-0000-000055110000}"/>
    <cellStyle name="Normal 2 5 4 4 3 2" xfId="14446" xr:uid="{A3CE9147-DBFA-4C9A-9CF9-40FDA15F192D}"/>
    <cellStyle name="Normal 2 5 4 4 4" xfId="9241" xr:uid="{2BD2F05F-E4C9-46B4-B3C9-F0D081C1F38F}"/>
    <cellStyle name="Normal 2 5 4 4 4 2" xfId="18556" xr:uid="{A44AD210-4E25-424F-8AAD-261F2DDCD0DA}"/>
    <cellStyle name="Normal 2 5 4 4 5" xfId="10229" xr:uid="{2F3A7CAA-6C05-4AF3-B2BE-B41C1FB14848}"/>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7EC99075-1ACC-4C40-8B84-41FBE68D0774}"/>
    <cellStyle name="Normal 2 5 4 5 2 3" xfId="12787" xr:uid="{A5A1B966-8BB3-4D21-A50E-A76058A21187}"/>
    <cellStyle name="Normal 2 5 4 5 3" xfId="5533" xr:uid="{00000000-0005-0000-0000-000059110000}"/>
    <cellStyle name="Normal 2 5 4 5 3 2" xfId="14859" xr:uid="{002575D0-017B-41F9-A5F4-2B6062920ABE}"/>
    <cellStyle name="Normal 2 5 4 5 4" xfId="10642" xr:uid="{5CBBF1F9-26FC-4FCF-8710-0C0E7D6515A7}"/>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B9A41674-9A40-45AA-92EB-BEBE013990A3}"/>
    <cellStyle name="Normal 2 5 4 6 2 3" xfId="13200" xr:uid="{178DC9B2-DA53-4CAE-8127-CCD007F734E2}"/>
    <cellStyle name="Normal 2 5 4 6 3" xfId="5946" xr:uid="{00000000-0005-0000-0000-00005D110000}"/>
    <cellStyle name="Normal 2 5 4 6 3 2" xfId="15272" xr:uid="{94A3A166-938C-4960-9101-569A81A9191C}"/>
    <cellStyle name="Normal 2 5 4 6 4" xfId="11055" xr:uid="{C5385F13-46AF-4C07-93E4-5875679529ED}"/>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A3D0019B-F3A8-4C95-881A-9EB06AEC8C6C}"/>
    <cellStyle name="Normal 2 5 4 7 2 3" xfId="13613" xr:uid="{2565A3E4-8733-428D-AAF2-4D55B6E29E8E}"/>
    <cellStyle name="Normal 2 5 4 7 3" xfId="6359" xr:uid="{00000000-0005-0000-0000-000061110000}"/>
    <cellStyle name="Normal 2 5 4 7 3 2" xfId="15685" xr:uid="{E6C3F908-CB81-4069-99BC-9465B663F21D}"/>
    <cellStyle name="Normal 2 5 4 7 4" xfId="11468" xr:uid="{079FC5F1-33CF-446B-A7C1-CEDCCE869CF4}"/>
    <cellStyle name="Normal 2 5 4 8" xfId="2489" xr:uid="{00000000-0005-0000-0000-000062110000}"/>
    <cellStyle name="Normal 2 5 4 8 2" xfId="6772" xr:uid="{00000000-0005-0000-0000-000063110000}"/>
    <cellStyle name="Normal 2 5 4 8 2 2" xfId="16098" xr:uid="{2414C8B9-FA1D-419E-A968-ABBE805CB666}"/>
    <cellStyle name="Normal 2 5 4 8 3" xfId="11881" xr:uid="{9B4E8C0C-B16B-4DA0-AF34-4B58F5A4A3A3}"/>
    <cellStyle name="Normal 2 5 4 9" xfId="4706" xr:uid="{00000000-0005-0000-0000-000064110000}"/>
    <cellStyle name="Normal 2 5 4 9 2" xfId="14032" xr:uid="{048516EB-0B95-4ACC-9BD5-7BA9D82B76B6}"/>
    <cellStyle name="Normal 2 5 5" xfId="803" xr:uid="{00000000-0005-0000-0000-000065110000}"/>
    <cellStyle name="Normal 2 5 5 2" xfId="3042" xr:uid="{00000000-0005-0000-0000-000066110000}"/>
    <cellStyle name="Normal 2 5 5 2 2" xfId="7264" xr:uid="{00000000-0005-0000-0000-000067110000}"/>
    <cellStyle name="Normal 2 5 5 2 2 2" xfId="16590" xr:uid="{A7E7C45B-7002-4704-98F5-32B8CAF115F7}"/>
    <cellStyle name="Normal 2 5 5 2 3" xfId="12373" xr:uid="{87E5C520-AD02-4A3B-8DF8-FFE6F3FC7870}"/>
    <cellStyle name="Normal 2 5 5 3" xfId="5119" xr:uid="{00000000-0005-0000-0000-000068110000}"/>
    <cellStyle name="Normal 2 5 5 3 2" xfId="14445" xr:uid="{EB5F9FF8-4383-4E88-94B6-23ED60641AA6}"/>
    <cellStyle name="Normal 2 5 5 4" xfId="9606" xr:uid="{3AE4D77A-44EE-40C2-9F71-05FBDE2746B2}"/>
    <cellStyle name="Normal 2 5 5 4 2" xfId="18907" xr:uid="{C5BC320A-1CD1-4453-A1E3-4A194A9E1262}"/>
    <cellStyle name="Normal 2 5 5 5" xfId="10228" xr:uid="{82EAD6AD-8712-43B6-9236-24E426825378}"/>
    <cellStyle name="Normal 2 5 6" xfId="1225" xr:uid="{00000000-0005-0000-0000-000069110000}"/>
    <cellStyle name="Normal 2 5 6 2" xfId="3455" xr:uid="{00000000-0005-0000-0000-00006A110000}"/>
    <cellStyle name="Normal 2 5 6 2 2" xfId="7677" xr:uid="{00000000-0005-0000-0000-00006B110000}"/>
    <cellStyle name="Normal 2 5 6 2 2 2" xfId="17003" xr:uid="{C381E93E-003D-4209-BDC0-C1947C90565B}"/>
    <cellStyle name="Normal 2 5 6 2 3" xfId="12786" xr:uid="{A1DFB470-4A85-4072-8B3A-9D00D39374B8}"/>
    <cellStyle name="Normal 2 5 6 3" xfId="5532" xr:uid="{00000000-0005-0000-0000-00006C110000}"/>
    <cellStyle name="Normal 2 5 6 3 2" xfId="14858" xr:uid="{8B3F3A30-B6D2-4C2E-83A8-809712C4B9C4}"/>
    <cellStyle name="Normal 2 5 6 4" xfId="10641" xr:uid="{31D4ABBC-4AFB-4D80-8B33-0E3BD34F3EB9}"/>
    <cellStyle name="Normal 2 5 7" xfId="1638" xr:uid="{00000000-0005-0000-0000-00006D110000}"/>
    <cellStyle name="Normal 2 5 7 2" xfId="3868" xr:uid="{00000000-0005-0000-0000-00006E110000}"/>
    <cellStyle name="Normal 2 5 7 2 2" xfId="8090" xr:uid="{00000000-0005-0000-0000-00006F110000}"/>
    <cellStyle name="Normal 2 5 7 2 2 2" xfId="17416" xr:uid="{C8CACC8F-916A-4F3B-B7D4-991B7ADD0FDF}"/>
    <cellStyle name="Normal 2 5 7 2 3" xfId="13199" xr:uid="{A75315A4-55CC-4E98-ACC2-CE30A3477853}"/>
    <cellStyle name="Normal 2 5 7 3" xfId="5945" xr:uid="{00000000-0005-0000-0000-000070110000}"/>
    <cellStyle name="Normal 2 5 7 3 2" xfId="15271" xr:uid="{A98C114E-9E88-43A1-AFFA-2FDB7AD54E6B}"/>
    <cellStyle name="Normal 2 5 7 4" xfId="11054" xr:uid="{AD215936-8CBD-4DAC-A6A1-F123E635BCE0}"/>
    <cellStyle name="Normal 2 5 8" xfId="2052" xr:uid="{00000000-0005-0000-0000-000071110000}"/>
    <cellStyle name="Normal 2 5 8 2" xfId="4281" xr:uid="{00000000-0005-0000-0000-000072110000}"/>
    <cellStyle name="Normal 2 5 8 2 2" xfId="8503" xr:uid="{00000000-0005-0000-0000-000073110000}"/>
    <cellStyle name="Normal 2 5 8 2 2 2" xfId="17829" xr:uid="{D3572000-AF7C-481E-A1A3-B9DD988B8A5D}"/>
    <cellStyle name="Normal 2 5 8 2 3" xfId="13612" xr:uid="{C657003D-948E-46F9-B5CD-8F397AB5D5B3}"/>
    <cellStyle name="Normal 2 5 8 3" xfId="6358" xr:uid="{00000000-0005-0000-0000-000074110000}"/>
    <cellStyle name="Normal 2 5 8 3 2" xfId="15684" xr:uid="{D966B6DE-E895-446F-BE5D-965FDE9E5FF2}"/>
    <cellStyle name="Normal 2 5 8 4" xfId="11467" xr:uid="{E0C8507A-1290-46B9-9661-4DA73CB68134}"/>
    <cellStyle name="Normal 2 5 9" xfId="2488" xr:uid="{00000000-0005-0000-0000-000075110000}"/>
    <cellStyle name="Normal 2 5 9 2" xfId="6771" xr:uid="{00000000-0005-0000-0000-000076110000}"/>
    <cellStyle name="Normal 2 5 9 2 2" xfId="16097" xr:uid="{F3957E0D-358F-4F99-A591-B2CD531E3A2B}"/>
    <cellStyle name="Normal 2 5 9 3" xfId="11880" xr:uid="{ACB987DF-EB97-4637-8895-9D916092E56F}"/>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8479" xr:uid="{FF92E554-316D-4338-A3CF-94DA00399013}"/>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881B6638-3618-41D9-9347-F31271E70DAA}"/>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1" xr:uid="{7B8A9199-461C-44F7-BE80-F9F554C10A3F}"/>
    <cellStyle name="Normal 3 2 3 11" xfId="9820" xr:uid="{A2E4504C-034A-4CB1-AA54-03A953035652}"/>
    <cellStyle name="Normal 3 2 3 2" xfId="327" xr:uid="{00000000-0005-0000-0000-00007F110000}"/>
    <cellStyle name="Normal 3 2 3 2 10" xfId="9821" xr:uid="{0FB0CA18-0328-4B58-B435-2E63F472CC5E}"/>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6B87F5DB-DEAB-4CB0-A8C9-B1A6876E7D28}"/>
    <cellStyle name="Normal 3 2 3 2 2 2 2 3" xfId="12381" xr:uid="{42F8F879-92EB-46D3-BC10-9A98985C5C6B}"/>
    <cellStyle name="Normal 3 2 3 2 2 2 3" xfId="5127" xr:uid="{00000000-0005-0000-0000-000084110000}"/>
    <cellStyle name="Normal 3 2 3 2 2 2 3 2" xfId="14453" xr:uid="{1CE3B02A-82CA-430A-8CB4-09C2E64396D5}"/>
    <cellStyle name="Normal 3 2 3 2 2 2 4" xfId="9552" xr:uid="{54198C1B-8B77-4C07-BFED-28C4D4E00A0C}"/>
    <cellStyle name="Normal 3 2 3 2 2 2 4 2" xfId="18867" xr:uid="{9BEC5B8B-4ADD-4CEB-853D-4BC8A0BF2FE6}"/>
    <cellStyle name="Normal 3 2 3 2 2 2 5" xfId="10236" xr:uid="{C6438EC4-0C31-4FCD-90AB-A744C949B364}"/>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92C614EA-D09E-4365-8997-1ADD58093E4F}"/>
    <cellStyle name="Normal 3 2 3 2 2 3 2 3" xfId="12794" xr:uid="{9221CB79-9582-43A8-BAED-FFCDA9EC2BEF}"/>
    <cellStyle name="Normal 3 2 3 2 2 3 3" xfId="5540" xr:uid="{00000000-0005-0000-0000-000088110000}"/>
    <cellStyle name="Normal 3 2 3 2 2 3 3 2" xfId="14866" xr:uid="{66C60E2F-9C70-4E81-8797-ACD2F5921F03}"/>
    <cellStyle name="Normal 3 2 3 2 2 3 4" xfId="10649" xr:uid="{05C32BA6-38F1-4A22-8EA2-5FA1C9CC2B1C}"/>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845322D1-5749-461E-BE0C-8AE3770A0340}"/>
    <cellStyle name="Normal 3 2 3 2 2 4 2 3" xfId="13207" xr:uid="{8455613C-5FA4-4BC5-B93A-7C1D30BA496A}"/>
    <cellStyle name="Normal 3 2 3 2 2 4 3" xfId="5953" xr:uid="{00000000-0005-0000-0000-00008C110000}"/>
    <cellStyle name="Normal 3 2 3 2 2 4 3 2" xfId="15279" xr:uid="{FA77CDE8-0914-4213-92DF-9E9300C8D69A}"/>
    <cellStyle name="Normal 3 2 3 2 2 4 4" xfId="11062" xr:uid="{E88838D4-7AAE-4753-988D-777B97BE8F47}"/>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B87CF53E-96B7-4E83-B183-D3BFBFB14A5F}"/>
    <cellStyle name="Normal 3 2 3 2 2 5 2 3" xfId="13620" xr:uid="{3A81BA73-71A5-46BD-9C10-64BD7D9D9A9F}"/>
    <cellStyle name="Normal 3 2 3 2 2 5 3" xfId="6366" xr:uid="{00000000-0005-0000-0000-000090110000}"/>
    <cellStyle name="Normal 3 2 3 2 2 5 3 2" xfId="15692" xr:uid="{4FD21DC7-CE7D-4840-9128-5479B8390787}"/>
    <cellStyle name="Normal 3 2 3 2 2 5 4" xfId="11475" xr:uid="{D47D7666-3A0D-461A-BC67-92451FF1E716}"/>
    <cellStyle name="Normal 3 2 3 2 2 6" xfId="2496" xr:uid="{00000000-0005-0000-0000-000091110000}"/>
    <cellStyle name="Normal 3 2 3 2 2 6 2" xfId="6779" xr:uid="{00000000-0005-0000-0000-000092110000}"/>
    <cellStyle name="Normal 3 2 3 2 2 6 2 2" xfId="16105" xr:uid="{617A8FA9-2E3E-419D-990F-DEA560D65391}"/>
    <cellStyle name="Normal 3 2 3 2 2 6 3" xfId="11888" xr:uid="{9CA9D513-2DAD-4DCE-89A3-4A0BCC19AE35}"/>
    <cellStyle name="Normal 3 2 3 2 2 7" xfId="4713" xr:uid="{00000000-0005-0000-0000-000093110000}"/>
    <cellStyle name="Normal 3 2 3 2 2 7 2" xfId="14039" xr:uid="{F84AAE98-2A33-4C6C-90C6-CB09AAEE2B7F}"/>
    <cellStyle name="Normal 3 2 3 2 2 8" xfId="9127" xr:uid="{0583B12A-AAD6-4358-9C0C-42D6EBC3DFD8}"/>
    <cellStyle name="Normal 3 2 3 2 2 8 2" xfId="18451" xr:uid="{CFC95304-9AA1-4ADA-B1C5-038F95B5ADB7}"/>
    <cellStyle name="Normal 3 2 3 2 2 9" xfId="9822" xr:uid="{4B135937-3996-48C3-A87A-AA0DB4770C8F}"/>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12C01431-C2C4-4316-91A1-CA67E4B61F4A}"/>
    <cellStyle name="Normal 3 2 3 2 3 2 3" xfId="12380" xr:uid="{0B2894AB-DF12-456B-BBE0-65E26EE61AC6}"/>
    <cellStyle name="Normal 3 2 3 2 3 3" xfId="5126" xr:uid="{00000000-0005-0000-0000-000097110000}"/>
    <cellStyle name="Normal 3 2 3 2 3 3 2" xfId="14452" xr:uid="{1564430A-AC56-4FC2-8F7C-81648BCF24A8}"/>
    <cellStyle name="Normal 3 2 3 2 3 4" xfId="9345" xr:uid="{C34A3811-3C7F-4E99-A17A-CCF74A426C86}"/>
    <cellStyle name="Normal 3 2 3 2 3 4 2" xfId="18660" xr:uid="{2715580E-49C4-42AB-9421-2D08A8445420}"/>
    <cellStyle name="Normal 3 2 3 2 3 5" xfId="10235" xr:uid="{232AE00D-67D7-41C8-9E8F-B7412D603732}"/>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0E66F681-B303-4204-8C28-22B4452CE7F3}"/>
    <cellStyle name="Normal 3 2 3 2 4 2 3" xfId="12793" xr:uid="{A263A588-2155-40C4-9868-ADFED7B91F01}"/>
    <cellStyle name="Normal 3 2 3 2 4 3" xfId="5539" xr:uid="{00000000-0005-0000-0000-00009B110000}"/>
    <cellStyle name="Normal 3 2 3 2 4 3 2" xfId="14865" xr:uid="{6C12865A-2E8E-4C01-94BE-B79A3F65836D}"/>
    <cellStyle name="Normal 3 2 3 2 4 4" xfId="10648" xr:uid="{98F64904-B7A3-4378-AFE4-E7C488D82095}"/>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13FD248A-8A95-404E-977D-CC20C76DB46E}"/>
    <cellStyle name="Normal 3 2 3 2 5 2 3" xfId="13206" xr:uid="{5DE564B4-B34C-4B09-9B6C-7FE75FCCCC46}"/>
    <cellStyle name="Normal 3 2 3 2 5 3" xfId="5952" xr:uid="{00000000-0005-0000-0000-00009F110000}"/>
    <cellStyle name="Normal 3 2 3 2 5 3 2" xfId="15278" xr:uid="{12A6CE5F-EF38-41ED-8D0E-9A7F874093AB}"/>
    <cellStyle name="Normal 3 2 3 2 5 4" xfId="11061" xr:uid="{D3D739D9-EC6D-43BC-BE6C-2175EC940A3D}"/>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771FB626-10BC-4251-8FBC-A8B5A9A38146}"/>
    <cellStyle name="Normal 3 2 3 2 6 2 3" xfId="13619" xr:uid="{0D47DA9A-03D9-4147-8DCB-BAE2AA7941DB}"/>
    <cellStyle name="Normal 3 2 3 2 6 3" xfId="6365" xr:uid="{00000000-0005-0000-0000-0000A3110000}"/>
    <cellStyle name="Normal 3 2 3 2 6 3 2" xfId="15691" xr:uid="{4FD3EBC7-64F7-42E1-9B40-D787F04B1B77}"/>
    <cellStyle name="Normal 3 2 3 2 6 4" xfId="11474" xr:uid="{3E61902B-2109-459A-B65A-5D80BBD8C23F}"/>
    <cellStyle name="Normal 3 2 3 2 7" xfId="2495" xr:uid="{00000000-0005-0000-0000-0000A4110000}"/>
    <cellStyle name="Normal 3 2 3 2 7 2" xfId="6778" xr:uid="{00000000-0005-0000-0000-0000A5110000}"/>
    <cellStyle name="Normal 3 2 3 2 7 2 2" xfId="16104" xr:uid="{8195D4AA-8959-4E43-B87F-C73508E88B0A}"/>
    <cellStyle name="Normal 3 2 3 2 7 3" xfId="11887" xr:uid="{96178E89-CD85-4C58-BC4F-C943B0535A7C}"/>
    <cellStyle name="Normal 3 2 3 2 8" xfId="4712" xr:uid="{00000000-0005-0000-0000-0000A6110000}"/>
    <cellStyle name="Normal 3 2 3 2 8 2" xfId="14038" xr:uid="{4D7C0992-3E3A-42A1-B688-6E102BED36CE}"/>
    <cellStyle name="Normal 3 2 3 2 9" xfId="8920" xr:uid="{D9E0825A-068A-435C-BDBE-2C0571A11FAF}"/>
    <cellStyle name="Normal 3 2 3 2 9 2" xfId="18244" xr:uid="{87467916-84DE-4765-87D3-D45F822DBF7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5A808F59-056E-473A-9F0D-B71ED0198794}"/>
    <cellStyle name="Normal 3 2 3 3 2 2 3" xfId="12382" xr:uid="{11057E99-9696-4CE5-869C-93B179580A68}"/>
    <cellStyle name="Normal 3 2 3 3 2 3" xfId="5128" xr:uid="{00000000-0005-0000-0000-0000AB110000}"/>
    <cellStyle name="Normal 3 2 3 3 2 3 2" xfId="14454" xr:uid="{790F543D-CC01-4A0E-AB0F-448857A7B387}"/>
    <cellStyle name="Normal 3 2 3 3 2 4" xfId="9449" xr:uid="{7F58A2DC-DF16-44D1-8D09-04DD41EF4468}"/>
    <cellStyle name="Normal 3 2 3 3 2 4 2" xfId="18764" xr:uid="{1FD98A05-B758-4D57-8E88-7B0C0004457A}"/>
    <cellStyle name="Normal 3 2 3 3 2 5" xfId="10237" xr:uid="{702C9067-FE07-44BB-9E90-970418C45687}"/>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B835287F-5B17-4D2D-9B10-640058BBC408}"/>
    <cellStyle name="Normal 3 2 3 3 3 2 3" xfId="12795" xr:uid="{BE4B59F2-2481-4CA8-BCF5-64AE1675F0B9}"/>
    <cellStyle name="Normal 3 2 3 3 3 3" xfId="5541" xr:uid="{00000000-0005-0000-0000-0000AF110000}"/>
    <cellStyle name="Normal 3 2 3 3 3 3 2" xfId="14867" xr:uid="{C79D98AD-52D4-4CBF-BE38-0C60F7FDBFC9}"/>
    <cellStyle name="Normal 3 2 3 3 3 4" xfId="10650" xr:uid="{8BA796F7-32E6-4607-9C6C-323C6A3A1D4F}"/>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822D0596-6CBF-4E1A-B593-777A67524E04}"/>
    <cellStyle name="Normal 3 2 3 3 4 2 3" xfId="13208" xr:uid="{ED3EBC20-501E-4B6C-ACBC-AA7FD37EA759}"/>
    <cellStyle name="Normal 3 2 3 3 4 3" xfId="5954" xr:uid="{00000000-0005-0000-0000-0000B3110000}"/>
    <cellStyle name="Normal 3 2 3 3 4 3 2" xfId="15280" xr:uid="{BE67AC16-D649-46DF-948D-09517561D1FB}"/>
    <cellStyle name="Normal 3 2 3 3 4 4" xfId="11063" xr:uid="{C189C861-4F37-4F84-BCE6-F0E29189FDE2}"/>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A09A45AB-D91A-4FFA-ADF1-75B469FA1D42}"/>
    <cellStyle name="Normal 3 2 3 3 5 2 3" xfId="13621" xr:uid="{EE0E2B1F-FDED-4368-9A05-9E2A74C03B29}"/>
    <cellStyle name="Normal 3 2 3 3 5 3" xfId="6367" xr:uid="{00000000-0005-0000-0000-0000B7110000}"/>
    <cellStyle name="Normal 3 2 3 3 5 3 2" xfId="15693" xr:uid="{F66F8C3A-45E7-492D-8A34-89CE49B0E363}"/>
    <cellStyle name="Normal 3 2 3 3 5 4" xfId="11476" xr:uid="{3E08E0C7-4121-4E2E-9BFD-274D94D2DBE9}"/>
    <cellStyle name="Normal 3 2 3 3 6" xfId="2497" xr:uid="{00000000-0005-0000-0000-0000B8110000}"/>
    <cellStyle name="Normal 3 2 3 3 6 2" xfId="6780" xr:uid="{00000000-0005-0000-0000-0000B9110000}"/>
    <cellStyle name="Normal 3 2 3 3 6 2 2" xfId="16106" xr:uid="{DE124C26-7FF4-45B6-8449-9C6FE4F13B25}"/>
    <cellStyle name="Normal 3 2 3 3 6 3" xfId="11889" xr:uid="{2062364E-BD50-40C3-9507-07C146D06B87}"/>
    <cellStyle name="Normal 3 2 3 3 7" xfId="4714" xr:uid="{00000000-0005-0000-0000-0000BA110000}"/>
    <cellStyle name="Normal 3 2 3 3 7 2" xfId="14040" xr:uid="{A35B66BD-822E-424C-8951-5EF807455321}"/>
    <cellStyle name="Normal 3 2 3 3 8" xfId="9024" xr:uid="{AE2F680F-18A3-47B5-ADCF-6BEAD71D50CE}"/>
    <cellStyle name="Normal 3 2 3 3 8 2" xfId="18348" xr:uid="{53437965-2F54-4E61-BD38-76C72390A2ED}"/>
    <cellStyle name="Normal 3 2 3 3 9" xfId="9823" xr:uid="{ADC54091-59F2-45EF-8C91-CC25943126D1}"/>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9FB5043C-0472-4A5D-A7CE-72D462AEA17A}"/>
    <cellStyle name="Normal 3 2 3 4 2 3" xfId="12379" xr:uid="{07501CBF-0971-4FAC-A788-E1F2DA9F7187}"/>
    <cellStyle name="Normal 3 2 3 4 3" xfId="5125" xr:uid="{00000000-0005-0000-0000-0000BE110000}"/>
    <cellStyle name="Normal 3 2 3 4 3 2" xfId="14451" xr:uid="{F3F465EB-9471-4F8C-9302-828DC22B6CA4}"/>
    <cellStyle name="Normal 3 2 3 4 4" xfId="9242" xr:uid="{05AEEDFF-7EEB-40DB-B13D-145C971A771B}"/>
    <cellStyle name="Normal 3 2 3 4 4 2" xfId="18557" xr:uid="{73418055-C60A-4003-B91A-CADC292F42FE}"/>
    <cellStyle name="Normal 3 2 3 4 5" xfId="10234" xr:uid="{AB981E20-EE18-4078-968D-D3E6CDFED410}"/>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9535C139-CDE5-4F11-93B8-230A524AC116}"/>
    <cellStyle name="Normal 3 2 3 5 2 3" xfId="12792" xr:uid="{FFC514A9-D8B3-431C-99E1-0DA2CFC7C6A9}"/>
    <cellStyle name="Normal 3 2 3 5 3" xfId="5538" xr:uid="{00000000-0005-0000-0000-0000C2110000}"/>
    <cellStyle name="Normal 3 2 3 5 3 2" xfId="14864" xr:uid="{13B77E31-9F1E-42DA-A4E2-B400CE174685}"/>
    <cellStyle name="Normal 3 2 3 5 4" xfId="10647" xr:uid="{94EF59EB-69FB-4B39-A302-693E8B7B14E3}"/>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B9CF4216-5AA6-4C37-A6E0-80A51B8EA0C1}"/>
    <cellStyle name="Normal 3 2 3 6 2 3" xfId="13205" xr:uid="{2C88C21D-8526-486D-9682-39D4483FDE01}"/>
    <cellStyle name="Normal 3 2 3 6 3" xfId="5951" xr:uid="{00000000-0005-0000-0000-0000C6110000}"/>
    <cellStyle name="Normal 3 2 3 6 3 2" xfId="15277" xr:uid="{796B117F-7C95-473E-8191-ABCCAA360239}"/>
    <cellStyle name="Normal 3 2 3 6 4" xfId="11060" xr:uid="{A53AAC48-62B8-4978-B539-F797B136D81A}"/>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138D2E90-3785-4F93-85F0-6B70DF3F88B1}"/>
    <cellStyle name="Normal 3 2 3 7 2 3" xfId="13618" xr:uid="{2753405B-9480-437E-B2BF-91BC65D304AF}"/>
    <cellStyle name="Normal 3 2 3 7 3" xfId="6364" xr:uid="{00000000-0005-0000-0000-0000CA110000}"/>
    <cellStyle name="Normal 3 2 3 7 3 2" xfId="15690" xr:uid="{171A95D3-A05D-420D-A3AB-7D3BD40B06CD}"/>
    <cellStyle name="Normal 3 2 3 7 4" xfId="11473" xr:uid="{6326C0E5-DD9E-4092-B4F9-810A7E3AF211}"/>
    <cellStyle name="Normal 3 2 3 8" xfId="2494" xr:uid="{00000000-0005-0000-0000-0000CB110000}"/>
    <cellStyle name="Normal 3 2 3 8 2" xfId="6777" xr:uid="{00000000-0005-0000-0000-0000CC110000}"/>
    <cellStyle name="Normal 3 2 3 8 2 2" xfId="16103" xr:uid="{01A6194A-F882-49F2-B777-6930D9108933}"/>
    <cellStyle name="Normal 3 2 3 8 3" xfId="11886" xr:uid="{446E44B9-5F12-450A-97BF-CB3A60622085}"/>
    <cellStyle name="Normal 3 2 3 9" xfId="4711" xr:uid="{00000000-0005-0000-0000-0000CD110000}"/>
    <cellStyle name="Normal 3 2 3 9 2" xfId="14037" xr:uid="{C488A7DB-ECA5-4F1C-A5BF-E9FFB510BE3D}"/>
    <cellStyle name="Normal 3 2 4" xfId="809" xr:uid="{00000000-0005-0000-0000-0000CE110000}"/>
    <cellStyle name="Normal 3 2 4 2" xfId="3047" xr:uid="{00000000-0005-0000-0000-0000CF110000}"/>
    <cellStyle name="Normal 3 2 4 2 2" xfId="7269" xr:uid="{00000000-0005-0000-0000-0000D0110000}"/>
    <cellStyle name="Normal 3 2 4 2 2 2" xfId="16595" xr:uid="{52402A2C-E128-4D9A-8C44-CFB9B0BD11B6}"/>
    <cellStyle name="Normal 3 2 4 2 3" xfId="12378" xr:uid="{E0BD49CE-5914-4657-AFC3-1D038A2809B0}"/>
    <cellStyle name="Normal 3 2 4 3" xfId="5124" xr:uid="{00000000-0005-0000-0000-0000D1110000}"/>
    <cellStyle name="Normal 3 2 4 3 2" xfId="14450" xr:uid="{B1BD408C-C65E-42FF-ABF2-DB492DD4F938}"/>
    <cellStyle name="Normal 3 2 4 4" xfId="9607" xr:uid="{7D769806-7069-4B8D-8CAC-B3B91BBA8D64}"/>
    <cellStyle name="Normal 3 2 4 4 2" xfId="18908" xr:uid="{B7314771-62B2-4A3A-8E04-863924324FDA}"/>
    <cellStyle name="Normal 3 2 4 5" xfId="10233" xr:uid="{D231879B-3E82-43E4-8C97-DA49271ED2AE}"/>
    <cellStyle name="Normal 3 2 5" xfId="1230" xr:uid="{00000000-0005-0000-0000-0000D2110000}"/>
    <cellStyle name="Normal 3 2 5 2" xfId="3460" xr:uid="{00000000-0005-0000-0000-0000D3110000}"/>
    <cellStyle name="Normal 3 2 5 2 2" xfId="7682" xr:uid="{00000000-0005-0000-0000-0000D4110000}"/>
    <cellStyle name="Normal 3 2 5 2 2 2" xfId="17008" xr:uid="{A1B757B9-C514-4CB4-A1E6-6EB9B1FC1D6E}"/>
    <cellStyle name="Normal 3 2 5 2 3" xfId="12791" xr:uid="{C9D3E594-2570-4B79-8A0C-D8DFBBE8DAB0}"/>
    <cellStyle name="Normal 3 2 5 3" xfId="5537" xr:uid="{00000000-0005-0000-0000-0000D5110000}"/>
    <cellStyle name="Normal 3 2 5 3 2" xfId="14863" xr:uid="{6A5AD30C-3898-4456-BCDF-80221EE67087}"/>
    <cellStyle name="Normal 3 2 5 4" xfId="10646" xr:uid="{06CD36CA-F24F-4F90-874B-1FEC4F13B79D}"/>
    <cellStyle name="Normal 3 2 6" xfId="1643" xr:uid="{00000000-0005-0000-0000-0000D6110000}"/>
    <cellStyle name="Normal 3 2 6 2" xfId="3873" xr:uid="{00000000-0005-0000-0000-0000D7110000}"/>
    <cellStyle name="Normal 3 2 6 2 2" xfId="8095" xr:uid="{00000000-0005-0000-0000-0000D8110000}"/>
    <cellStyle name="Normal 3 2 6 2 2 2" xfId="17421" xr:uid="{ED3726BD-1582-4C9F-97CC-AA411DBAA0F2}"/>
    <cellStyle name="Normal 3 2 6 2 3" xfId="13204" xr:uid="{B6FF98C1-2DC4-4683-BCDC-B93193259406}"/>
    <cellStyle name="Normal 3 2 6 3" xfId="5950" xr:uid="{00000000-0005-0000-0000-0000D9110000}"/>
    <cellStyle name="Normal 3 2 6 3 2" xfId="15276" xr:uid="{C637DD14-3E13-4BDA-BF4B-93F84ABC6DBC}"/>
    <cellStyle name="Normal 3 2 6 4" xfId="11059" xr:uid="{933D1DC2-E1E4-4FDD-AECC-3C7B938B9E51}"/>
    <cellStyle name="Normal 3 2 7" xfId="2057" xr:uid="{00000000-0005-0000-0000-0000DA110000}"/>
    <cellStyle name="Normal 3 2 7 2" xfId="4286" xr:uid="{00000000-0005-0000-0000-0000DB110000}"/>
    <cellStyle name="Normal 3 2 7 2 2" xfId="8508" xr:uid="{00000000-0005-0000-0000-0000DC110000}"/>
    <cellStyle name="Normal 3 2 7 2 2 2" xfId="17834" xr:uid="{00A67C1B-5CF2-441A-A580-352129FDA0F4}"/>
    <cellStyle name="Normal 3 2 7 2 3" xfId="13617" xr:uid="{BD994B97-888E-47CD-901F-C4A6CD10AF9C}"/>
    <cellStyle name="Normal 3 2 7 3" xfId="6363" xr:uid="{00000000-0005-0000-0000-0000DD110000}"/>
    <cellStyle name="Normal 3 2 7 3 2" xfId="15689" xr:uid="{94FCC190-E283-48BC-A17E-2E2AB8DBEB19}"/>
    <cellStyle name="Normal 3 2 7 4" xfId="11472" xr:uid="{7E549446-5BBF-41CE-B63F-1FC0A53A5CC0}"/>
    <cellStyle name="Normal 3 2 8" xfId="2493" xr:uid="{00000000-0005-0000-0000-0000DE110000}"/>
    <cellStyle name="Normal 3 2 8 2" xfId="6776" xr:uid="{00000000-0005-0000-0000-0000DF110000}"/>
    <cellStyle name="Normal 3 2 8 2 2" xfId="16102" xr:uid="{EB01B1EA-7BD6-448B-932F-08C26AA7D3A3}"/>
    <cellStyle name="Normal 3 2 8 3" xfId="11885" xr:uid="{6334F086-58BA-4FD1-97B2-2B4CA50E5161}"/>
    <cellStyle name="Normal 3 2 9" xfId="4710" xr:uid="{00000000-0005-0000-0000-0000E0110000}"/>
    <cellStyle name="Normal 3 2 9 2" xfId="14036" xr:uid="{7DBB283B-8F55-44C5-AD88-B53227028737}"/>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4" xr:uid="{30ED6F42-42E6-42A4-B6C6-345770FC8F7B}"/>
    <cellStyle name="Normal 4 11" xfId="9824" xr:uid="{0994B9AD-706D-4119-A3BB-4E9B97836DC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671EE5DB-A8EF-47FF-AD22-12D1EF1EAC04}"/>
    <cellStyle name="Normal 4 2 2 10 2 3" xfId="13622" xr:uid="{AA055938-BFBA-4C35-94D4-B5BB7EEA90DF}"/>
    <cellStyle name="Normal 4 2 2 10 3" xfId="6368" xr:uid="{00000000-0005-0000-0000-0000ED110000}"/>
    <cellStyle name="Normal 4 2 2 10 3 2" xfId="15694" xr:uid="{5507840A-1AEA-44CD-BDA4-1E0FA6970614}"/>
    <cellStyle name="Normal 4 2 2 10 4" xfId="11477" xr:uid="{4183F6D6-7B32-43F5-831D-74DDA8584A3F}"/>
    <cellStyle name="Normal 4 2 2 11" xfId="2498" xr:uid="{00000000-0005-0000-0000-0000EE110000}"/>
    <cellStyle name="Normal 4 2 2 11 2" xfId="6781" xr:uid="{00000000-0005-0000-0000-0000EF110000}"/>
    <cellStyle name="Normal 4 2 2 11 2 2" xfId="16107" xr:uid="{BC0E4CE2-E977-4AA6-986A-CB1434829218}"/>
    <cellStyle name="Normal 4 2 2 11 3" xfId="11890" xr:uid="{8E4E616C-FA01-463A-B775-1CF916B5F79A}"/>
    <cellStyle name="Normal 4 2 2 12" xfId="4716" xr:uid="{00000000-0005-0000-0000-0000F0110000}"/>
    <cellStyle name="Normal 4 2 2 12 2" xfId="14042" xr:uid="{65EC65B6-926C-4B7C-8C9D-4ABDF359182C}"/>
    <cellStyle name="Normal 4 2 2 13" xfId="8752" xr:uid="{7B61EFAC-4165-4615-9A47-7AF5DAE027C9}"/>
    <cellStyle name="Normal 4 2 2 13 2" xfId="18076" xr:uid="{9CF3482E-44C7-4D81-B3BE-F2971F51C9B7}"/>
    <cellStyle name="Normal 4 2 2 14" xfId="9825" xr:uid="{BD0EADAF-085D-492B-B9A3-C95752020EEB}"/>
    <cellStyle name="Normal 4 2 2 2" xfId="338" xr:uid="{00000000-0005-0000-0000-0000F1110000}"/>
    <cellStyle name="Normal 4 2 2 3" xfId="339" xr:uid="{00000000-0005-0000-0000-0000F2110000}"/>
    <cellStyle name="Normal 4 2 2 3 10" xfId="4717" xr:uid="{00000000-0005-0000-0000-0000F3110000}"/>
    <cellStyle name="Normal 4 2 2 3 10 2" xfId="14043" xr:uid="{3DEEB678-8D72-43FD-8068-DF932BE5AF13}"/>
    <cellStyle name="Normal 4 2 2 3 11" xfId="8784" xr:uid="{8AA3A883-811C-4C4A-AFFF-9AAED56BF228}"/>
    <cellStyle name="Normal 4 2 2 3 11 2" xfId="18108" xr:uid="{5E23133E-CC81-49C1-A51B-4EF96BE91D54}"/>
    <cellStyle name="Normal 4 2 2 3 12" xfId="9826" xr:uid="{A0259640-A8B1-4443-926D-41318086C1EE}"/>
    <cellStyle name="Normal 4 2 2 3 2" xfId="340" xr:uid="{00000000-0005-0000-0000-0000F4110000}"/>
    <cellStyle name="Normal 4 2 2 3 2 10" xfId="8819" xr:uid="{16629302-3759-4242-B07E-BB5D034B10E8}"/>
    <cellStyle name="Normal 4 2 2 3 2 10 2" xfId="18143" xr:uid="{78DEB1D8-69B6-41C9-906D-B2D0FC18D698}"/>
    <cellStyle name="Normal 4 2 2 3 2 11" xfId="9827" xr:uid="{E4DAEA94-AD32-4BC9-9C2A-7B47ADA89353}"/>
    <cellStyle name="Normal 4 2 2 3 2 2" xfId="341" xr:uid="{00000000-0005-0000-0000-0000F5110000}"/>
    <cellStyle name="Normal 4 2 2 3 2 2 10" xfId="9828" xr:uid="{43CB2725-0E10-45F4-B72C-BD7C1F32F014}"/>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6C630BA9-222A-4713-BA30-E145F9D267C8}"/>
    <cellStyle name="Normal 4 2 2 3 2 2 2 2 2 3" xfId="12387" xr:uid="{3BDA6533-D1E1-4947-93B2-2A2458C18C1F}"/>
    <cellStyle name="Normal 4 2 2 3 2 2 2 2 3" xfId="5133" xr:uid="{00000000-0005-0000-0000-0000FA110000}"/>
    <cellStyle name="Normal 4 2 2 3 2 2 2 2 3 2" xfId="14459" xr:uid="{073903BC-4823-42D1-B6E3-B602CB332CFB}"/>
    <cellStyle name="Normal 4 2 2 3 2 2 2 2 4" xfId="9554" xr:uid="{BAC669EC-8948-4716-90C3-0688F03300CE}"/>
    <cellStyle name="Normal 4 2 2 3 2 2 2 2 4 2" xfId="18869" xr:uid="{57D3E803-3388-4288-BAE8-40D9FEA39AD0}"/>
    <cellStyle name="Normal 4 2 2 3 2 2 2 2 5" xfId="10242" xr:uid="{3B67607D-8AB5-448F-8A2F-A065E69EC7F3}"/>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B00EB766-37D5-4D94-93F7-A8E10B2DE249}"/>
    <cellStyle name="Normal 4 2 2 3 2 2 2 3 2 3" xfId="12800" xr:uid="{1967C41D-1AA0-4BC3-9EEC-2C3FE9B7B5C7}"/>
    <cellStyle name="Normal 4 2 2 3 2 2 2 3 3" xfId="5546" xr:uid="{00000000-0005-0000-0000-0000FE110000}"/>
    <cellStyle name="Normal 4 2 2 3 2 2 2 3 3 2" xfId="14872" xr:uid="{4A2C7805-8853-4183-884B-BA00637E327B}"/>
    <cellStyle name="Normal 4 2 2 3 2 2 2 3 4" xfId="10655" xr:uid="{9D32B469-CD70-47C0-9C6D-8D9802EF163D}"/>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9E28B5F2-5267-4A29-A1A4-A1ED6A9FEEFC}"/>
    <cellStyle name="Normal 4 2 2 3 2 2 2 4 2 3" xfId="13213" xr:uid="{D57F72DE-557E-48EC-8C4A-946D15644855}"/>
    <cellStyle name="Normal 4 2 2 3 2 2 2 4 3" xfId="5959" xr:uid="{00000000-0005-0000-0000-000002120000}"/>
    <cellStyle name="Normal 4 2 2 3 2 2 2 4 3 2" xfId="15285" xr:uid="{F7F662BE-FC21-41C0-A197-DC66A48998EC}"/>
    <cellStyle name="Normal 4 2 2 3 2 2 2 4 4" xfId="11068" xr:uid="{CE0A9880-2034-485F-9ECF-50A30ACA3567}"/>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695D0B9B-5018-46EE-B730-C721F88A2A81}"/>
    <cellStyle name="Normal 4 2 2 3 2 2 2 5 2 3" xfId="13626" xr:uid="{5F5EB25B-98D1-4BD0-94FA-1BEDB661D94A}"/>
    <cellStyle name="Normal 4 2 2 3 2 2 2 5 3" xfId="6372" xr:uid="{00000000-0005-0000-0000-000006120000}"/>
    <cellStyle name="Normal 4 2 2 3 2 2 2 5 3 2" xfId="15698" xr:uid="{589E618B-1143-4AFB-999A-9D39B57A156D}"/>
    <cellStyle name="Normal 4 2 2 3 2 2 2 5 4" xfId="11481" xr:uid="{18493629-B653-4816-A571-561D1FD1D8CD}"/>
    <cellStyle name="Normal 4 2 2 3 2 2 2 6" xfId="2502" xr:uid="{00000000-0005-0000-0000-000007120000}"/>
    <cellStyle name="Normal 4 2 2 3 2 2 2 6 2" xfId="6785" xr:uid="{00000000-0005-0000-0000-000008120000}"/>
    <cellStyle name="Normal 4 2 2 3 2 2 2 6 2 2" xfId="16111" xr:uid="{98AC68D5-26A7-4860-9E0D-DA48631BB7B3}"/>
    <cellStyle name="Normal 4 2 2 3 2 2 2 6 3" xfId="11894" xr:uid="{27BF0B2F-8FFB-45F9-8D45-66E65597B7E4}"/>
    <cellStyle name="Normal 4 2 2 3 2 2 2 7" xfId="4720" xr:uid="{00000000-0005-0000-0000-000009120000}"/>
    <cellStyle name="Normal 4 2 2 3 2 2 2 7 2" xfId="14046" xr:uid="{152E9164-86EB-453F-B609-E8609DE527EF}"/>
    <cellStyle name="Normal 4 2 2 3 2 2 2 8" xfId="9129" xr:uid="{970F8072-C8D6-4D17-95D6-EBF431EAD262}"/>
    <cellStyle name="Normal 4 2 2 3 2 2 2 8 2" xfId="18453" xr:uid="{6F5AC3DC-4ED9-4296-B90B-DEF9CFE91A3B}"/>
    <cellStyle name="Normal 4 2 2 3 2 2 2 9" xfId="9829" xr:uid="{79C6BFC9-B5AB-40E3-BBFC-DBE2396CFCCC}"/>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E93D66A0-57A2-498F-A982-88F620A36C51}"/>
    <cellStyle name="Normal 4 2 2 3 2 2 3 2 3" xfId="12386" xr:uid="{668C5A75-81ED-4A1B-A7BA-070F708D7BFB}"/>
    <cellStyle name="Normal 4 2 2 3 2 2 3 3" xfId="5132" xr:uid="{00000000-0005-0000-0000-00000D120000}"/>
    <cellStyle name="Normal 4 2 2 3 2 2 3 3 2" xfId="14458" xr:uid="{A075C827-C309-4F00-B151-E69394602DC2}"/>
    <cellStyle name="Normal 4 2 2 3 2 2 3 4" xfId="9347" xr:uid="{8C9012CB-19BB-4242-9F43-373358B13B52}"/>
    <cellStyle name="Normal 4 2 2 3 2 2 3 4 2" xfId="18662" xr:uid="{C4B8348B-DE69-4C2C-AF0E-ADA113680EBA}"/>
    <cellStyle name="Normal 4 2 2 3 2 2 3 5" xfId="10241" xr:uid="{5DFA42EC-A90F-4201-832D-0CB50B74630E}"/>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E096DA4E-81FC-4A62-BAB6-E46449A73131}"/>
    <cellStyle name="Normal 4 2 2 3 2 2 4 2 3" xfId="12799" xr:uid="{F2753786-C332-422F-98B4-BAB96ED07A3B}"/>
    <cellStyle name="Normal 4 2 2 3 2 2 4 3" xfId="5545" xr:uid="{00000000-0005-0000-0000-000011120000}"/>
    <cellStyle name="Normal 4 2 2 3 2 2 4 3 2" xfId="14871" xr:uid="{ACFCE9F9-0B22-443A-9109-5392E2C65F46}"/>
    <cellStyle name="Normal 4 2 2 3 2 2 4 4" xfId="10654" xr:uid="{5B80C23B-4CE4-4DF5-8C0F-FCC87A82C817}"/>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458E2FAB-77D9-44BC-97C7-5455797DA259}"/>
    <cellStyle name="Normal 4 2 2 3 2 2 5 2 3" xfId="13212" xr:uid="{DC6157BD-6EC6-4260-B161-6F539A5C4472}"/>
    <cellStyle name="Normal 4 2 2 3 2 2 5 3" xfId="5958" xr:uid="{00000000-0005-0000-0000-000015120000}"/>
    <cellStyle name="Normal 4 2 2 3 2 2 5 3 2" xfId="15284" xr:uid="{A3322D31-4011-4399-98FC-9A705302C8FC}"/>
    <cellStyle name="Normal 4 2 2 3 2 2 5 4" xfId="11067" xr:uid="{F7B690A3-71DA-493E-8093-E5B9DF8C1A69}"/>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8CF5B456-DDA4-4ABA-88DA-DDAF0D41E970}"/>
    <cellStyle name="Normal 4 2 2 3 2 2 6 2 3" xfId="13625" xr:uid="{E0312E3F-25EC-4FF9-9B17-B98D3C11091C}"/>
    <cellStyle name="Normal 4 2 2 3 2 2 6 3" xfId="6371" xr:uid="{00000000-0005-0000-0000-000019120000}"/>
    <cellStyle name="Normal 4 2 2 3 2 2 6 3 2" xfId="15697" xr:uid="{35E7A436-E249-43C0-A46A-78A3D562A605}"/>
    <cellStyle name="Normal 4 2 2 3 2 2 6 4" xfId="11480" xr:uid="{AEA48E8C-11F4-476C-9964-786767A14DA9}"/>
    <cellStyle name="Normal 4 2 2 3 2 2 7" xfId="2501" xr:uid="{00000000-0005-0000-0000-00001A120000}"/>
    <cellStyle name="Normal 4 2 2 3 2 2 7 2" xfId="6784" xr:uid="{00000000-0005-0000-0000-00001B120000}"/>
    <cellStyle name="Normal 4 2 2 3 2 2 7 2 2" xfId="16110" xr:uid="{0D15F9E0-F5B8-4711-905E-CDB5CC7F2DE3}"/>
    <cellStyle name="Normal 4 2 2 3 2 2 7 3" xfId="11893" xr:uid="{F331916F-0571-49A5-88D9-0A479A781720}"/>
    <cellStyle name="Normal 4 2 2 3 2 2 8" xfId="4719" xr:uid="{00000000-0005-0000-0000-00001C120000}"/>
    <cellStyle name="Normal 4 2 2 3 2 2 8 2" xfId="14045" xr:uid="{E9B5FD03-115D-41EE-BDEE-E19503CBB51A}"/>
    <cellStyle name="Normal 4 2 2 3 2 2 9" xfId="8922" xr:uid="{32C9E21B-8C85-4874-B28C-82BF39BA84E2}"/>
    <cellStyle name="Normal 4 2 2 3 2 2 9 2" xfId="18246" xr:uid="{1FF34685-1D64-40E8-B3AE-94549A055D0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527DA903-27A0-4390-841C-A50E3F54EB94}"/>
    <cellStyle name="Normal 4 2 2 3 2 3 2 2 3" xfId="12388" xr:uid="{09CFE6CA-64A1-4E6B-9EA0-F0391FB5CF90}"/>
    <cellStyle name="Normal 4 2 2 3 2 3 2 3" xfId="5134" xr:uid="{00000000-0005-0000-0000-000021120000}"/>
    <cellStyle name="Normal 4 2 2 3 2 3 2 3 2" xfId="14460" xr:uid="{DABDDA26-A2E3-4D02-9F94-38876DFBCA81}"/>
    <cellStyle name="Normal 4 2 2 3 2 3 2 4" xfId="9451" xr:uid="{85AA9164-95F1-48F2-907A-54AD445D074F}"/>
    <cellStyle name="Normal 4 2 2 3 2 3 2 4 2" xfId="18766" xr:uid="{C712C95F-CF91-4FDD-A91E-5976E16282A1}"/>
    <cellStyle name="Normal 4 2 2 3 2 3 2 5" xfId="10243" xr:uid="{E3071483-A2CB-4969-8E17-DF8EA3C7D7E8}"/>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C3F5A2B2-4424-40F0-87B8-FE6DC1924DCB}"/>
    <cellStyle name="Normal 4 2 2 3 2 3 3 2 3" xfId="12801" xr:uid="{992F4893-7352-497F-BA3D-21EC3A2B6354}"/>
    <cellStyle name="Normal 4 2 2 3 2 3 3 3" xfId="5547" xr:uid="{00000000-0005-0000-0000-000025120000}"/>
    <cellStyle name="Normal 4 2 2 3 2 3 3 3 2" xfId="14873" xr:uid="{00C93543-B15D-41DC-8333-A383501AEE42}"/>
    <cellStyle name="Normal 4 2 2 3 2 3 3 4" xfId="10656" xr:uid="{F3FC9EDE-5A3B-4BAA-8E6F-16E6597652D8}"/>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FED28EAB-48DB-4ABC-A113-35E0F9359AEA}"/>
    <cellStyle name="Normal 4 2 2 3 2 3 4 2 3" xfId="13214" xr:uid="{42EAB9FF-356D-44D5-8035-2973CBCF5622}"/>
    <cellStyle name="Normal 4 2 2 3 2 3 4 3" xfId="5960" xr:uid="{00000000-0005-0000-0000-000029120000}"/>
    <cellStyle name="Normal 4 2 2 3 2 3 4 3 2" xfId="15286" xr:uid="{4DC9C8EF-C5D5-42E7-97ED-8D2B974801D0}"/>
    <cellStyle name="Normal 4 2 2 3 2 3 4 4" xfId="11069" xr:uid="{A896B18B-1D30-4303-8C6F-CDE66AFDB093}"/>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AF3F2C9B-6649-4137-A6CB-51573F351F8C}"/>
    <cellStyle name="Normal 4 2 2 3 2 3 5 2 3" xfId="13627" xr:uid="{99FD9DA8-390B-41EF-B321-CB3D3927159C}"/>
    <cellStyle name="Normal 4 2 2 3 2 3 5 3" xfId="6373" xr:uid="{00000000-0005-0000-0000-00002D120000}"/>
    <cellStyle name="Normal 4 2 2 3 2 3 5 3 2" xfId="15699" xr:uid="{2E156EBC-6313-46DB-A48B-99115DF043EE}"/>
    <cellStyle name="Normal 4 2 2 3 2 3 5 4" xfId="11482" xr:uid="{1653D1D8-C373-4FFB-8CB6-DE5A1B8D8EF9}"/>
    <cellStyle name="Normal 4 2 2 3 2 3 6" xfId="2503" xr:uid="{00000000-0005-0000-0000-00002E120000}"/>
    <cellStyle name="Normal 4 2 2 3 2 3 6 2" xfId="6786" xr:uid="{00000000-0005-0000-0000-00002F120000}"/>
    <cellStyle name="Normal 4 2 2 3 2 3 6 2 2" xfId="16112" xr:uid="{49E0DFB5-4C2F-4615-8572-ACEEAE93F99B}"/>
    <cellStyle name="Normal 4 2 2 3 2 3 6 3" xfId="11895" xr:uid="{8F6D56F7-8C8D-464E-9AC6-EE46639424C7}"/>
    <cellStyle name="Normal 4 2 2 3 2 3 7" xfId="4721" xr:uid="{00000000-0005-0000-0000-000030120000}"/>
    <cellStyle name="Normal 4 2 2 3 2 3 7 2" xfId="14047" xr:uid="{8A6F5C2E-4483-4E46-856D-AF1D7C15BB92}"/>
    <cellStyle name="Normal 4 2 2 3 2 3 8" xfId="9026" xr:uid="{319D63D3-F71C-4F99-9FD1-E3D0665567E8}"/>
    <cellStyle name="Normal 4 2 2 3 2 3 8 2" xfId="18350" xr:uid="{B114CD9A-2C88-4241-878D-BDF6E43F9D2F}"/>
    <cellStyle name="Normal 4 2 2 3 2 3 9" xfId="9830" xr:uid="{A2A991B2-CC65-4C7F-8085-1C20773E1C14}"/>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AE1C5302-78CE-4308-9548-C8CF8DD3C4C4}"/>
    <cellStyle name="Normal 4 2 2 3 2 4 2 3" xfId="12385" xr:uid="{BE3159C2-25F3-4C41-97D1-7DAAC4216264}"/>
    <cellStyle name="Normal 4 2 2 3 2 4 3" xfId="5131" xr:uid="{00000000-0005-0000-0000-000034120000}"/>
    <cellStyle name="Normal 4 2 2 3 2 4 3 2" xfId="14457" xr:uid="{8377E2FF-1420-4E5D-80FF-9D3A0F65BA8C}"/>
    <cellStyle name="Normal 4 2 2 3 2 4 4" xfId="9244" xr:uid="{98623F27-324A-40DE-AA2B-56E1FCE087EE}"/>
    <cellStyle name="Normal 4 2 2 3 2 4 4 2" xfId="18559" xr:uid="{DD1C920F-024C-4E0F-92A0-24F15F98B646}"/>
    <cellStyle name="Normal 4 2 2 3 2 4 5" xfId="10240" xr:uid="{719DB35C-662D-419C-AA0A-B5F945D89EA2}"/>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DFCF8F54-6682-4C7D-AA37-412064FE9059}"/>
    <cellStyle name="Normal 4 2 2 3 2 5 2 3" xfId="12798" xr:uid="{726DD73E-08A2-4EDE-A098-0AE65962A1F4}"/>
    <cellStyle name="Normal 4 2 2 3 2 5 3" xfId="5544" xr:uid="{00000000-0005-0000-0000-000038120000}"/>
    <cellStyle name="Normal 4 2 2 3 2 5 3 2" xfId="14870" xr:uid="{62E79739-14BD-423B-8D14-91C8507F793D}"/>
    <cellStyle name="Normal 4 2 2 3 2 5 4" xfId="10653" xr:uid="{B212BFDC-86AF-4016-9423-4BA53D7AB7EE}"/>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B3FD02D6-B005-4AB0-9E8D-2F0D1C6704EE}"/>
    <cellStyle name="Normal 4 2 2 3 2 6 2 3" xfId="13211" xr:uid="{F3F4F75A-E574-404D-AC74-AFB587901386}"/>
    <cellStyle name="Normal 4 2 2 3 2 6 3" xfId="5957" xr:uid="{00000000-0005-0000-0000-00003C120000}"/>
    <cellStyle name="Normal 4 2 2 3 2 6 3 2" xfId="15283" xr:uid="{BC5662C5-A00D-465F-9314-3073428EBC0F}"/>
    <cellStyle name="Normal 4 2 2 3 2 6 4" xfId="11066" xr:uid="{6BDE87F0-528F-496D-B992-550B542E4483}"/>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494C8643-475E-4199-8453-C799EBDBAB55}"/>
    <cellStyle name="Normal 4 2 2 3 2 7 2 3" xfId="13624" xr:uid="{3EC1FDDC-8DD1-46DD-827D-5A667DB96EA7}"/>
    <cellStyle name="Normal 4 2 2 3 2 7 3" xfId="6370" xr:uid="{00000000-0005-0000-0000-000040120000}"/>
    <cellStyle name="Normal 4 2 2 3 2 7 3 2" xfId="15696" xr:uid="{A9330700-015F-4A48-A089-CB0007C5D775}"/>
    <cellStyle name="Normal 4 2 2 3 2 7 4" xfId="11479" xr:uid="{5A37469F-5332-448B-BEEF-12942B319F3F}"/>
    <cellStyle name="Normal 4 2 2 3 2 8" xfId="2500" xr:uid="{00000000-0005-0000-0000-000041120000}"/>
    <cellStyle name="Normal 4 2 2 3 2 8 2" xfId="6783" xr:uid="{00000000-0005-0000-0000-000042120000}"/>
    <cellStyle name="Normal 4 2 2 3 2 8 2 2" xfId="16109" xr:uid="{2FB02828-F492-47CE-B7C5-7335C703E25F}"/>
    <cellStyle name="Normal 4 2 2 3 2 8 3" xfId="11892" xr:uid="{7E9A74A2-2BE4-4A76-866E-9C2FF7C1527C}"/>
    <cellStyle name="Normal 4 2 2 3 2 9" xfId="4718" xr:uid="{00000000-0005-0000-0000-000043120000}"/>
    <cellStyle name="Normal 4 2 2 3 2 9 2" xfId="14044" xr:uid="{23AD3397-DEC2-4849-8F88-BFAADF08DC08}"/>
    <cellStyle name="Normal 4 2 2 3 3" xfId="344" xr:uid="{00000000-0005-0000-0000-000044120000}"/>
    <cellStyle name="Normal 4 2 2 3 3 10" xfId="9831" xr:uid="{99FE51EF-7426-404C-BD26-9C8BA88B5F2D}"/>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E159CDA4-AD0B-4565-A1E6-07CD5FCEBD36}"/>
    <cellStyle name="Normal 4 2 2 3 3 2 2 2 3" xfId="12390" xr:uid="{7D52E391-955F-4DE0-A8BC-1A0BA4199A6B}"/>
    <cellStyle name="Normal 4 2 2 3 3 2 2 3" xfId="5136" xr:uid="{00000000-0005-0000-0000-000049120000}"/>
    <cellStyle name="Normal 4 2 2 3 3 2 2 3 2" xfId="14462" xr:uid="{9F790D31-61ED-40DF-ADC4-AA92ED10365A}"/>
    <cellStyle name="Normal 4 2 2 3 3 2 2 4" xfId="9519" xr:uid="{FB4BBD6E-D73B-4ABD-8656-6C15D7932E02}"/>
    <cellStyle name="Normal 4 2 2 3 3 2 2 4 2" xfId="18834" xr:uid="{CD178B19-874E-4EAF-A3CE-0349FDF2EC24}"/>
    <cellStyle name="Normal 4 2 2 3 3 2 2 5" xfId="10245" xr:uid="{2C76AFD2-894F-496C-A9DE-70CE7EFE8699}"/>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64CB789D-1B4D-43E9-B11B-E03181F8C7E2}"/>
    <cellStyle name="Normal 4 2 2 3 3 2 3 2 3" xfId="12803" xr:uid="{D7E68111-FE93-4220-A407-D8E3276E68A1}"/>
    <cellStyle name="Normal 4 2 2 3 3 2 3 3" xfId="5549" xr:uid="{00000000-0005-0000-0000-00004D120000}"/>
    <cellStyle name="Normal 4 2 2 3 3 2 3 3 2" xfId="14875" xr:uid="{32226D96-1367-4BB3-BD06-FFD143D39DFC}"/>
    <cellStyle name="Normal 4 2 2 3 3 2 3 4" xfId="10658" xr:uid="{A19C1A77-C3BF-4161-A978-F312D3BA738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CFB70288-5890-4086-BA4B-C1052A465937}"/>
    <cellStyle name="Normal 4 2 2 3 3 2 4 2 3" xfId="13216" xr:uid="{74F7E75A-547E-4D9C-BA64-BB51186ABC8A}"/>
    <cellStyle name="Normal 4 2 2 3 3 2 4 3" xfId="5962" xr:uid="{00000000-0005-0000-0000-000051120000}"/>
    <cellStyle name="Normal 4 2 2 3 3 2 4 3 2" xfId="15288" xr:uid="{DCBCB856-AD85-4E26-B248-1262E1563B73}"/>
    <cellStyle name="Normal 4 2 2 3 3 2 4 4" xfId="11071" xr:uid="{4D6F0590-B749-4853-8FD4-2EBF130FAE99}"/>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B258D48B-4FBD-425E-ABD5-61BE8E36EFD3}"/>
    <cellStyle name="Normal 4 2 2 3 3 2 5 2 3" xfId="13629" xr:uid="{B0108D37-66B1-46A8-BE29-CDC9E833BF55}"/>
    <cellStyle name="Normal 4 2 2 3 3 2 5 3" xfId="6375" xr:uid="{00000000-0005-0000-0000-000055120000}"/>
    <cellStyle name="Normal 4 2 2 3 3 2 5 3 2" xfId="15701" xr:uid="{3026BA00-EE78-434A-8FE8-7DC7C0654E34}"/>
    <cellStyle name="Normal 4 2 2 3 3 2 5 4" xfId="11484" xr:uid="{45C8490E-E710-48B2-B0E1-33D33E184069}"/>
    <cellStyle name="Normal 4 2 2 3 3 2 6" xfId="2505" xr:uid="{00000000-0005-0000-0000-000056120000}"/>
    <cellStyle name="Normal 4 2 2 3 3 2 6 2" xfId="6788" xr:uid="{00000000-0005-0000-0000-000057120000}"/>
    <cellStyle name="Normal 4 2 2 3 3 2 6 2 2" xfId="16114" xr:uid="{D566BB55-EA41-4D4C-AF8D-D8A9CC1E0DB6}"/>
    <cellStyle name="Normal 4 2 2 3 3 2 6 3" xfId="11897" xr:uid="{4ED81508-EF47-4936-AFDA-DD71933A42DA}"/>
    <cellStyle name="Normal 4 2 2 3 3 2 7" xfId="4723" xr:uid="{00000000-0005-0000-0000-000058120000}"/>
    <cellStyle name="Normal 4 2 2 3 3 2 7 2" xfId="14049" xr:uid="{5EF101B3-9A65-4D3F-902B-3A8153E5DD94}"/>
    <cellStyle name="Normal 4 2 2 3 3 2 8" xfId="9094" xr:uid="{1333D468-E252-4686-88C1-38A56B910A8E}"/>
    <cellStyle name="Normal 4 2 2 3 3 2 8 2" xfId="18418" xr:uid="{8EFA43C7-8858-4BDF-A593-E9E192CFFE53}"/>
    <cellStyle name="Normal 4 2 2 3 3 2 9" xfId="9832" xr:uid="{52E42A73-FDF5-4085-B749-0582FC154B57}"/>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579167E5-E6D2-4818-B097-70A925FA1DB3}"/>
    <cellStyle name="Normal 4 2 2 3 3 3 2 3" xfId="12389" xr:uid="{311D3100-4794-42FD-B450-4D7C8F47143D}"/>
    <cellStyle name="Normal 4 2 2 3 3 3 3" xfId="5135" xr:uid="{00000000-0005-0000-0000-00005C120000}"/>
    <cellStyle name="Normal 4 2 2 3 3 3 3 2" xfId="14461" xr:uid="{DBCD09A5-3773-4B55-9553-8CE8C737026B}"/>
    <cellStyle name="Normal 4 2 2 3 3 3 4" xfId="9312" xr:uid="{0065946C-778C-4913-8F8B-68BBB1A30769}"/>
    <cellStyle name="Normal 4 2 2 3 3 3 4 2" xfId="18627" xr:uid="{CBC801B4-83AB-4881-8568-649D2CA35A62}"/>
    <cellStyle name="Normal 4 2 2 3 3 3 5" xfId="10244" xr:uid="{4D1052F4-C340-40CD-9B9D-B4425FE643E1}"/>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1C1A9B6D-3BD8-44C2-BF37-06B7ACAFA546}"/>
    <cellStyle name="Normal 4 2 2 3 3 4 2 3" xfId="12802" xr:uid="{19B0F361-FEC3-4916-B998-F3B713085AF2}"/>
    <cellStyle name="Normal 4 2 2 3 3 4 3" xfId="5548" xr:uid="{00000000-0005-0000-0000-000060120000}"/>
    <cellStyle name="Normal 4 2 2 3 3 4 3 2" xfId="14874" xr:uid="{1059CD69-EF76-49C4-AF39-77BD8FBBD9D5}"/>
    <cellStyle name="Normal 4 2 2 3 3 4 4" xfId="10657" xr:uid="{25382CAA-FFA7-4131-A45C-48DBF82654D2}"/>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BD5E3432-25E1-49F8-B5EA-9FD90107D960}"/>
    <cellStyle name="Normal 4 2 2 3 3 5 2 3" xfId="13215" xr:uid="{EBCAF610-602E-405A-A4FC-13869B10EDD9}"/>
    <cellStyle name="Normal 4 2 2 3 3 5 3" xfId="5961" xr:uid="{00000000-0005-0000-0000-000064120000}"/>
    <cellStyle name="Normal 4 2 2 3 3 5 3 2" xfId="15287" xr:uid="{AC6B6C23-8ED7-4047-8EAB-E94144ACD377}"/>
    <cellStyle name="Normal 4 2 2 3 3 5 4" xfId="11070" xr:uid="{0E8F2EA1-99F0-4D25-9D19-6CE2432D84BB}"/>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C3BEAFC3-0757-42C7-B6C6-E5C8B7C473BB}"/>
    <cellStyle name="Normal 4 2 2 3 3 6 2 3" xfId="13628" xr:uid="{11C267D6-9AE0-4363-B76E-D88F83DFF07C}"/>
    <cellStyle name="Normal 4 2 2 3 3 6 3" xfId="6374" xr:uid="{00000000-0005-0000-0000-000068120000}"/>
    <cellStyle name="Normal 4 2 2 3 3 6 3 2" xfId="15700" xr:uid="{8243FE9D-BFB2-4A25-9D63-B9C4D78B84FA}"/>
    <cellStyle name="Normal 4 2 2 3 3 6 4" xfId="11483" xr:uid="{DCF1C3A3-F561-4ED4-A82C-DEEFA46F5B03}"/>
    <cellStyle name="Normal 4 2 2 3 3 7" xfId="2504" xr:uid="{00000000-0005-0000-0000-000069120000}"/>
    <cellStyle name="Normal 4 2 2 3 3 7 2" xfId="6787" xr:uid="{00000000-0005-0000-0000-00006A120000}"/>
    <cellStyle name="Normal 4 2 2 3 3 7 2 2" xfId="16113" xr:uid="{C22E94F4-B5D3-4645-83F8-3ED9AFDD8065}"/>
    <cellStyle name="Normal 4 2 2 3 3 7 3" xfId="11896" xr:uid="{18A7C169-52A2-4431-9968-B4AD429E94BC}"/>
    <cellStyle name="Normal 4 2 2 3 3 8" xfId="4722" xr:uid="{00000000-0005-0000-0000-00006B120000}"/>
    <cellStyle name="Normal 4 2 2 3 3 8 2" xfId="14048" xr:uid="{80747CBA-3883-41CA-8AA6-925A33619541}"/>
    <cellStyle name="Normal 4 2 2 3 3 9" xfId="8887" xr:uid="{FD79599D-FD4F-44F4-A7A6-B948A2C15DD2}"/>
    <cellStyle name="Normal 4 2 2 3 3 9 2" xfId="18211" xr:uid="{CAF2C215-B9BB-4D33-8D35-A6B49532F77E}"/>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63C91BC4-D1B4-452C-BEDB-2B59AF0A61C3}"/>
    <cellStyle name="Normal 4 2 2 3 4 2 2 3" xfId="12391" xr:uid="{98869A56-70FC-4027-AD64-FD2587A68A77}"/>
    <cellStyle name="Normal 4 2 2 3 4 2 3" xfId="5137" xr:uid="{00000000-0005-0000-0000-000070120000}"/>
    <cellStyle name="Normal 4 2 2 3 4 2 3 2" xfId="14463" xr:uid="{9C5BA30B-8098-4091-BF99-D9D1A1D1D993}"/>
    <cellStyle name="Normal 4 2 2 3 4 2 4" xfId="9416" xr:uid="{B0F1A5CD-0EDE-48A7-9669-6902681F696C}"/>
    <cellStyle name="Normal 4 2 2 3 4 2 4 2" xfId="18731" xr:uid="{D19917B6-1880-44DC-A7F9-94C6F79C7E75}"/>
    <cellStyle name="Normal 4 2 2 3 4 2 5" xfId="10246" xr:uid="{106FCDCC-20FA-4828-AA2D-03FC8F2F99E8}"/>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318D8C11-9FB9-4D23-9199-BA510432097C}"/>
    <cellStyle name="Normal 4 2 2 3 4 3 2 3" xfId="12804" xr:uid="{231740F1-A921-4193-8570-9E757C36B741}"/>
    <cellStyle name="Normal 4 2 2 3 4 3 3" xfId="5550" xr:uid="{00000000-0005-0000-0000-000074120000}"/>
    <cellStyle name="Normal 4 2 2 3 4 3 3 2" xfId="14876" xr:uid="{0E9DE234-DA8F-46FF-8729-777C3DD62C66}"/>
    <cellStyle name="Normal 4 2 2 3 4 3 4" xfId="10659" xr:uid="{B32F44C8-DAFF-4F1A-ABA4-BBF914D7A9D5}"/>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08F8EB0B-A77B-4417-94EC-2C3F68AC52C9}"/>
    <cellStyle name="Normal 4 2 2 3 4 4 2 3" xfId="13217" xr:uid="{DDB29283-B892-4C65-9788-C89DA6FA24E9}"/>
    <cellStyle name="Normal 4 2 2 3 4 4 3" xfId="5963" xr:uid="{00000000-0005-0000-0000-000078120000}"/>
    <cellStyle name="Normal 4 2 2 3 4 4 3 2" xfId="15289" xr:uid="{AAFD84A2-F0C8-419B-97DD-370A47048390}"/>
    <cellStyle name="Normal 4 2 2 3 4 4 4" xfId="11072" xr:uid="{ABBDACA0-DA4A-405D-B43D-989AD445B28D}"/>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05BC9177-8BEA-4ACA-B9C4-F1E14288DF1C}"/>
    <cellStyle name="Normal 4 2 2 3 4 5 2 3" xfId="13630" xr:uid="{E3ED05C5-4774-481E-8924-FCED1405A44F}"/>
    <cellStyle name="Normal 4 2 2 3 4 5 3" xfId="6376" xr:uid="{00000000-0005-0000-0000-00007C120000}"/>
    <cellStyle name="Normal 4 2 2 3 4 5 3 2" xfId="15702" xr:uid="{8C3901A7-CC21-4B37-826B-4ADDE815E2BA}"/>
    <cellStyle name="Normal 4 2 2 3 4 5 4" xfId="11485" xr:uid="{7AA70067-59C4-4AE4-A7EF-DFD777159012}"/>
    <cellStyle name="Normal 4 2 2 3 4 6" xfId="2506" xr:uid="{00000000-0005-0000-0000-00007D120000}"/>
    <cellStyle name="Normal 4 2 2 3 4 6 2" xfId="6789" xr:uid="{00000000-0005-0000-0000-00007E120000}"/>
    <cellStyle name="Normal 4 2 2 3 4 6 2 2" xfId="16115" xr:uid="{A1D3F154-28E0-4BAB-80B8-472021B3A290}"/>
    <cellStyle name="Normal 4 2 2 3 4 6 3" xfId="11898" xr:uid="{456973BD-1B64-4231-A0EA-4120DA17635F}"/>
    <cellStyle name="Normal 4 2 2 3 4 7" xfId="4724" xr:uid="{00000000-0005-0000-0000-00007F120000}"/>
    <cellStyle name="Normal 4 2 2 3 4 7 2" xfId="14050" xr:uid="{CC6E7A03-2645-4A5F-8122-5F11335A5AFC}"/>
    <cellStyle name="Normal 4 2 2 3 4 8" xfId="8991" xr:uid="{84464EC3-90C2-4B18-8399-135C935528F7}"/>
    <cellStyle name="Normal 4 2 2 3 4 8 2" xfId="18315" xr:uid="{3DF4870D-5141-4259-8BCE-B4D06CF16DA4}"/>
    <cellStyle name="Normal 4 2 2 3 4 9" xfId="9833" xr:uid="{10BACCA7-561C-490C-8FAA-8CB23A24CC41}"/>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85A9AEC4-00A2-4A95-83CE-5C5ED877ACC2}"/>
    <cellStyle name="Normal 4 2 2 3 5 2 3" xfId="12384" xr:uid="{CE95EB27-DEC5-4ABE-AD8A-EB4195066D5A}"/>
    <cellStyle name="Normal 4 2 2 3 5 3" xfId="5130" xr:uid="{00000000-0005-0000-0000-000083120000}"/>
    <cellStyle name="Normal 4 2 2 3 5 3 2" xfId="14456" xr:uid="{3698BC3F-0B3C-4DC7-8517-6E4C2B1EE02F}"/>
    <cellStyle name="Normal 4 2 2 3 5 4" xfId="9208" xr:uid="{7BF9CD11-B90D-42F2-928D-A8BE344C6F46}"/>
    <cellStyle name="Normal 4 2 2 3 5 4 2" xfId="18524" xr:uid="{B11ACDE4-A453-428A-B0B2-9DD4CD9EA658}"/>
    <cellStyle name="Normal 4 2 2 3 5 5" xfId="10239" xr:uid="{4F42F8A4-DA36-4191-96C4-C28C9FA2F659}"/>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44DE6D9B-E6DE-4D54-ABFA-ADB9873F3F71}"/>
    <cellStyle name="Normal 4 2 2 3 6 2 3" xfId="12797" xr:uid="{860E221D-4D61-4F3A-AF04-2771774156B2}"/>
    <cellStyle name="Normal 4 2 2 3 6 3" xfId="5543" xr:uid="{00000000-0005-0000-0000-000087120000}"/>
    <cellStyle name="Normal 4 2 2 3 6 3 2" xfId="14869" xr:uid="{ADB90BDD-76DA-470A-9FC3-664721448F4D}"/>
    <cellStyle name="Normal 4 2 2 3 6 4" xfId="10652" xr:uid="{31E5A30B-9323-4B22-9BB6-84DE8B290BC6}"/>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114D981A-669C-4967-A831-2158A3FA5F80}"/>
    <cellStyle name="Normal 4 2 2 3 7 2 3" xfId="13210" xr:uid="{D1181E8E-92A8-44B9-AA0B-A9777305E485}"/>
    <cellStyle name="Normal 4 2 2 3 7 3" xfId="5956" xr:uid="{00000000-0005-0000-0000-00008B120000}"/>
    <cellStyle name="Normal 4 2 2 3 7 3 2" xfId="15282" xr:uid="{914FB4E7-9F7F-4E2D-A413-4C350772FE66}"/>
    <cellStyle name="Normal 4 2 2 3 7 4" xfId="11065" xr:uid="{13BDB626-6C53-435B-B0C5-668A66EB3536}"/>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EE36A2C9-0601-4EB0-BEC1-C0496C8C1A90}"/>
    <cellStyle name="Normal 4 2 2 3 8 2 3" xfId="13623" xr:uid="{E77ABAEB-6DD6-4D0D-B1EA-E24992FEA349}"/>
    <cellStyle name="Normal 4 2 2 3 8 3" xfId="6369" xr:uid="{00000000-0005-0000-0000-00008F120000}"/>
    <cellStyle name="Normal 4 2 2 3 8 3 2" xfId="15695" xr:uid="{8661C246-47A1-4C27-8D99-398CE8066610}"/>
    <cellStyle name="Normal 4 2 2 3 8 4" xfId="11478" xr:uid="{C2F205B6-94BE-42F1-AA8F-DEB3F4F97A88}"/>
    <cellStyle name="Normal 4 2 2 3 9" xfId="2499" xr:uid="{00000000-0005-0000-0000-000090120000}"/>
    <cellStyle name="Normal 4 2 2 3 9 2" xfId="6782" xr:uid="{00000000-0005-0000-0000-000091120000}"/>
    <cellStyle name="Normal 4 2 2 3 9 2 2" xfId="16108" xr:uid="{A54F0B46-8578-462D-AD4C-2CF8C40D6D09}"/>
    <cellStyle name="Normal 4 2 2 3 9 3" xfId="11891" xr:uid="{F4D52F96-546A-40F9-916F-52654D23B653}"/>
    <cellStyle name="Normal 4 2 2 4" xfId="347" xr:uid="{00000000-0005-0000-0000-000092120000}"/>
    <cellStyle name="Normal 4 2 2 4 10" xfId="8818" xr:uid="{A73977A7-52C6-4368-9F59-166E1B99BBDE}"/>
    <cellStyle name="Normal 4 2 2 4 10 2" xfId="18142" xr:uid="{2FE97574-81E7-42A9-9F27-F4865AA03B11}"/>
    <cellStyle name="Normal 4 2 2 4 11" xfId="9834" xr:uid="{B1B8611F-03C4-465F-9D05-162F4038B785}"/>
    <cellStyle name="Normal 4 2 2 4 2" xfId="348" xr:uid="{00000000-0005-0000-0000-000093120000}"/>
    <cellStyle name="Normal 4 2 2 4 2 10" xfId="9835" xr:uid="{90E84DD7-6CF2-4661-B524-926FFF6F5508}"/>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A933B42F-489E-450C-8884-612A2305F32E}"/>
    <cellStyle name="Normal 4 2 2 4 2 2 2 2 3" xfId="12394" xr:uid="{C2C1FAC9-785B-4D4A-B4F2-4A610DC19675}"/>
    <cellStyle name="Normal 4 2 2 4 2 2 2 3" xfId="5140" xr:uid="{00000000-0005-0000-0000-000098120000}"/>
    <cellStyle name="Normal 4 2 2 4 2 2 2 3 2" xfId="14466" xr:uid="{85EDB40E-DC3B-45FE-9FB9-E32FE326EB08}"/>
    <cellStyle name="Normal 4 2 2 4 2 2 2 4" xfId="9553" xr:uid="{7FCAF883-2374-4470-BA95-AD8EB054639C}"/>
    <cellStyle name="Normal 4 2 2 4 2 2 2 4 2" xfId="18868" xr:uid="{48714F67-AE18-41B6-B701-D7BE319A9CC7}"/>
    <cellStyle name="Normal 4 2 2 4 2 2 2 5" xfId="10249" xr:uid="{B432757B-4AD3-412F-BF51-07B10EA278EE}"/>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1C007EC4-75ED-47CA-8E32-17BE030F86BF}"/>
    <cellStyle name="Normal 4 2 2 4 2 2 3 2 3" xfId="12807" xr:uid="{BB385B98-03FB-43B0-B7FE-1621CAA71F04}"/>
    <cellStyle name="Normal 4 2 2 4 2 2 3 3" xfId="5553" xr:uid="{00000000-0005-0000-0000-00009C120000}"/>
    <cellStyle name="Normal 4 2 2 4 2 2 3 3 2" xfId="14879" xr:uid="{3F1DEB40-F07F-44DD-AE74-365C46C57985}"/>
    <cellStyle name="Normal 4 2 2 4 2 2 3 4" xfId="10662" xr:uid="{3C1CA352-6059-4F9C-AECE-B9F9B06AE1DC}"/>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44FFE311-405D-4C04-8A14-009F194FD3B6}"/>
    <cellStyle name="Normal 4 2 2 4 2 2 4 2 3" xfId="13220" xr:uid="{6A325C80-2874-4BEB-8D49-97B0D0C31910}"/>
    <cellStyle name="Normal 4 2 2 4 2 2 4 3" xfId="5966" xr:uid="{00000000-0005-0000-0000-0000A0120000}"/>
    <cellStyle name="Normal 4 2 2 4 2 2 4 3 2" xfId="15292" xr:uid="{7F3F5101-4D55-41C7-AC0C-B95D4B2276F1}"/>
    <cellStyle name="Normal 4 2 2 4 2 2 4 4" xfId="11075" xr:uid="{E34296DD-5548-43B5-901E-C424AA60E24E}"/>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412370D3-AA93-4ECA-A7CF-38C088951867}"/>
    <cellStyle name="Normal 4 2 2 4 2 2 5 2 3" xfId="13633" xr:uid="{9C96EA46-815F-4BB6-B88D-2DF650760419}"/>
    <cellStyle name="Normal 4 2 2 4 2 2 5 3" xfId="6379" xr:uid="{00000000-0005-0000-0000-0000A4120000}"/>
    <cellStyle name="Normal 4 2 2 4 2 2 5 3 2" xfId="15705" xr:uid="{2C675E9A-F1F3-49D0-BDF6-E1C15658B986}"/>
    <cellStyle name="Normal 4 2 2 4 2 2 5 4" xfId="11488" xr:uid="{71AA48D3-89FD-4791-AEDF-148C30645F70}"/>
    <cellStyle name="Normal 4 2 2 4 2 2 6" xfId="2509" xr:uid="{00000000-0005-0000-0000-0000A5120000}"/>
    <cellStyle name="Normal 4 2 2 4 2 2 6 2" xfId="6792" xr:uid="{00000000-0005-0000-0000-0000A6120000}"/>
    <cellStyle name="Normal 4 2 2 4 2 2 6 2 2" xfId="16118" xr:uid="{A461F1A2-886C-47B3-87E4-88269E582D24}"/>
    <cellStyle name="Normal 4 2 2 4 2 2 6 3" xfId="11901" xr:uid="{C8AAAEA7-F60F-46C4-927F-BE07BEE36A87}"/>
    <cellStyle name="Normal 4 2 2 4 2 2 7" xfId="4727" xr:uid="{00000000-0005-0000-0000-0000A7120000}"/>
    <cellStyle name="Normal 4 2 2 4 2 2 7 2" xfId="14053" xr:uid="{7440CA66-8C1C-4B15-9377-BEBC082DE65A}"/>
    <cellStyle name="Normal 4 2 2 4 2 2 8" xfId="9128" xr:uid="{3D9AD2A4-E3D1-4BAF-8F43-BFB1FE8E222D}"/>
    <cellStyle name="Normal 4 2 2 4 2 2 8 2" xfId="18452" xr:uid="{684B68F0-D0B8-4C72-B3B4-745D2CA2E5C6}"/>
    <cellStyle name="Normal 4 2 2 4 2 2 9" xfId="9836" xr:uid="{53013D79-A3F8-485C-93C4-E52A0A75EB6B}"/>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F0D19581-9209-4DA8-BFA5-47536E9DE6F7}"/>
    <cellStyle name="Normal 4 2 2 4 2 3 2 3" xfId="12393" xr:uid="{CB8ECD83-FC10-4337-A2FD-BD9AD7B53E9A}"/>
    <cellStyle name="Normal 4 2 2 4 2 3 3" xfId="5139" xr:uid="{00000000-0005-0000-0000-0000AB120000}"/>
    <cellStyle name="Normal 4 2 2 4 2 3 3 2" xfId="14465" xr:uid="{B42A3F45-34C8-4357-93BF-F33C978AAA79}"/>
    <cellStyle name="Normal 4 2 2 4 2 3 4" xfId="9346" xr:uid="{11110DEC-01F5-467C-B0F9-3286FF7E57CB}"/>
    <cellStyle name="Normal 4 2 2 4 2 3 4 2" xfId="18661" xr:uid="{53EE94AF-8B82-4C2D-ADD0-B4769DAEB8CF}"/>
    <cellStyle name="Normal 4 2 2 4 2 3 5" xfId="10248" xr:uid="{1BC860B7-BAC0-460D-91BF-EEFFE9D57CDD}"/>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86443939-7F91-46EF-9A08-D27300CD334A}"/>
    <cellStyle name="Normal 4 2 2 4 2 4 2 3" xfId="12806" xr:uid="{91271303-B018-4609-95D7-0E2E4416CF36}"/>
    <cellStyle name="Normal 4 2 2 4 2 4 3" xfId="5552" xr:uid="{00000000-0005-0000-0000-0000AF120000}"/>
    <cellStyle name="Normal 4 2 2 4 2 4 3 2" xfId="14878" xr:uid="{8E1A2130-8E6D-4CC2-9A36-E86C3D54DB2E}"/>
    <cellStyle name="Normal 4 2 2 4 2 4 4" xfId="10661" xr:uid="{035FF719-66BF-4416-881F-C7C7CEFB1E22}"/>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6CDC6DC1-B90E-4716-B581-BADEA8D65D08}"/>
    <cellStyle name="Normal 4 2 2 4 2 5 2 3" xfId="13219" xr:uid="{34BF0CF0-178D-4D42-AA12-8E9FACB4F64B}"/>
    <cellStyle name="Normal 4 2 2 4 2 5 3" xfId="5965" xr:uid="{00000000-0005-0000-0000-0000B3120000}"/>
    <cellStyle name="Normal 4 2 2 4 2 5 3 2" xfId="15291" xr:uid="{D545576D-C6BD-4CD0-A8DD-FB8EBA8998D0}"/>
    <cellStyle name="Normal 4 2 2 4 2 5 4" xfId="11074" xr:uid="{A009E21A-871D-459F-BFF5-2413ACAD50FA}"/>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7731F0CE-890E-45B6-A882-F454908EF738}"/>
    <cellStyle name="Normal 4 2 2 4 2 6 2 3" xfId="13632" xr:uid="{5F25A9C4-5F48-4194-BC57-0AD223C94CB4}"/>
    <cellStyle name="Normal 4 2 2 4 2 6 3" xfId="6378" xr:uid="{00000000-0005-0000-0000-0000B7120000}"/>
    <cellStyle name="Normal 4 2 2 4 2 6 3 2" xfId="15704" xr:uid="{93697464-40BF-40E7-9B09-0641230AB258}"/>
    <cellStyle name="Normal 4 2 2 4 2 6 4" xfId="11487" xr:uid="{FD7FC5F1-6B64-426C-9FD2-7918BF098424}"/>
    <cellStyle name="Normal 4 2 2 4 2 7" xfId="2508" xr:uid="{00000000-0005-0000-0000-0000B8120000}"/>
    <cellStyle name="Normal 4 2 2 4 2 7 2" xfId="6791" xr:uid="{00000000-0005-0000-0000-0000B9120000}"/>
    <cellStyle name="Normal 4 2 2 4 2 7 2 2" xfId="16117" xr:uid="{508923BC-E3B3-4826-832C-D9261072F022}"/>
    <cellStyle name="Normal 4 2 2 4 2 7 3" xfId="11900" xr:uid="{6F80B489-D51B-4099-ADBE-5F02CF06AAB5}"/>
    <cellStyle name="Normal 4 2 2 4 2 8" xfId="4726" xr:uid="{00000000-0005-0000-0000-0000BA120000}"/>
    <cellStyle name="Normal 4 2 2 4 2 8 2" xfId="14052" xr:uid="{BB14AF08-2BC0-45C9-B940-BB48186591E9}"/>
    <cellStyle name="Normal 4 2 2 4 2 9" xfId="8921" xr:uid="{43AA3CA1-A6D2-47CC-8276-CBFAB7238AA6}"/>
    <cellStyle name="Normal 4 2 2 4 2 9 2" xfId="18245" xr:uid="{05D886BC-6105-4A7B-B75E-70760C23FC47}"/>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75725B8B-BE1E-4C00-BBAD-441CBA77AC2E}"/>
    <cellStyle name="Normal 4 2 2 4 3 2 2 3" xfId="12395" xr:uid="{0989DF38-CDE4-4316-B4AC-985E580020F2}"/>
    <cellStyle name="Normal 4 2 2 4 3 2 3" xfId="5141" xr:uid="{00000000-0005-0000-0000-0000BF120000}"/>
    <cellStyle name="Normal 4 2 2 4 3 2 3 2" xfId="14467" xr:uid="{81A55012-D3EC-4D7A-B78C-2E311742D132}"/>
    <cellStyle name="Normal 4 2 2 4 3 2 4" xfId="9450" xr:uid="{0F54578A-5DA3-4B6E-9E36-71CC7CD6BFE8}"/>
    <cellStyle name="Normal 4 2 2 4 3 2 4 2" xfId="18765" xr:uid="{E9CD9A32-4A32-4EC8-B5A0-861DD93E357D}"/>
    <cellStyle name="Normal 4 2 2 4 3 2 5" xfId="10250" xr:uid="{C3BE863E-C16F-4955-83EF-93572E294569}"/>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84E042F4-C694-4253-A109-DC19B177418C}"/>
    <cellStyle name="Normal 4 2 2 4 3 3 2 3" xfId="12808" xr:uid="{E6073ADF-79DD-4ADB-AD3F-4847BE61FD3C}"/>
    <cellStyle name="Normal 4 2 2 4 3 3 3" xfId="5554" xr:uid="{00000000-0005-0000-0000-0000C3120000}"/>
    <cellStyle name="Normal 4 2 2 4 3 3 3 2" xfId="14880" xr:uid="{ABAF0247-3988-4ABD-8B7F-0B188478A885}"/>
    <cellStyle name="Normal 4 2 2 4 3 3 4" xfId="10663" xr:uid="{D2C9EE5A-9BE3-43A6-A5B9-12171D166C86}"/>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B68B1D1A-0530-4FF7-8A7E-D48D78EDA26D}"/>
    <cellStyle name="Normal 4 2 2 4 3 4 2 3" xfId="13221" xr:uid="{35BFE9E6-30A3-4F9C-8DF5-E78EC8D45A01}"/>
    <cellStyle name="Normal 4 2 2 4 3 4 3" xfId="5967" xr:uid="{00000000-0005-0000-0000-0000C7120000}"/>
    <cellStyle name="Normal 4 2 2 4 3 4 3 2" xfId="15293" xr:uid="{6E516BB8-D489-40EA-AB52-313AA44BCCF2}"/>
    <cellStyle name="Normal 4 2 2 4 3 4 4" xfId="11076" xr:uid="{C51385BD-20C0-4EBA-87DE-611475D95561}"/>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BB77EB49-F559-4FA1-815D-292F66D4B2D8}"/>
    <cellStyle name="Normal 4 2 2 4 3 5 2 3" xfId="13634" xr:uid="{E6A20029-34CF-48C2-ABBE-7F12B3DE1CF8}"/>
    <cellStyle name="Normal 4 2 2 4 3 5 3" xfId="6380" xr:uid="{00000000-0005-0000-0000-0000CB120000}"/>
    <cellStyle name="Normal 4 2 2 4 3 5 3 2" xfId="15706" xr:uid="{9D71135C-9BA4-4E81-80E1-198CFEDDADAE}"/>
    <cellStyle name="Normal 4 2 2 4 3 5 4" xfId="11489" xr:uid="{13E4F503-1B2D-40B2-94B7-84914E1B69E7}"/>
    <cellStyle name="Normal 4 2 2 4 3 6" xfId="2510" xr:uid="{00000000-0005-0000-0000-0000CC120000}"/>
    <cellStyle name="Normal 4 2 2 4 3 6 2" xfId="6793" xr:uid="{00000000-0005-0000-0000-0000CD120000}"/>
    <cellStyle name="Normal 4 2 2 4 3 6 2 2" xfId="16119" xr:uid="{7ADE561E-1AC0-4064-BA85-5AE9B8083274}"/>
    <cellStyle name="Normal 4 2 2 4 3 6 3" xfId="11902" xr:uid="{DB63DB9E-11DD-466B-868E-F6DDB48C439B}"/>
    <cellStyle name="Normal 4 2 2 4 3 7" xfId="4728" xr:uid="{00000000-0005-0000-0000-0000CE120000}"/>
    <cellStyle name="Normal 4 2 2 4 3 7 2" xfId="14054" xr:uid="{7F6BD4EF-DBCA-4917-AE42-95701AEEC125}"/>
    <cellStyle name="Normal 4 2 2 4 3 8" xfId="9025" xr:uid="{436CB353-A916-4AB2-B5E2-8C1BDAEA1182}"/>
    <cellStyle name="Normal 4 2 2 4 3 8 2" xfId="18349" xr:uid="{A89A1433-B002-4A81-9B93-67E65EA51725}"/>
    <cellStyle name="Normal 4 2 2 4 3 9" xfId="9837" xr:uid="{29E689E4-BAE6-4983-A9E2-45BD553C289F}"/>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6267E86A-87E2-4F5D-8E88-7BA99CD1E391}"/>
    <cellStyle name="Normal 4 2 2 4 4 2 3" xfId="12392" xr:uid="{38E148CD-3BC0-4FB7-8986-5AF9B811E99A}"/>
    <cellStyle name="Normal 4 2 2 4 4 3" xfId="5138" xr:uid="{00000000-0005-0000-0000-0000D2120000}"/>
    <cellStyle name="Normal 4 2 2 4 4 3 2" xfId="14464" xr:uid="{86BBF219-175D-4FA3-953F-7F4AAD51B6F5}"/>
    <cellStyle name="Normal 4 2 2 4 4 4" xfId="9243" xr:uid="{FD46A281-F5BE-478B-950E-209D1D56FC0E}"/>
    <cellStyle name="Normal 4 2 2 4 4 4 2" xfId="18558" xr:uid="{6AC659FD-71CF-4758-9B4A-3244BD2C11B9}"/>
    <cellStyle name="Normal 4 2 2 4 4 5" xfId="10247" xr:uid="{22AB59B0-0260-4169-AD6B-89223DCDFF98}"/>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6F259CC6-E1F2-470F-BF8A-79647E0EAF09}"/>
    <cellStyle name="Normal 4 2 2 4 5 2 3" xfId="12805" xr:uid="{FF2C7032-AFCD-4B04-BD41-BED61FE4A49C}"/>
    <cellStyle name="Normal 4 2 2 4 5 3" xfId="5551" xr:uid="{00000000-0005-0000-0000-0000D6120000}"/>
    <cellStyle name="Normal 4 2 2 4 5 3 2" xfId="14877" xr:uid="{28B0285E-F997-44DC-9F3A-5299A7E0CFC8}"/>
    <cellStyle name="Normal 4 2 2 4 5 4" xfId="10660" xr:uid="{6FEEC931-1549-4A21-A050-FC26ACB36232}"/>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A8341126-2587-4A1F-87EB-D104045C4CF4}"/>
    <cellStyle name="Normal 4 2 2 4 6 2 3" xfId="13218" xr:uid="{08298523-3685-4A2E-9F42-88056084ACCF}"/>
    <cellStyle name="Normal 4 2 2 4 6 3" xfId="5964" xr:uid="{00000000-0005-0000-0000-0000DA120000}"/>
    <cellStyle name="Normal 4 2 2 4 6 3 2" xfId="15290" xr:uid="{D80554E0-521F-494E-8F98-98C979CF1EFC}"/>
    <cellStyle name="Normal 4 2 2 4 6 4" xfId="11073" xr:uid="{87952210-CADC-408F-A47C-818579FBF8D1}"/>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17CD510B-7AC2-4F92-945F-4CC0A9B35049}"/>
    <cellStyle name="Normal 4 2 2 4 7 2 3" xfId="13631" xr:uid="{44940D35-9A0C-4246-A5A9-4879FEFC1BB8}"/>
    <cellStyle name="Normal 4 2 2 4 7 3" xfId="6377" xr:uid="{00000000-0005-0000-0000-0000DE120000}"/>
    <cellStyle name="Normal 4 2 2 4 7 3 2" xfId="15703" xr:uid="{88C72F2D-C9DE-4FE7-9670-E07F8EE9F06B}"/>
    <cellStyle name="Normal 4 2 2 4 7 4" xfId="11486" xr:uid="{7341321E-81E5-4FEB-A783-346CC72FDFD1}"/>
    <cellStyle name="Normal 4 2 2 4 8" xfId="2507" xr:uid="{00000000-0005-0000-0000-0000DF120000}"/>
    <cellStyle name="Normal 4 2 2 4 8 2" xfId="6790" xr:uid="{00000000-0005-0000-0000-0000E0120000}"/>
    <cellStyle name="Normal 4 2 2 4 8 2 2" xfId="16116" xr:uid="{27E50BCE-B34D-4693-8161-BD02EAA22B70}"/>
    <cellStyle name="Normal 4 2 2 4 8 3" xfId="11899" xr:uid="{A849895C-503E-4556-97B5-6757D7C3B90F}"/>
    <cellStyle name="Normal 4 2 2 4 9" xfId="4725" xr:uid="{00000000-0005-0000-0000-0000E1120000}"/>
    <cellStyle name="Normal 4 2 2 4 9 2" xfId="14051" xr:uid="{B7A740A6-265C-4173-8CDC-D14B425C6F56}"/>
    <cellStyle name="Normal 4 2 2 5" xfId="351" xr:uid="{00000000-0005-0000-0000-0000E2120000}"/>
    <cellStyle name="Normal 4 2 2 5 10" xfId="9838" xr:uid="{292F4EC1-DF5D-4BC9-80AE-B1073EA2A1CB}"/>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D1989A85-0D5E-4110-B104-BCC1E3640A7D}"/>
    <cellStyle name="Normal 4 2 2 5 2 2 2 3" xfId="12397" xr:uid="{3234CEF1-59D6-4F0E-B01C-EEFEE0B8C28A}"/>
    <cellStyle name="Normal 4 2 2 5 2 2 3" xfId="5143" xr:uid="{00000000-0005-0000-0000-0000E7120000}"/>
    <cellStyle name="Normal 4 2 2 5 2 2 3 2" xfId="14469" xr:uid="{29BA3023-C7D6-487A-9B4C-F5C088E4EC3F}"/>
    <cellStyle name="Normal 4 2 2 5 2 2 4" xfId="9487" xr:uid="{83D2756E-B983-4EA9-AB48-FF4D3E821CE4}"/>
    <cellStyle name="Normal 4 2 2 5 2 2 4 2" xfId="18802" xr:uid="{8F9F56A8-990B-4049-8E1C-64E691A18A66}"/>
    <cellStyle name="Normal 4 2 2 5 2 2 5" xfId="10252" xr:uid="{562E50AE-839C-47A9-9BA5-2A098C3E43AA}"/>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60BFBA22-C5F6-4B8E-9421-39302810A873}"/>
    <cellStyle name="Normal 4 2 2 5 2 3 2 3" xfId="12810" xr:uid="{4BED3198-2DBA-4C2A-9A64-FEA56B41ABAC}"/>
    <cellStyle name="Normal 4 2 2 5 2 3 3" xfId="5556" xr:uid="{00000000-0005-0000-0000-0000EB120000}"/>
    <cellStyle name="Normal 4 2 2 5 2 3 3 2" xfId="14882" xr:uid="{00C75616-1E86-45C6-8B96-8F386AD0EA34}"/>
    <cellStyle name="Normal 4 2 2 5 2 3 4" xfId="10665" xr:uid="{9DDF0B05-9B7C-4AC3-A465-D3F758DB2E3C}"/>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3078B1C3-577C-4AB8-838E-84B54A7D50D2}"/>
    <cellStyle name="Normal 4 2 2 5 2 4 2 3" xfId="13223" xr:uid="{2A25B249-FB7B-4F20-913B-44339B5E6EE0}"/>
    <cellStyle name="Normal 4 2 2 5 2 4 3" xfId="5969" xr:uid="{00000000-0005-0000-0000-0000EF120000}"/>
    <cellStyle name="Normal 4 2 2 5 2 4 3 2" xfId="15295" xr:uid="{B1159568-6186-4532-AA87-3371641A8A14}"/>
    <cellStyle name="Normal 4 2 2 5 2 4 4" xfId="11078" xr:uid="{8883987B-A057-4278-A355-748AFE9FA185}"/>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26A4DE2D-253D-4B6C-BBE4-ED0E41F20C3B}"/>
    <cellStyle name="Normal 4 2 2 5 2 5 2 3" xfId="13636" xr:uid="{FF9047AC-DE82-49B1-9D24-0193FA5FBBC8}"/>
    <cellStyle name="Normal 4 2 2 5 2 5 3" xfId="6382" xr:uid="{00000000-0005-0000-0000-0000F3120000}"/>
    <cellStyle name="Normal 4 2 2 5 2 5 3 2" xfId="15708" xr:uid="{926259AB-9211-440F-B5F1-8A19A3FC7B32}"/>
    <cellStyle name="Normal 4 2 2 5 2 5 4" xfId="11491" xr:uid="{EAEA5A40-8E07-4074-B1F1-C53BFA6C8FE4}"/>
    <cellStyle name="Normal 4 2 2 5 2 6" xfId="2512" xr:uid="{00000000-0005-0000-0000-0000F4120000}"/>
    <cellStyle name="Normal 4 2 2 5 2 6 2" xfId="6795" xr:uid="{00000000-0005-0000-0000-0000F5120000}"/>
    <cellStyle name="Normal 4 2 2 5 2 6 2 2" xfId="16121" xr:uid="{DC3C2722-3237-4B62-8785-E4D8696965BB}"/>
    <cellStyle name="Normal 4 2 2 5 2 6 3" xfId="11904" xr:uid="{523FBD52-AFD3-4C37-9122-22776FC264F1}"/>
    <cellStyle name="Normal 4 2 2 5 2 7" xfId="4730" xr:uid="{00000000-0005-0000-0000-0000F6120000}"/>
    <cellStyle name="Normal 4 2 2 5 2 7 2" xfId="14056" xr:uid="{A22D4F98-4123-4F5F-99C5-1E1713F63534}"/>
    <cellStyle name="Normal 4 2 2 5 2 8" xfId="9062" xr:uid="{FED54422-C2E5-44B3-AA7C-C6088F47A385}"/>
    <cellStyle name="Normal 4 2 2 5 2 8 2" xfId="18386" xr:uid="{453E7D4E-0A05-417C-AF13-3D91D4AE2A3C}"/>
    <cellStyle name="Normal 4 2 2 5 2 9" xfId="9839" xr:uid="{9585B6FA-95B5-4BB3-9BF5-DCF70BA7673A}"/>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EDC8C4A5-76C4-4164-8CB4-A7B8B76FE067}"/>
    <cellStyle name="Normal 4 2 2 5 3 2 3" xfId="12396" xr:uid="{513D467E-5DA1-4333-8420-037FB726200C}"/>
    <cellStyle name="Normal 4 2 2 5 3 3" xfId="5142" xr:uid="{00000000-0005-0000-0000-0000FA120000}"/>
    <cellStyle name="Normal 4 2 2 5 3 3 2" xfId="14468" xr:uid="{0FDFCFF2-D18E-4625-8F29-5B705078B19B}"/>
    <cellStyle name="Normal 4 2 2 5 3 4" xfId="9280" xr:uid="{C70B18D8-E279-4D37-82EF-3177E9FA554F}"/>
    <cellStyle name="Normal 4 2 2 5 3 4 2" xfId="18595" xr:uid="{DDCF8A73-BC93-434B-B994-E39EA6324B72}"/>
    <cellStyle name="Normal 4 2 2 5 3 5" xfId="10251" xr:uid="{AC3CAE23-6DB6-4658-9E7F-531585B3C029}"/>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9949BA93-24FE-4EA5-8018-86051159F759}"/>
    <cellStyle name="Normal 4 2 2 5 4 2 3" xfId="12809" xr:uid="{09DB9B56-BA50-427B-BB67-87D2D27256C5}"/>
    <cellStyle name="Normal 4 2 2 5 4 3" xfId="5555" xr:uid="{00000000-0005-0000-0000-0000FE120000}"/>
    <cellStyle name="Normal 4 2 2 5 4 3 2" xfId="14881" xr:uid="{A8B065E6-1CCF-40C2-BCA8-8C9D71BB1D2E}"/>
    <cellStyle name="Normal 4 2 2 5 4 4" xfId="10664" xr:uid="{3BF40E93-BF3E-4E6D-A292-2DB08EF0A8F4}"/>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12DC3C8A-F6EE-46D8-990D-776B8E13743A}"/>
    <cellStyle name="Normal 4 2 2 5 5 2 3" xfId="13222" xr:uid="{095A2D99-AF7C-4D90-AA62-45D28FB6E938}"/>
    <cellStyle name="Normal 4 2 2 5 5 3" xfId="5968" xr:uid="{00000000-0005-0000-0000-000002130000}"/>
    <cellStyle name="Normal 4 2 2 5 5 3 2" xfId="15294" xr:uid="{30D8FEA7-F39F-4673-A40F-766158CCFCB4}"/>
    <cellStyle name="Normal 4 2 2 5 5 4" xfId="11077" xr:uid="{7266C51A-9DF3-4E4E-898A-9080FAC0C026}"/>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241201C9-5286-4E6E-AAF4-ADBD343E5F3D}"/>
    <cellStyle name="Normal 4 2 2 5 6 2 3" xfId="13635" xr:uid="{6B3EFF04-0BC2-4977-9145-743CC1EBDC9A}"/>
    <cellStyle name="Normal 4 2 2 5 6 3" xfId="6381" xr:uid="{00000000-0005-0000-0000-000006130000}"/>
    <cellStyle name="Normal 4 2 2 5 6 3 2" xfId="15707" xr:uid="{BB7583B1-ED28-4949-A4BF-F5F186E0367F}"/>
    <cellStyle name="Normal 4 2 2 5 6 4" xfId="11490" xr:uid="{6B9B8372-56E0-4005-B383-1FF4C0AAC141}"/>
    <cellStyle name="Normal 4 2 2 5 7" xfId="2511" xr:uid="{00000000-0005-0000-0000-000007130000}"/>
    <cellStyle name="Normal 4 2 2 5 7 2" xfId="6794" xr:uid="{00000000-0005-0000-0000-000008130000}"/>
    <cellStyle name="Normal 4 2 2 5 7 2 2" xfId="16120" xr:uid="{E5741011-FB4E-4010-91A6-E9BCBB636B77}"/>
    <cellStyle name="Normal 4 2 2 5 7 3" xfId="11903" xr:uid="{16C28779-1E2A-4827-973A-31BCED01282C}"/>
    <cellStyle name="Normal 4 2 2 5 8" xfId="4729" xr:uid="{00000000-0005-0000-0000-000009130000}"/>
    <cellStyle name="Normal 4 2 2 5 8 2" xfId="14055" xr:uid="{B89CC453-5E40-4798-AB60-9D45E339027E}"/>
    <cellStyle name="Normal 4 2 2 5 9" xfId="8855" xr:uid="{894DEE8B-A5CD-4C4E-B41D-DCEB92717109}"/>
    <cellStyle name="Normal 4 2 2 5 9 2" xfId="18179" xr:uid="{7C3CFC20-A73C-48F7-AFE8-39CC636B8E6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3C309CCE-D68D-49EE-8F8D-A2CD908D697F}"/>
    <cellStyle name="Normal 4 2 2 6 2 2 3" xfId="12398" xr:uid="{CAD2FF66-23C9-43F1-AC4C-11E1E0A2673F}"/>
    <cellStyle name="Normal 4 2 2 6 2 3" xfId="5144" xr:uid="{00000000-0005-0000-0000-00000E130000}"/>
    <cellStyle name="Normal 4 2 2 6 2 3 2" xfId="14470" xr:uid="{A9122C4B-3BF6-48FD-8C4D-206FE0CF2043}"/>
    <cellStyle name="Normal 4 2 2 6 2 4" xfId="9396" xr:uid="{5B10E6C6-987A-4149-BB81-321A07C7666F}"/>
    <cellStyle name="Normal 4 2 2 6 2 4 2" xfId="18711" xr:uid="{358B838E-CDDB-4B6E-917A-8C7DE828C7A1}"/>
    <cellStyle name="Normal 4 2 2 6 2 5" xfId="10253" xr:uid="{0AFA6539-0540-4CFE-B8C0-3912B34F0D5C}"/>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8CE9F4D0-551C-48EC-A65C-9A6A18B54610}"/>
    <cellStyle name="Normal 4 2 2 6 3 2 3" xfId="12811" xr:uid="{93B6678F-91F4-4400-9D4A-69788BCA1E13}"/>
    <cellStyle name="Normal 4 2 2 6 3 3" xfId="5557" xr:uid="{00000000-0005-0000-0000-000012130000}"/>
    <cellStyle name="Normal 4 2 2 6 3 3 2" xfId="14883" xr:uid="{7D1A4E6B-D3F1-4136-AC8C-201524843BE7}"/>
    <cellStyle name="Normal 4 2 2 6 3 4" xfId="10666" xr:uid="{95CC1B47-366C-4380-8721-BED07DF4173D}"/>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871E8FB2-8EDD-4927-A5A2-8DB8854AC16A}"/>
    <cellStyle name="Normal 4 2 2 6 4 2 3" xfId="13224" xr:uid="{F8DE8664-18D8-494D-91E6-8F30C318FF19}"/>
    <cellStyle name="Normal 4 2 2 6 4 3" xfId="5970" xr:uid="{00000000-0005-0000-0000-000016130000}"/>
    <cellStyle name="Normal 4 2 2 6 4 3 2" xfId="15296" xr:uid="{D4E8956B-6B78-4D2B-85ED-A599C49A37D3}"/>
    <cellStyle name="Normal 4 2 2 6 4 4" xfId="11079" xr:uid="{DDEAF452-3208-42F5-98C5-19E0FCB7AD98}"/>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E6BD1EC2-0B9D-4787-85B0-606BEDCEA777}"/>
    <cellStyle name="Normal 4 2 2 6 5 2 3" xfId="13637" xr:uid="{EACC9E9E-EF16-4262-A8C2-256FBCAFEA12}"/>
    <cellStyle name="Normal 4 2 2 6 5 3" xfId="6383" xr:uid="{00000000-0005-0000-0000-00001A130000}"/>
    <cellStyle name="Normal 4 2 2 6 5 3 2" xfId="15709" xr:uid="{72B6C43B-4055-410A-BE6F-F90F7B3230F7}"/>
    <cellStyle name="Normal 4 2 2 6 5 4" xfId="11492" xr:uid="{3D250189-3C18-410C-A795-51C45CAD2FF1}"/>
    <cellStyle name="Normal 4 2 2 6 6" xfId="2513" xr:uid="{00000000-0005-0000-0000-00001B130000}"/>
    <cellStyle name="Normal 4 2 2 6 6 2" xfId="6796" xr:uid="{00000000-0005-0000-0000-00001C130000}"/>
    <cellStyle name="Normal 4 2 2 6 6 2 2" xfId="16122" xr:uid="{0CEC16BB-9B41-439D-8FFC-28707F8551A5}"/>
    <cellStyle name="Normal 4 2 2 6 6 3" xfId="11905" xr:uid="{68FD15F4-CDE7-43B5-8413-83078EC21F17}"/>
    <cellStyle name="Normal 4 2 2 6 7" xfId="4731" xr:uid="{00000000-0005-0000-0000-00001D130000}"/>
    <cellStyle name="Normal 4 2 2 6 7 2" xfId="14057" xr:uid="{97E5C4DF-1897-4E78-AAD6-306B32DFC9A2}"/>
    <cellStyle name="Normal 4 2 2 6 8" xfId="8971" xr:uid="{7BBA3CD4-2D32-439A-A2D5-9F7EB5E5A47E}"/>
    <cellStyle name="Normal 4 2 2 6 8 2" xfId="18295" xr:uid="{21DE9913-047F-4A0D-9A80-E268DEFDD7FA}"/>
    <cellStyle name="Normal 4 2 2 6 9" xfId="9840" xr:uid="{D92E7545-1781-48A7-88B6-00CDB622F9BA}"/>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AF8ACAC5-0EDB-455D-AAD7-E649C252EC4D}"/>
    <cellStyle name="Normal 4 2 2 7 2 3" xfId="12383" xr:uid="{CF66F2C6-DC1B-460D-88B9-370C095B5B3B}"/>
    <cellStyle name="Normal 4 2 2 7 3" xfId="5129" xr:uid="{00000000-0005-0000-0000-000021130000}"/>
    <cellStyle name="Normal 4 2 2 7 3 2" xfId="14455" xr:uid="{FB347B34-4F3D-4A68-964B-D0EA4265889A}"/>
    <cellStyle name="Normal 4 2 2 7 4" xfId="9174" xr:uid="{5FB177AF-8B2E-4B7E-A1B7-4F6E323AF880}"/>
    <cellStyle name="Normal 4 2 2 7 4 2" xfId="18492" xr:uid="{1B5C79E5-26F7-44AA-9B81-D4BDFCDD055D}"/>
    <cellStyle name="Normal 4 2 2 7 5" xfId="10238" xr:uid="{D1D98337-3C6D-4D67-BEE7-C316F8F788D7}"/>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C6D1ECB8-DD80-497D-8953-7A6A7ED4F6C0}"/>
    <cellStyle name="Normal 4 2 2 8 2 3" xfId="12796" xr:uid="{8A4BDC06-1F72-4B2A-804B-83D6BE35AAA3}"/>
    <cellStyle name="Normal 4 2 2 8 3" xfId="5542" xr:uid="{00000000-0005-0000-0000-000025130000}"/>
    <cellStyle name="Normal 4 2 2 8 3 2" xfId="14868" xr:uid="{A2ABE90A-1B14-4F33-97E6-7BF0834CE4AA}"/>
    <cellStyle name="Normal 4 2 2 8 4" xfId="10651" xr:uid="{9542C5BE-6D3A-4F18-9176-CC8AACE9F4E5}"/>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1E8AFA00-638D-4041-91FA-96A2C85ACEDD}"/>
    <cellStyle name="Normal 4 2 2 9 2 3" xfId="13209" xr:uid="{6B48C812-4887-4D88-84D9-67C9F5ADBFFE}"/>
    <cellStyle name="Normal 4 2 2 9 3" xfId="5955" xr:uid="{00000000-0005-0000-0000-000029130000}"/>
    <cellStyle name="Normal 4 2 2 9 3 2" xfId="15281" xr:uid="{D4CDB67D-BD66-4FCC-9D93-E332CD109F42}"/>
    <cellStyle name="Normal 4 2 2 9 4" xfId="11064" xr:uid="{8BB91E7F-AEFC-40A3-ABB6-BCF4BF554D97}"/>
    <cellStyle name="Normal 4 2 3" xfId="354" xr:uid="{00000000-0005-0000-0000-00002A130000}"/>
    <cellStyle name="Normal 4 2 4" xfId="355" xr:uid="{00000000-0005-0000-0000-00002B130000}"/>
    <cellStyle name="Normal 4 2 4 10" xfId="4732" xr:uid="{00000000-0005-0000-0000-00002C130000}"/>
    <cellStyle name="Normal 4 2 4 10 2" xfId="14058" xr:uid="{EE3A17E9-227A-4858-B610-B975B5E30D07}"/>
    <cellStyle name="Normal 4 2 4 11" xfId="8775" xr:uid="{7AC259AB-9C32-4DC1-A787-2E2187A7C2D6}"/>
    <cellStyle name="Normal 4 2 4 11 2" xfId="18099" xr:uid="{B27D2FE1-12A5-4EB4-8946-5CE31ED352D5}"/>
    <cellStyle name="Normal 4 2 4 12" xfId="9841" xr:uid="{101D8D6D-F2B1-415A-8DAA-851C00680A17}"/>
    <cellStyle name="Normal 4 2 4 2" xfId="356" xr:uid="{00000000-0005-0000-0000-00002D130000}"/>
    <cellStyle name="Normal 4 2 4 2 10" xfId="8820" xr:uid="{8B50D4F4-4786-467C-8322-69D665B73C2B}"/>
    <cellStyle name="Normal 4 2 4 2 10 2" xfId="18144" xr:uid="{1AFBC679-4A1F-49B4-BF0E-2B7BF7B51321}"/>
    <cellStyle name="Normal 4 2 4 2 11" xfId="9842" xr:uid="{F895E060-725F-417C-84AD-CF6DDC173DC6}"/>
    <cellStyle name="Normal 4 2 4 2 2" xfId="357" xr:uid="{00000000-0005-0000-0000-00002E130000}"/>
    <cellStyle name="Normal 4 2 4 2 2 10" xfId="9843" xr:uid="{B07B1E69-0108-44EF-8337-94BE3A69D107}"/>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A3FBC08F-D47E-4598-A869-A9B9D4B38A39}"/>
    <cellStyle name="Normal 4 2 4 2 2 2 2 2 3" xfId="12402" xr:uid="{C4AD753D-BF06-4CC5-975E-E883DF3EDDFD}"/>
    <cellStyle name="Normal 4 2 4 2 2 2 2 3" xfId="5148" xr:uid="{00000000-0005-0000-0000-000033130000}"/>
    <cellStyle name="Normal 4 2 4 2 2 2 2 3 2" xfId="14474" xr:uid="{2E97E670-FA86-4DFE-B218-57A3A5F1487B}"/>
    <cellStyle name="Normal 4 2 4 2 2 2 2 4" xfId="9555" xr:uid="{31AE7BD4-4F26-4658-9939-15FCE733560E}"/>
    <cellStyle name="Normal 4 2 4 2 2 2 2 4 2" xfId="18870" xr:uid="{0EABA881-B741-4DF6-9519-D7978D1F1B30}"/>
    <cellStyle name="Normal 4 2 4 2 2 2 2 5" xfId="10257" xr:uid="{9A70FEF4-FCE4-4D13-A4C2-876AC3076BA1}"/>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EC6C7AE4-02A2-4F3C-8DE9-505951ACF7BE}"/>
    <cellStyle name="Normal 4 2 4 2 2 2 3 2 3" xfId="12815" xr:uid="{80A92344-052A-4D02-A447-28B10127B04C}"/>
    <cellStyle name="Normal 4 2 4 2 2 2 3 3" xfId="5561" xr:uid="{00000000-0005-0000-0000-000037130000}"/>
    <cellStyle name="Normal 4 2 4 2 2 2 3 3 2" xfId="14887" xr:uid="{BA67B1BD-85C0-4CE8-9FE9-339F033F959D}"/>
    <cellStyle name="Normal 4 2 4 2 2 2 3 4" xfId="10670" xr:uid="{9BCF70A4-C8A8-4F9D-888B-9E117108B419}"/>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326EA288-71FB-4FAC-A5B8-E23EF5E6BBDF}"/>
    <cellStyle name="Normal 4 2 4 2 2 2 4 2 3" xfId="13228" xr:uid="{9EE3C4A2-A282-4189-97F5-CC2A2348BCC3}"/>
    <cellStyle name="Normal 4 2 4 2 2 2 4 3" xfId="5974" xr:uid="{00000000-0005-0000-0000-00003B130000}"/>
    <cellStyle name="Normal 4 2 4 2 2 2 4 3 2" xfId="15300" xr:uid="{D435ADE5-935C-4511-9E03-6086B90F27D3}"/>
    <cellStyle name="Normal 4 2 4 2 2 2 4 4" xfId="11083" xr:uid="{62103CB6-C8B5-41EA-91B5-DA43E7ADC39F}"/>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56D643C1-A735-4DA5-99F8-770D57113BB9}"/>
    <cellStyle name="Normal 4 2 4 2 2 2 5 2 3" xfId="13641" xr:uid="{7DE85C7B-54A3-4966-9E3C-B27028C2264B}"/>
    <cellStyle name="Normal 4 2 4 2 2 2 5 3" xfId="6387" xr:uid="{00000000-0005-0000-0000-00003F130000}"/>
    <cellStyle name="Normal 4 2 4 2 2 2 5 3 2" xfId="15713" xr:uid="{06DE336A-1C0A-4915-B3FA-466187883F05}"/>
    <cellStyle name="Normal 4 2 4 2 2 2 5 4" xfId="11496" xr:uid="{4AB8FF8D-3340-48E9-A023-2C5EE5F49E29}"/>
    <cellStyle name="Normal 4 2 4 2 2 2 6" xfId="2517" xr:uid="{00000000-0005-0000-0000-000040130000}"/>
    <cellStyle name="Normal 4 2 4 2 2 2 6 2" xfId="6800" xr:uid="{00000000-0005-0000-0000-000041130000}"/>
    <cellStyle name="Normal 4 2 4 2 2 2 6 2 2" xfId="16126" xr:uid="{E55DD14A-66D9-4E10-800C-1BABF2578C6E}"/>
    <cellStyle name="Normal 4 2 4 2 2 2 6 3" xfId="11909" xr:uid="{227810A9-2B2E-4B4F-8638-4939DC3B98FA}"/>
    <cellStyle name="Normal 4 2 4 2 2 2 7" xfId="4735" xr:uid="{00000000-0005-0000-0000-000042130000}"/>
    <cellStyle name="Normal 4 2 4 2 2 2 7 2" xfId="14061" xr:uid="{84315BB9-08D8-47B3-AE36-76804B5E272B}"/>
    <cellStyle name="Normal 4 2 4 2 2 2 8" xfId="9130" xr:uid="{E4AAEB37-D6CE-4BD9-A166-BE52F754DAC4}"/>
    <cellStyle name="Normal 4 2 4 2 2 2 8 2" xfId="18454" xr:uid="{9D3461B8-AD92-49BC-9050-6AA0DA414079}"/>
    <cellStyle name="Normal 4 2 4 2 2 2 9" xfId="9844" xr:uid="{D5C07C1C-D2D7-4961-8FD0-9FBA801B6CD7}"/>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E0E82EFE-1741-417F-B4DA-ABEAA60CB374}"/>
    <cellStyle name="Normal 4 2 4 2 2 3 2 3" xfId="12401" xr:uid="{844A7084-8510-4446-8CF1-373A5947C36A}"/>
    <cellStyle name="Normal 4 2 4 2 2 3 3" xfId="5147" xr:uid="{00000000-0005-0000-0000-000046130000}"/>
    <cellStyle name="Normal 4 2 4 2 2 3 3 2" xfId="14473" xr:uid="{D1EEDF6F-F402-48EF-BFC6-D121C6DDEADE}"/>
    <cellStyle name="Normal 4 2 4 2 2 3 4" xfId="9348" xr:uid="{E9E52CF6-B3CF-482F-B496-A22B0452951D}"/>
    <cellStyle name="Normal 4 2 4 2 2 3 4 2" xfId="18663" xr:uid="{96A11A96-D812-4033-BBC1-FFD07DB4F26A}"/>
    <cellStyle name="Normal 4 2 4 2 2 3 5" xfId="10256" xr:uid="{47736448-442A-4F6A-AA20-C263F8CAB8BB}"/>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DAC68F3F-36BD-4265-ACFA-159850614FCD}"/>
    <cellStyle name="Normal 4 2 4 2 2 4 2 3" xfId="12814" xr:uid="{3FD7ACA3-2940-4B57-A746-6713EEB624D1}"/>
    <cellStyle name="Normal 4 2 4 2 2 4 3" xfId="5560" xr:uid="{00000000-0005-0000-0000-00004A130000}"/>
    <cellStyle name="Normal 4 2 4 2 2 4 3 2" xfId="14886" xr:uid="{07ACF4AD-FF31-46D6-A2B3-FA038AEF221F}"/>
    <cellStyle name="Normal 4 2 4 2 2 4 4" xfId="10669" xr:uid="{CC9F5901-CC7F-42DE-B9F2-A85294E7BE3D}"/>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1F08D1D0-DDF3-41E5-9708-25C1321DD0AC}"/>
    <cellStyle name="Normal 4 2 4 2 2 5 2 3" xfId="13227" xr:uid="{83A4B6C1-9E90-47D7-AB71-1D0FEF5151F1}"/>
    <cellStyle name="Normal 4 2 4 2 2 5 3" xfId="5973" xr:uid="{00000000-0005-0000-0000-00004E130000}"/>
    <cellStyle name="Normal 4 2 4 2 2 5 3 2" xfId="15299" xr:uid="{7B312FE3-7804-459F-B17C-2670CBC619E2}"/>
    <cellStyle name="Normal 4 2 4 2 2 5 4" xfId="11082" xr:uid="{BFC6A1B0-FA61-4BBD-8AD6-7DEC06D46EBA}"/>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69480A5A-E7B8-416B-AD05-3E5FECD097D1}"/>
    <cellStyle name="Normal 4 2 4 2 2 6 2 3" xfId="13640" xr:uid="{99912DBD-FFF7-4B99-A2ED-7ED72A1C1788}"/>
    <cellStyle name="Normal 4 2 4 2 2 6 3" xfId="6386" xr:uid="{00000000-0005-0000-0000-000052130000}"/>
    <cellStyle name="Normal 4 2 4 2 2 6 3 2" xfId="15712" xr:uid="{7DAEBF8F-FA1D-479B-878C-E5CC7AB44969}"/>
    <cellStyle name="Normal 4 2 4 2 2 6 4" xfId="11495" xr:uid="{E8BBA627-B884-4D1E-A98C-745FC68FA753}"/>
    <cellStyle name="Normal 4 2 4 2 2 7" xfId="2516" xr:uid="{00000000-0005-0000-0000-000053130000}"/>
    <cellStyle name="Normal 4 2 4 2 2 7 2" xfId="6799" xr:uid="{00000000-0005-0000-0000-000054130000}"/>
    <cellStyle name="Normal 4 2 4 2 2 7 2 2" xfId="16125" xr:uid="{2CD4DEAE-BBB0-488E-8E6A-C57623304301}"/>
    <cellStyle name="Normal 4 2 4 2 2 7 3" xfId="11908" xr:uid="{E0280729-6C5F-4F47-A5A0-34C8D190BCBB}"/>
    <cellStyle name="Normal 4 2 4 2 2 8" xfId="4734" xr:uid="{00000000-0005-0000-0000-000055130000}"/>
    <cellStyle name="Normal 4 2 4 2 2 8 2" xfId="14060" xr:uid="{043603D2-E2C7-4AC4-BC09-8ACA60D14118}"/>
    <cellStyle name="Normal 4 2 4 2 2 9" xfId="8923" xr:uid="{2BBE6936-33B8-4624-9F85-2EE83C62ACB2}"/>
    <cellStyle name="Normal 4 2 4 2 2 9 2" xfId="18247" xr:uid="{7F9C1AAE-14D1-48A1-B33E-E8FD6D6876D5}"/>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0282BDF7-C605-43C9-9317-E7B2BB6AC8FB}"/>
    <cellStyle name="Normal 4 2 4 2 3 2 2 3" xfId="12403" xr:uid="{F3472444-6A3F-4799-9FFE-33466DD6991F}"/>
    <cellStyle name="Normal 4 2 4 2 3 2 3" xfId="5149" xr:uid="{00000000-0005-0000-0000-00005A130000}"/>
    <cellStyle name="Normal 4 2 4 2 3 2 3 2" xfId="14475" xr:uid="{D3EB83C7-BE94-4966-B3F2-202D81413745}"/>
    <cellStyle name="Normal 4 2 4 2 3 2 4" xfId="9452" xr:uid="{58F46659-8F00-4705-8554-54AEBE9B8A77}"/>
    <cellStyle name="Normal 4 2 4 2 3 2 4 2" xfId="18767" xr:uid="{3347E35B-0011-4CFE-B630-2A1DC252B77B}"/>
    <cellStyle name="Normal 4 2 4 2 3 2 5" xfId="10258" xr:uid="{A1759EF3-FB08-4BA6-9DD1-6226DB1563F8}"/>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5531950C-2794-4F50-9BE2-5C13A158C9DD}"/>
    <cellStyle name="Normal 4 2 4 2 3 3 2 3" xfId="12816" xr:uid="{70B563B6-4063-49ED-94C6-14CAD35DAE5B}"/>
    <cellStyle name="Normal 4 2 4 2 3 3 3" xfId="5562" xr:uid="{00000000-0005-0000-0000-00005E130000}"/>
    <cellStyle name="Normal 4 2 4 2 3 3 3 2" xfId="14888" xr:uid="{961143D3-3599-4EF3-84D9-216223EE9EA7}"/>
    <cellStyle name="Normal 4 2 4 2 3 3 4" xfId="10671" xr:uid="{FE79040C-357E-45CD-83BA-51330A2319AF}"/>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5E361BD9-F066-49A0-9F99-50564ABD4F14}"/>
    <cellStyle name="Normal 4 2 4 2 3 4 2 3" xfId="13229" xr:uid="{750D8F65-7EEC-48BE-8F0B-3DA68546FD3F}"/>
    <cellStyle name="Normal 4 2 4 2 3 4 3" xfId="5975" xr:uid="{00000000-0005-0000-0000-000062130000}"/>
    <cellStyle name="Normal 4 2 4 2 3 4 3 2" xfId="15301" xr:uid="{1DAB0549-FA5C-4B68-8D60-0F83DC8359A5}"/>
    <cellStyle name="Normal 4 2 4 2 3 4 4" xfId="11084" xr:uid="{5D70AB79-87A4-411C-A782-1AE5EDC5F90C}"/>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4187CB3E-F471-425C-8A50-F46C0493BBF7}"/>
    <cellStyle name="Normal 4 2 4 2 3 5 2 3" xfId="13642" xr:uid="{EBEBF922-E0D5-47AF-A7D0-17F5E664BECA}"/>
    <cellStyle name="Normal 4 2 4 2 3 5 3" xfId="6388" xr:uid="{00000000-0005-0000-0000-000066130000}"/>
    <cellStyle name="Normal 4 2 4 2 3 5 3 2" xfId="15714" xr:uid="{AA820E16-D22D-476E-9CBF-247140A1CDE2}"/>
    <cellStyle name="Normal 4 2 4 2 3 5 4" xfId="11497" xr:uid="{07392CD5-3690-42A2-A4AC-2B59B4159CCA}"/>
    <cellStyle name="Normal 4 2 4 2 3 6" xfId="2518" xr:uid="{00000000-0005-0000-0000-000067130000}"/>
    <cellStyle name="Normal 4 2 4 2 3 6 2" xfId="6801" xr:uid="{00000000-0005-0000-0000-000068130000}"/>
    <cellStyle name="Normal 4 2 4 2 3 6 2 2" xfId="16127" xr:uid="{63A558DF-7391-4BF1-B82B-11BE1A7D7F90}"/>
    <cellStyle name="Normal 4 2 4 2 3 6 3" xfId="11910" xr:uid="{957E74DD-C736-446C-8907-1B1C84964E3C}"/>
    <cellStyle name="Normal 4 2 4 2 3 7" xfId="4736" xr:uid="{00000000-0005-0000-0000-000069130000}"/>
    <cellStyle name="Normal 4 2 4 2 3 7 2" xfId="14062" xr:uid="{9D38E6CE-78E8-4492-924D-A4A0D1624F86}"/>
    <cellStyle name="Normal 4 2 4 2 3 8" xfId="9027" xr:uid="{DA430019-E492-48BB-ACD5-5BE853C50FBC}"/>
    <cellStyle name="Normal 4 2 4 2 3 8 2" xfId="18351" xr:uid="{03F58B43-37B1-4934-BC76-6E80E81A3C34}"/>
    <cellStyle name="Normal 4 2 4 2 3 9" xfId="9845" xr:uid="{F19FDEF0-E61A-40D6-AA9D-175255E0ED07}"/>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3E079428-3F73-4698-81C7-D48C26AE2415}"/>
    <cellStyle name="Normal 4 2 4 2 4 2 3" xfId="12400" xr:uid="{7A8D180B-E7EB-40EC-9C53-C461E4575413}"/>
    <cellStyle name="Normal 4 2 4 2 4 3" xfId="5146" xr:uid="{00000000-0005-0000-0000-00006D130000}"/>
    <cellStyle name="Normal 4 2 4 2 4 3 2" xfId="14472" xr:uid="{6D45ED7E-FB17-4F01-823B-9D4849EFCD92}"/>
    <cellStyle name="Normal 4 2 4 2 4 4" xfId="9245" xr:uid="{A0383DD8-843E-4601-922A-5CDD979D0589}"/>
    <cellStyle name="Normal 4 2 4 2 4 4 2" xfId="18560" xr:uid="{7CE79ED6-29E2-4828-AB8C-CA9472B08427}"/>
    <cellStyle name="Normal 4 2 4 2 4 5" xfId="10255" xr:uid="{47F19D66-DA83-414F-8AE6-E542D85808F5}"/>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D68411F7-4778-4B23-8633-DFC0448E57A5}"/>
    <cellStyle name="Normal 4 2 4 2 5 2 3" xfId="12813" xr:uid="{C93F2996-5ED9-4CD8-BE87-0E9CC9CD7D4B}"/>
    <cellStyle name="Normal 4 2 4 2 5 3" xfId="5559" xr:uid="{00000000-0005-0000-0000-000071130000}"/>
    <cellStyle name="Normal 4 2 4 2 5 3 2" xfId="14885" xr:uid="{41EA0649-2BA7-4DB1-8C70-1E34221B7938}"/>
    <cellStyle name="Normal 4 2 4 2 5 4" xfId="10668" xr:uid="{C1501FD6-1355-4566-9AD7-BBE9E5A60CF0}"/>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40920D23-D351-4E18-AD5A-8AF6467138C6}"/>
    <cellStyle name="Normal 4 2 4 2 6 2 3" xfId="13226" xr:uid="{589D21EB-3E35-4299-8BB2-B78867314386}"/>
    <cellStyle name="Normal 4 2 4 2 6 3" xfId="5972" xr:uid="{00000000-0005-0000-0000-000075130000}"/>
    <cellStyle name="Normal 4 2 4 2 6 3 2" xfId="15298" xr:uid="{F2FCE4E8-F8B3-46A1-A5C9-BEDC051E697B}"/>
    <cellStyle name="Normal 4 2 4 2 6 4" xfId="11081" xr:uid="{FD976036-1B54-4D77-ADEB-A804A8BBF03B}"/>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38842864-AF29-432F-8956-688F4BC47A76}"/>
    <cellStyle name="Normal 4 2 4 2 7 2 3" xfId="13639" xr:uid="{CC5466A0-8129-4236-977A-DC5D6355324A}"/>
    <cellStyle name="Normal 4 2 4 2 7 3" xfId="6385" xr:uid="{00000000-0005-0000-0000-000079130000}"/>
    <cellStyle name="Normal 4 2 4 2 7 3 2" xfId="15711" xr:uid="{06020F09-4932-47A8-9548-D5920CEC3918}"/>
    <cellStyle name="Normal 4 2 4 2 7 4" xfId="11494" xr:uid="{B0337829-A9AC-486C-B765-E73560713B6B}"/>
    <cellStyle name="Normal 4 2 4 2 8" xfId="2515" xr:uid="{00000000-0005-0000-0000-00007A130000}"/>
    <cellStyle name="Normal 4 2 4 2 8 2" xfId="6798" xr:uid="{00000000-0005-0000-0000-00007B130000}"/>
    <cellStyle name="Normal 4 2 4 2 8 2 2" xfId="16124" xr:uid="{F8E97A65-EBAD-4319-AA0A-492BC1361EFE}"/>
    <cellStyle name="Normal 4 2 4 2 8 3" xfId="11907" xr:uid="{5E742587-3F4A-4062-8E48-14DA3D2E5C9B}"/>
    <cellStyle name="Normal 4 2 4 2 9" xfId="4733" xr:uid="{00000000-0005-0000-0000-00007C130000}"/>
    <cellStyle name="Normal 4 2 4 2 9 2" xfId="14059" xr:uid="{2CBA86BC-81FA-4DE8-A735-2D89A9A9ABB7}"/>
    <cellStyle name="Normal 4 2 4 3" xfId="360" xr:uid="{00000000-0005-0000-0000-00007D130000}"/>
    <cellStyle name="Normal 4 2 4 3 10" xfId="9846" xr:uid="{CA855189-4C4B-4E32-B589-8E5D1E847DD3}"/>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31A6CCF9-238F-467B-88D3-6B0A89EF0D86}"/>
    <cellStyle name="Normal 4 2 4 3 2 2 2 3" xfId="12405" xr:uid="{46DC8BFD-F40A-414E-A95E-0F3E7B902ECC}"/>
    <cellStyle name="Normal 4 2 4 3 2 2 3" xfId="5151" xr:uid="{00000000-0005-0000-0000-000082130000}"/>
    <cellStyle name="Normal 4 2 4 3 2 2 3 2" xfId="14477" xr:uid="{2C87EF2C-E3C0-47F6-A74C-615B44CA9BCC}"/>
    <cellStyle name="Normal 4 2 4 3 2 2 4" xfId="9510" xr:uid="{AA534F18-B7F5-44D9-AE7D-03E6DE45E4F9}"/>
    <cellStyle name="Normal 4 2 4 3 2 2 4 2" xfId="18825" xr:uid="{F4164C3A-7D6A-417C-802F-4E6BA7225999}"/>
    <cellStyle name="Normal 4 2 4 3 2 2 5" xfId="10260" xr:uid="{9CF484F4-FA53-4EDB-90AD-8B95B81D2FB6}"/>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787C293A-DCA8-4BFD-8843-77F46985FFAA}"/>
    <cellStyle name="Normal 4 2 4 3 2 3 2 3" xfId="12818" xr:uid="{BC4F7BD4-FC71-4CA8-9172-E4CF3072F507}"/>
    <cellStyle name="Normal 4 2 4 3 2 3 3" xfId="5564" xr:uid="{00000000-0005-0000-0000-000086130000}"/>
    <cellStyle name="Normal 4 2 4 3 2 3 3 2" xfId="14890" xr:uid="{E2413E97-82A2-4D86-B58E-5958B4B68685}"/>
    <cellStyle name="Normal 4 2 4 3 2 3 4" xfId="10673" xr:uid="{229C07BA-BDC5-44BD-AC73-CCFC60047527}"/>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3111E580-9DA3-4D7A-A2AE-37D02F25211D}"/>
    <cellStyle name="Normal 4 2 4 3 2 4 2 3" xfId="13231" xr:uid="{3718CEA8-CFC8-460D-B6BA-2F3D6D315AB0}"/>
    <cellStyle name="Normal 4 2 4 3 2 4 3" xfId="5977" xr:uid="{00000000-0005-0000-0000-00008A130000}"/>
    <cellStyle name="Normal 4 2 4 3 2 4 3 2" xfId="15303" xr:uid="{3CBEF393-9845-4E29-A6B9-03DB0C6367DA}"/>
    <cellStyle name="Normal 4 2 4 3 2 4 4" xfId="11086" xr:uid="{04C74C61-73D4-4246-9ECC-27074DBCCA46}"/>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334AAFC7-343A-4384-891D-0CC43A322F64}"/>
    <cellStyle name="Normal 4 2 4 3 2 5 2 3" xfId="13644" xr:uid="{A20949CC-3AC0-42FA-BED4-9F67398B7DC6}"/>
    <cellStyle name="Normal 4 2 4 3 2 5 3" xfId="6390" xr:uid="{00000000-0005-0000-0000-00008E130000}"/>
    <cellStyle name="Normal 4 2 4 3 2 5 3 2" xfId="15716" xr:uid="{8760AE16-6DBE-49C4-BD0F-776E3A9FF2AA}"/>
    <cellStyle name="Normal 4 2 4 3 2 5 4" xfId="11499" xr:uid="{0AFDB156-9A67-4C77-A5BD-548968CD0179}"/>
    <cellStyle name="Normal 4 2 4 3 2 6" xfId="2520" xr:uid="{00000000-0005-0000-0000-00008F130000}"/>
    <cellStyle name="Normal 4 2 4 3 2 6 2" xfId="6803" xr:uid="{00000000-0005-0000-0000-000090130000}"/>
    <cellStyle name="Normal 4 2 4 3 2 6 2 2" xfId="16129" xr:uid="{9585DAEB-7561-4D45-BBAA-A86F50D966F7}"/>
    <cellStyle name="Normal 4 2 4 3 2 6 3" xfId="11912" xr:uid="{DFEE93FD-2005-46F0-A60F-536378C358E6}"/>
    <cellStyle name="Normal 4 2 4 3 2 7" xfId="4738" xr:uid="{00000000-0005-0000-0000-000091130000}"/>
    <cellStyle name="Normal 4 2 4 3 2 7 2" xfId="14064" xr:uid="{3FFE6C21-86A7-4284-9C32-17106450D42A}"/>
    <cellStyle name="Normal 4 2 4 3 2 8" xfId="9085" xr:uid="{0181E53C-86DC-4588-8447-D559FCF01541}"/>
    <cellStyle name="Normal 4 2 4 3 2 8 2" xfId="18409" xr:uid="{954650A9-E9AA-48CD-A520-683EF1AE0CB4}"/>
    <cellStyle name="Normal 4 2 4 3 2 9" xfId="9847" xr:uid="{416DCBFD-55E0-4324-9F6B-182FDEBA6449}"/>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A155F5EC-6010-451C-B2CA-D6A8BFB6FE55}"/>
    <cellStyle name="Normal 4 2 4 3 3 2 3" xfId="12404" xr:uid="{7238B0DE-BF38-4A6D-B4F4-39A9F9A088C9}"/>
    <cellStyle name="Normal 4 2 4 3 3 3" xfId="5150" xr:uid="{00000000-0005-0000-0000-000095130000}"/>
    <cellStyle name="Normal 4 2 4 3 3 3 2" xfId="14476" xr:uid="{95B826E6-E1B8-43F2-B4D0-D10CAFA9588D}"/>
    <cellStyle name="Normal 4 2 4 3 3 4" xfId="9303" xr:uid="{51CE977A-E9B9-47DD-B6CE-3ECF34A578F1}"/>
    <cellStyle name="Normal 4 2 4 3 3 4 2" xfId="18618" xr:uid="{27DD8101-3C0B-4503-AC11-F454515980D8}"/>
    <cellStyle name="Normal 4 2 4 3 3 5" xfId="10259" xr:uid="{C184C5D3-D6CD-4446-B4DF-C8B45B03576E}"/>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F2EF18F5-A89E-45EB-AEE1-F01F6AF590E3}"/>
    <cellStyle name="Normal 4 2 4 3 4 2 3" xfId="12817" xr:uid="{5DCF4081-93D7-4B24-8564-32B55E59745C}"/>
    <cellStyle name="Normal 4 2 4 3 4 3" xfId="5563" xr:uid="{00000000-0005-0000-0000-000099130000}"/>
    <cellStyle name="Normal 4 2 4 3 4 3 2" xfId="14889" xr:uid="{C80FC372-6A03-40CB-A8A0-85683CB69A88}"/>
    <cellStyle name="Normal 4 2 4 3 4 4" xfId="10672" xr:uid="{BA6FCFC0-C6A2-461B-BA9A-B1E1EE2DE0A1}"/>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4A0CF5F8-AD6F-4749-91B0-2AA9FB6C3D54}"/>
    <cellStyle name="Normal 4 2 4 3 5 2 3" xfId="13230" xr:uid="{C7206AFA-75F9-48EC-A3DA-06C76E3C911E}"/>
    <cellStyle name="Normal 4 2 4 3 5 3" xfId="5976" xr:uid="{00000000-0005-0000-0000-00009D130000}"/>
    <cellStyle name="Normal 4 2 4 3 5 3 2" xfId="15302" xr:uid="{8F8C12E0-6B82-46AE-B202-55969A49BDE3}"/>
    <cellStyle name="Normal 4 2 4 3 5 4" xfId="11085" xr:uid="{5813FD1B-8F73-4260-A89F-E6F083C191E2}"/>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04D90D8E-33F1-4AA8-A95B-FCC8BF074050}"/>
    <cellStyle name="Normal 4 2 4 3 6 2 3" xfId="13643" xr:uid="{373C3871-F9A4-486E-B7B7-FB44FAF2A9F3}"/>
    <cellStyle name="Normal 4 2 4 3 6 3" xfId="6389" xr:uid="{00000000-0005-0000-0000-0000A1130000}"/>
    <cellStyle name="Normal 4 2 4 3 6 3 2" xfId="15715" xr:uid="{F8594692-8FF5-47B6-A74C-BFD4FC1279AE}"/>
    <cellStyle name="Normal 4 2 4 3 6 4" xfId="11498" xr:uid="{EB54FC64-DEB3-4D49-B916-548D7A0F827E}"/>
    <cellStyle name="Normal 4 2 4 3 7" xfId="2519" xr:uid="{00000000-0005-0000-0000-0000A2130000}"/>
    <cellStyle name="Normal 4 2 4 3 7 2" xfId="6802" xr:uid="{00000000-0005-0000-0000-0000A3130000}"/>
    <cellStyle name="Normal 4 2 4 3 7 2 2" xfId="16128" xr:uid="{6788679A-97A2-4299-82CE-CFC1C4202B46}"/>
    <cellStyle name="Normal 4 2 4 3 7 3" xfId="11911" xr:uid="{F58084A6-732F-49EB-AAB4-FACD93E35381}"/>
    <cellStyle name="Normal 4 2 4 3 8" xfId="4737" xr:uid="{00000000-0005-0000-0000-0000A4130000}"/>
    <cellStyle name="Normal 4 2 4 3 8 2" xfId="14063" xr:uid="{88E025AE-53A9-426A-A098-B5656B3783F4}"/>
    <cellStyle name="Normal 4 2 4 3 9" xfId="8878" xr:uid="{B73EE68A-BBFC-4E7A-B773-E14FCCFC8837}"/>
    <cellStyle name="Normal 4 2 4 3 9 2" xfId="18202" xr:uid="{DB4421DD-2D55-45D8-BCDE-299B8C7B09F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72AD2E92-4696-4FC2-9E29-6FDFA8DFB7B9}"/>
    <cellStyle name="Normal 4 2 4 4 2 2 3" xfId="12406" xr:uid="{A838B8D6-5F23-4E3E-BC04-212876FD8C74}"/>
    <cellStyle name="Normal 4 2 4 4 2 3" xfId="5152" xr:uid="{00000000-0005-0000-0000-0000A9130000}"/>
    <cellStyle name="Normal 4 2 4 4 2 3 2" xfId="14478" xr:uid="{70F5D3CF-15DF-4D80-B891-737387BC4388}"/>
    <cellStyle name="Normal 4 2 4 4 2 4" xfId="9407" xr:uid="{5D8D6A7A-388E-41EC-80E9-28307FA015D6}"/>
    <cellStyle name="Normal 4 2 4 4 2 4 2" xfId="18722" xr:uid="{FD12E422-53B1-4467-9716-EDC6BF738847}"/>
    <cellStyle name="Normal 4 2 4 4 2 5" xfId="10261" xr:uid="{44478DAF-375D-41BB-93F4-308D26960056}"/>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48407D53-C53B-473B-918C-FB765017355A}"/>
    <cellStyle name="Normal 4 2 4 4 3 2 3" xfId="12819" xr:uid="{B1057D1A-A5D6-4C3C-BCE7-02D660BCCE34}"/>
    <cellStyle name="Normal 4 2 4 4 3 3" xfId="5565" xr:uid="{00000000-0005-0000-0000-0000AD130000}"/>
    <cellStyle name="Normal 4 2 4 4 3 3 2" xfId="14891" xr:uid="{8D9705B1-E675-4F05-84A1-910EF7E55E42}"/>
    <cellStyle name="Normal 4 2 4 4 3 4" xfId="10674" xr:uid="{4D676E5B-C63B-46AE-A028-AF4C6D907D57}"/>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568D8F41-3322-4190-8612-0DF35FA3280E}"/>
    <cellStyle name="Normal 4 2 4 4 4 2 3" xfId="13232" xr:uid="{E8931D54-8DBB-49BC-B90A-BCB06AA78FBB}"/>
    <cellStyle name="Normal 4 2 4 4 4 3" xfId="5978" xr:uid="{00000000-0005-0000-0000-0000B1130000}"/>
    <cellStyle name="Normal 4 2 4 4 4 3 2" xfId="15304" xr:uid="{44AC14D5-0B4B-493E-8169-B08891907AFB}"/>
    <cellStyle name="Normal 4 2 4 4 4 4" xfId="11087" xr:uid="{86E81243-2EF4-465E-A5D2-01C62E9C03F9}"/>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503977D2-2B4F-450A-AA37-66DF8A92A695}"/>
    <cellStyle name="Normal 4 2 4 4 5 2 3" xfId="13645" xr:uid="{F043A82D-3BC2-40D0-B7B4-B76E669DCA49}"/>
    <cellStyle name="Normal 4 2 4 4 5 3" xfId="6391" xr:uid="{00000000-0005-0000-0000-0000B5130000}"/>
    <cellStyle name="Normal 4 2 4 4 5 3 2" xfId="15717" xr:uid="{4AA6AE50-C759-498B-9894-450787975925}"/>
    <cellStyle name="Normal 4 2 4 4 5 4" xfId="11500" xr:uid="{731DE473-FDF0-4C18-A295-E74444DE086B}"/>
    <cellStyle name="Normal 4 2 4 4 6" xfId="2521" xr:uid="{00000000-0005-0000-0000-0000B6130000}"/>
    <cellStyle name="Normal 4 2 4 4 6 2" xfId="6804" xr:uid="{00000000-0005-0000-0000-0000B7130000}"/>
    <cellStyle name="Normal 4 2 4 4 6 2 2" xfId="16130" xr:uid="{42B63BC6-1C18-40BE-BD63-66650FF0E4EC}"/>
    <cellStyle name="Normal 4 2 4 4 6 3" xfId="11913" xr:uid="{ED83F46C-CA97-4ED9-A990-928601116C83}"/>
    <cellStyle name="Normal 4 2 4 4 7" xfId="4739" xr:uid="{00000000-0005-0000-0000-0000B8130000}"/>
    <cellStyle name="Normal 4 2 4 4 7 2" xfId="14065" xr:uid="{5453E050-B2A4-4622-BFAF-ED8F844EC50D}"/>
    <cellStyle name="Normal 4 2 4 4 8" xfId="8982" xr:uid="{4C273C9B-E12E-4EF2-812F-666600229207}"/>
    <cellStyle name="Normal 4 2 4 4 8 2" xfId="18306" xr:uid="{5998FB7A-D0EB-46CA-B0CB-6383D99AA183}"/>
    <cellStyle name="Normal 4 2 4 4 9" xfId="9848" xr:uid="{D07A885A-1C13-4D68-B681-0F4243AF6045}"/>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9E0FEA47-05C2-4AD9-9B13-2DA21E7E7065}"/>
    <cellStyle name="Normal 4 2 4 5 2 3" xfId="12399" xr:uid="{0916AB7D-DB32-4E18-BCA0-920BFFAF16FD}"/>
    <cellStyle name="Normal 4 2 4 5 3" xfId="5145" xr:uid="{00000000-0005-0000-0000-0000BC130000}"/>
    <cellStyle name="Normal 4 2 4 5 3 2" xfId="14471" xr:uid="{57F9DF1D-058A-4682-95D4-BF75EE185087}"/>
    <cellStyle name="Normal 4 2 4 5 4" xfId="9199" xr:uid="{1A9A2DC3-2FEA-4A30-A92C-84708E9B2741}"/>
    <cellStyle name="Normal 4 2 4 5 4 2" xfId="18515" xr:uid="{3D100314-569C-4CE5-8171-B63E3D38B4A6}"/>
    <cellStyle name="Normal 4 2 4 5 5" xfId="10254" xr:uid="{189EF70D-17F1-41F3-B506-EC1828157DF3}"/>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B5BE920E-E1F5-442D-8266-67D9FC3A31E7}"/>
    <cellStyle name="Normal 4 2 4 6 2 3" xfId="12812" xr:uid="{35D62EDE-CDD4-49DD-ACE6-156A5D8EC25B}"/>
    <cellStyle name="Normal 4 2 4 6 3" xfId="5558" xr:uid="{00000000-0005-0000-0000-0000C0130000}"/>
    <cellStyle name="Normal 4 2 4 6 3 2" xfId="14884" xr:uid="{070BB0B5-FA74-4F77-BF6E-CB9ABA9DC1D6}"/>
    <cellStyle name="Normal 4 2 4 6 4" xfId="10667" xr:uid="{7BF09864-24E1-4878-8FB1-7D814A46C960}"/>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02AC4E26-5C75-4092-ACD3-5D6F891AF16D}"/>
    <cellStyle name="Normal 4 2 4 7 2 3" xfId="13225" xr:uid="{605E8DED-2077-4529-821A-93CFE6DBC445}"/>
    <cellStyle name="Normal 4 2 4 7 3" xfId="5971" xr:uid="{00000000-0005-0000-0000-0000C4130000}"/>
    <cellStyle name="Normal 4 2 4 7 3 2" xfId="15297" xr:uid="{2BE17F04-0B10-454F-A5CB-D06FA2231ED8}"/>
    <cellStyle name="Normal 4 2 4 7 4" xfId="11080" xr:uid="{0F502F36-6502-4BE8-9E40-3034DC14D12D}"/>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2A0D9C35-A02B-4159-8DC4-BA201032B619}"/>
    <cellStyle name="Normal 4 2 4 8 2 3" xfId="13638" xr:uid="{7B14AA55-88B8-4817-A71A-326F1D420340}"/>
    <cellStyle name="Normal 4 2 4 8 3" xfId="6384" xr:uid="{00000000-0005-0000-0000-0000C8130000}"/>
    <cellStyle name="Normal 4 2 4 8 3 2" xfId="15710" xr:uid="{CAD35C46-F13F-486F-8095-235F8D81AC3A}"/>
    <cellStyle name="Normal 4 2 4 8 4" xfId="11493" xr:uid="{6FADE178-24D7-4590-AEA6-A1DEA6ECE333}"/>
    <cellStyle name="Normal 4 2 4 9" xfId="2514" xr:uid="{00000000-0005-0000-0000-0000C9130000}"/>
    <cellStyle name="Normal 4 2 4 9 2" xfId="6797" xr:uid="{00000000-0005-0000-0000-0000CA130000}"/>
    <cellStyle name="Normal 4 2 4 9 2 2" xfId="16123" xr:uid="{805058F9-4DBB-447D-AE20-4DF51EEC3391}"/>
    <cellStyle name="Normal 4 2 4 9 3" xfId="11906" xr:uid="{4A399272-0606-494F-AC80-F7623ECFACD5}"/>
    <cellStyle name="Normal 4 2 5" xfId="363" xr:uid="{00000000-0005-0000-0000-0000CB130000}"/>
    <cellStyle name="Normal 4 2 5 10" xfId="9849" xr:uid="{E62F1FF8-D62E-47A6-9971-95F63A089581}"/>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A4750D45-BF3E-42AE-8562-CEE064B22845}"/>
    <cellStyle name="Normal 4 2 5 2 2 2 3" xfId="12408" xr:uid="{98730AE4-E4FD-4EA3-9ABB-4B67422446BB}"/>
    <cellStyle name="Normal 4 2 5 2 2 3" xfId="5154" xr:uid="{00000000-0005-0000-0000-0000D0130000}"/>
    <cellStyle name="Normal 4 2 5 2 2 3 2" xfId="14480" xr:uid="{4AA371C3-AD10-4F27-8D75-DC475476CF64}"/>
    <cellStyle name="Normal 4 2 5 2 2 4" xfId="9478" xr:uid="{9FEAEEC2-067D-4244-BB0F-0858128140EB}"/>
    <cellStyle name="Normal 4 2 5 2 2 4 2" xfId="18793" xr:uid="{4882C858-3C6C-4890-A8F9-EC05D4A4CB9F}"/>
    <cellStyle name="Normal 4 2 5 2 2 5" xfId="10263" xr:uid="{5FB12586-ECB2-40B2-9961-EB91574D9082}"/>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8EB15A54-4861-408E-BC3F-A70E18CEA220}"/>
    <cellStyle name="Normal 4 2 5 2 3 2 3" xfId="12821" xr:uid="{1BDFF2FB-A842-459A-8817-28889BDC0962}"/>
    <cellStyle name="Normal 4 2 5 2 3 3" xfId="5567" xr:uid="{00000000-0005-0000-0000-0000D4130000}"/>
    <cellStyle name="Normal 4 2 5 2 3 3 2" xfId="14893" xr:uid="{CAB8BED1-5205-4E8A-B011-3DF1746C9A5C}"/>
    <cellStyle name="Normal 4 2 5 2 3 4" xfId="10676" xr:uid="{BD386FBE-9A28-498F-BCC4-BC9CE6340E4B}"/>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76C0AC1A-9CC0-4DBA-823A-EC35CF6D2DCE}"/>
    <cellStyle name="Normal 4 2 5 2 4 2 3" xfId="13234" xr:uid="{8F71019A-F3DC-4416-9DE0-9D477476C5CA}"/>
    <cellStyle name="Normal 4 2 5 2 4 3" xfId="5980" xr:uid="{00000000-0005-0000-0000-0000D8130000}"/>
    <cellStyle name="Normal 4 2 5 2 4 3 2" xfId="15306" xr:uid="{6CA2B7B9-E6BB-4D39-B0E2-31C55AADBF11}"/>
    <cellStyle name="Normal 4 2 5 2 4 4" xfId="11089" xr:uid="{A362E926-23FA-4FEE-B4B5-6666A24252B2}"/>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353AD56A-6188-44CD-B887-DAF2E773BA3A}"/>
    <cellStyle name="Normal 4 2 5 2 5 2 3" xfId="13647" xr:uid="{A10254D8-229C-417C-8814-9145920F78CA}"/>
    <cellStyle name="Normal 4 2 5 2 5 3" xfId="6393" xr:uid="{00000000-0005-0000-0000-0000DC130000}"/>
    <cellStyle name="Normal 4 2 5 2 5 3 2" xfId="15719" xr:uid="{6F4BBDCC-A8E1-4599-9CB7-9610962DD58F}"/>
    <cellStyle name="Normal 4 2 5 2 5 4" xfId="11502" xr:uid="{07188C7B-56FF-42E0-8BF1-6689FC8B1D7D}"/>
    <cellStyle name="Normal 4 2 5 2 6" xfId="2523" xr:uid="{00000000-0005-0000-0000-0000DD130000}"/>
    <cellStyle name="Normal 4 2 5 2 6 2" xfId="6806" xr:uid="{00000000-0005-0000-0000-0000DE130000}"/>
    <cellStyle name="Normal 4 2 5 2 6 2 2" xfId="16132" xr:uid="{6579AD63-AAA3-420D-BE1E-9404927AEA56}"/>
    <cellStyle name="Normal 4 2 5 2 6 3" xfId="11915" xr:uid="{F13BF82C-516E-45A0-AAEB-567702D679DB}"/>
    <cellStyle name="Normal 4 2 5 2 7" xfId="4741" xr:uid="{00000000-0005-0000-0000-0000DF130000}"/>
    <cellStyle name="Normal 4 2 5 2 7 2" xfId="14067" xr:uid="{48B26800-C141-4A8F-8FA4-E79414BAF9AD}"/>
    <cellStyle name="Normal 4 2 5 2 8" xfId="9053" xr:uid="{0AE18A98-D9E6-47B9-86B0-DDAD3BC77B48}"/>
    <cellStyle name="Normal 4 2 5 2 8 2" xfId="18377" xr:uid="{D103404D-5F82-4F11-BF33-08C2D1EE0EC5}"/>
    <cellStyle name="Normal 4 2 5 2 9" xfId="9850" xr:uid="{B7AC3ED5-7551-46D5-8372-3A2BD7D1D899}"/>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B7F9A7FC-796F-45C7-8BDE-8B4C82085223}"/>
    <cellStyle name="Normal 4 2 5 3 2 3" xfId="12407" xr:uid="{9982E07D-BA5F-4FBC-BAC8-F836F6457DA1}"/>
    <cellStyle name="Normal 4 2 5 3 3" xfId="5153" xr:uid="{00000000-0005-0000-0000-0000E3130000}"/>
    <cellStyle name="Normal 4 2 5 3 3 2" xfId="14479" xr:uid="{5CC29A22-0309-41A9-8285-29947763A7DE}"/>
    <cellStyle name="Normal 4 2 5 3 4" xfId="9271" xr:uid="{41AE7BB1-E3C7-48BD-B24F-55AE39E68BB6}"/>
    <cellStyle name="Normal 4 2 5 3 4 2" xfId="18586" xr:uid="{A02EED64-67C5-4ECC-9CEF-1F8EF0185393}"/>
    <cellStyle name="Normal 4 2 5 3 5" xfId="10262" xr:uid="{35B2CA1B-AA31-489E-8153-DD05285ED636}"/>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49EFD06E-140F-4F74-93EA-464739C820C8}"/>
    <cellStyle name="Normal 4 2 5 4 2 3" xfId="12820" xr:uid="{51E22346-94DC-4BCB-982C-E7BE48631A8A}"/>
    <cellStyle name="Normal 4 2 5 4 3" xfId="5566" xr:uid="{00000000-0005-0000-0000-0000E7130000}"/>
    <cellStyle name="Normal 4 2 5 4 3 2" xfId="14892" xr:uid="{F56DCBA0-DEDA-48FC-888A-CC88FABF3886}"/>
    <cellStyle name="Normal 4 2 5 4 4" xfId="10675" xr:uid="{34EDD5F6-B285-4C90-B242-9C367D07BB9D}"/>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BEB55137-A9DA-4A56-BC00-20B941C28012}"/>
    <cellStyle name="Normal 4 2 5 5 2 3" xfId="13233" xr:uid="{B63247EE-50B2-4BDC-8765-91A640448349}"/>
    <cellStyle name="Normal 4 2 5 5 3" xfId="5979" xr:uid="{00000000-0005-0000-0000-0000EB130000}"/>
    <cellStyle name="Normal 4 2 5 5 3 2" xfId="15305" xr:uid="{E41FD682-4628-4DD0-8835-17BFB731F111}"/>
    <cellStyle name="Normal 4 2 5 5 4" xfId="11088" xr:uid="{3BEFE759-AF82-4CF7-834C-60129361059D}"/>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76FB2C06-22E3-4E84-93DE-34686E098215}"/>
    <cellStyle name="Normal 4 2 5 6 2 3" xfId="13646" xr:uid="{D9BA565E-B63B-43C6-834E-D7ED96ABFB34}"/>
    <cellStyle name="Normal 4 2 5 6 3" xfId="6392" xr:uid="{00000000-0005-0000-0000-0000EF130000}"/>
    <cellStyle name="Normal 4 2 5 6 3 2" xfId="15718" xr:uid="{2329D761-BECB-4EEC-A2B2-8C30754BC703}"/>
    <cellStyle name="Normal 4 2 5 6 4" xfId="11501" xr:uid="{AA470562-DF29-4B04-8C52-DDC7B9B275F7}"/>
    <cellStyle name="Normal 4 2 5 7" xfId="2522" xr:uid="{00000000-0005-0000-0000-0000F0130000}"/>
    <cellStyle name="Normal 4 2 5 7 2" xfId="6805" xr:uid="{00000000-0005-0000-0000-0000F1130000}"/>
    <cellStyle name="Normal 4 2 5 7 2 2" xfId="16131" xr:uid="{BCCD9140-2353-4848-B351-A8A254296A17}"/>
    <cellStyle name="Normal 4 2 5 7 3" xfId="11914" xr:uid="{467A9431-F725-496F-ACA1-A6D81356AE16}"/>
    <cellStyle name="Normal 4 2 5 8" xfId="4740" xr:uid="{00000000-0005-0000-0000-0000F2130000}"/>
    <cellStyle name="Normal 4 2 5 8 2" xfId="14066" xr:uid="{0795191B-0F01-48FE-93E9-07B7D6CACB52}"/>
    <cellStyle name="Normal 4 2 5 9" xfId="8846" xr:uid="{C69C7E2D-02E8-4C87-9C63-A39D0E37A062}"/>
    <cellStyle name="Normal 4 2 5 9 2" xfId="18170" xr:uid="{5735DF6A-7661-4644-8EBE-9F51AA713519}"/>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FD377507-AA03-4BFE-BC31-4150A177EDDB}"/>
    <cellStyle name="Normal 4 2 6 2 2 3" xfId="12409" xr:uid="{B21DDBA4-8405-4DBA-A0F1-5BC6612C7865}"/>
    <cellStyle name="Normal 4 2 6 2 3" xfId="5155" xr:uid="{00000000-0005-0000-0000-0000F7130000}"/>
    <cellStyle name="Normal 4 2 6 2 3 2" xfId="14481" xr:uid="{F7D01E8E-78EB-4E06-86C4-7B560C7A9D67}"/>
    <cellStyle name="Normal 4 2 6 2 4" xfId="9387" xr:uid="{933EA8C7-37F7-4AF2-922A-47A5CB1A47BC}"/>
    <cellStyle name="Normal 4 2 6 2 4 2" xfId="18702" xr:uid="{2811E08A-46AD-42EE-86FB-74D3A75A899E}"/>
    <cellStyle name="Normal 4 2 6 2 5" xfId="10264" xr:uid="{A5BE0EB0-3C26-4003-9181-AAEBE0D02770}"/>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DD42BAD4-89C9-4DD6-B117-0446577F3724}"/>
    <cellStyle name="Normal 4 2 6 3 2 3" xfId="12822" xr:uid="{FD6909A9-1A5B-4CF3-8E73-394D10037C72}"/>
    <cellStyle name="Normal 4 2 6 3 3" xfId="5568" xr:uid="{00000000-0005-0000-0000-0000FB130000}"/>
    <cellStyle name="Normal 4 2 6 3 3 2" xfId="14894" xr:uid="{0F7BB681-0CE4-409C-AF10-28520FAF8069}"/>
    <cellStyle name="Normal 4 2 6 3 4" xfId="10677" xr:uid="{A917B81B-50FF-40E8-A66E-A718DF445275}"/>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691073F5-A4D6-483E-8EB0-A2056FBD5DCC}"/>
    <cellStyle name="Normal 4 2 6 4 2 3" xfId="13235" xr:uid="{79FC2FD1-4D9C-4626-B905-C946C4C9107B}"/>
    <cellStyle name="Normal 4 2 6 4 3" xfId="5981" xr:uid="{00000000-0005-0000-0000-0000FF130000}"/>
    <cellStyle name="Normal 4 2 6 4 3 2" xfId="15307" xr:uid="{1476FBCB-3D59-455E-98FE-AC33D2793555}"/>
    <cellStyle name="Normal 4 2 6 4 4" xfId="11090" xr:uid="{B6BC445D-B7E7-4C98-A4EF-C7518F6963D8}"/>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2FF7C453-D330-484E-A10E-016C340845D0}"/>
    <cellStyle name="Normal 4 2 6 5 2 3" xfId="13648" xr:uid="{0DB2CCB5-0E2B-401D-883E-1F55F91DB440}"/>
    <cellStyle name="Normal 4 2 6 5 3" xfId="6394" xr:uid="{00000000-0005-0000-0000-000003140000}"/>
    <cellStyle name="Normal 4 2 6 5 3 2" xfId="15720" xr:uid="{A1B068A5-0F85-4756-9ED1-35E6B6FBE6AA}"/>
    <cellStyle name="Normal 4 2 6 5 4" xfId="11503" xr:uid="{9EAC2FDF-98B2-4F51-A3F5-09F81ABA89F3}"/>
    <cellStyle name="Normal 4 2 6 6" xfId="2524" xr:uid="{00000000-0005-0000-0000-000004140000}"/>
    <cellStyle name="Normal 4 2 6 6 2" xfId="6807" xr:uid="{00000000-0005-0000-0000-000005140000}"/>
    <cellStyle name="Normal 4 2 6 6 2 2" xfId="16133" xr:uid="{949C333F-3B30-4D52-8D36-473B8EB6A216}"/>
    <cellStyle name="Normal 4 2 6 6 3" xfId="11916" xr:uid="{699647D4-874F-4108-A6B0-BF7DED50B009}"/>
    <cellStyle name="Normal 4 2 6 7" xfId="4742" xr:uid="{00000000-0005-0000-0000-000006140000}"/>
    <cellStyle name="Normal 4 2 6 7 2" xfId="14068" xr:uid="{5AE195A2-489C-4CFB-B7DF-6BB09DBAFA22}"/>
    <cellStyle name="Normal 4 2 6 8" xfId="8962" xr:uid="{1A1596D6-3914-4465-A638-E540359059D2}"/>
    <cellStyle name="Normal 4 2 6 8 2" xfId="18286" xr:uid="{375BFD01-67B9-465A-9DA8-D6A8B1DC3810}"/>
    <cellStyle name="Normal 4 2 6 9" xfId="9851" xr:uid="{47DE0446-8099-4218-BE29-3E04C2080D6F}"/>
    <cellStyle name="Normal 4 2 7" xfId="9165" xr:uid="{6363F967-7399-442D-B2CE-00085FF7F1E8}"/>
    <cellStyle name="Normal 4 2 7 2" xfId="18483" xr:uid="{8B99AF18-7A78-4856-BF40-E6AEB44657A2}"/>
    <cellStyle name="Normal 4 2 8" xfId="8743" xr:uid="{E2B8331F-47F9-4829-99C7-E05840A106B9}"/>
    <cellStyle name="Normal 4 2 8 2" xfId="18067" xr:uid="{C9DFFC6F-7AD1-45CA-B080-981BDF7B7CA4}"/>
    <cellStyle name="Normal 4 3" xfId="366" xr:uid="{00000000-0005-0000-0000-000007140000}"/>
    <cellStyle name="Normal 4 3 10" xfId="9852" xr:uid="{9792A29F-C834-4EE3-95B3-1278CC41B2EA}"/>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6" xr:uid="{31E3CDCA-8091-408F-AFF8-1C7E98E8A864}"/>
    <cellStyle name="Normal 4 3 2 2 2 11" xfId="9853" xr:uid="{A73B4A91-7780-4C0B-B3DB-79B9FDFA95FA}"/>
    <cellStyle name="Normal 4 3 2 2 2 2" xfId="370" xr:uid="{00000000-0005-0000-0000-00000B140000}"/>
    <cellStyle name="Normal 4 3 2 2 2 2 10" xfId="9854" xr:uid="{1FDA5E25-22EC-4E9D-B8FE-249770EA4B9F}"/>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CCDC44DA-BFF0-4900-9DFC-8B6DDA211EAB}"/>
    <cellStyle name="Normal 4 3 2 2 2 2 2 2 2 3" xfId="12413" xr:uid="{113D8922-A2BF-4BCA-9DF7-21D91823F9B2}"/>
    <cellStyle name="Normal 4 3 2 2 2 2 2 2 3" xfId="5159" xr:uid="{00000000-0005-0000-0000-000010140000}"/>
    <cellStyle name="Normal 4 3 2 2 2 2 2 2 3 2" xfId="14485" xr:uid="{8D18AD01-C5ED-4056-9DCC-ADE2B8F40386}"/>
    <cellStyle name="Normal 4 3 2 2 2 2 2 2 4" xfId="9557" xr:uid="{4F6BDD99-7BF1-4D2F-9EDC-4F75F1942DB4}"/>
    <cellStyle name="Normal 4 3 2 2 2 2 2 2 4 2" xfId="18872" xr:uid="{2F9A3E87-F5DA-439D-B22E-032083871021}"/>
    <cellStyle name="Normal 4 3 2 2 2 2 2 2 5" xfId="10268" xr:uid="{41C62CCC-6CA9-4590-BBD3-5B3FE083AA5B}"/>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5E96B20F-55AB-4FA7-AB8F-0911D9683B66}"/>
    <cellStyle name="Normal 4 3 2 2 2 2 2 3 2 3" xfId="12826" xr:uid="{A7D87934-9A17-4FB7-B6C4-C11237C031A1}"/>
    <cellStyle name="Normal 4 3 2 2 2 2 2 3 3" xfId="5572" xr:uid="{00000000-0005-0000-0000-000014140000}"/>
    <cellStyle name="Normal 4 3 2 2 2 2 2 3 3 2" xfId="14898" xr:uid="{0FE7522F-8664-4333-B936-A983CDB48FA8}"/>
    <cellStyle name="Normal 4 3 2 2 2 2 2 3 4" xfId="10681" xr:uid="{6F576FEC-5CF2-4AF2-9F48-7A71E544C024}"/>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FCFD6850-3FBE-4A6D-8C82-9110D723A786}"/>
    <cellStyle name="Normal 4 3 2 2 2 2 2 4 2 3" xfId="13239" xr:uid="{997D7E4E-EBDA-4F5F-ACB6-D2E934F3E555}"/>
    <cellStyle name="Normal 4 3 2 2 2 2 2 4 3" xfId="5985" xr:uid="{00000000-0005-0000-0000-000018140000}"/>
    <cellStyle name="Normal 4 3 2 2 2 2 2 4 3 2" xfId="15311" xr:uid="{1313E6E1-9C99-41CE-A8D1-870B3F9C054E}"/>
    <cellStyle name="Normal 4 3 2 2 2 2 2 4 4" xfId="11094" xr:uid="{41CFBBF4-9597-4DD4-8080-59D1D11CDE97}"/>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558605F2-3572-404A-A486-E5C5EFB17E2E}"/>
    <cellStyle name="Normal 4 3 2 2 2 2 2 5 2 3" xfId="13652" xr:uid="{EDA322B6-84C7-4F53-B352-03A4264DBA22}"/>
    <cellStyle name="Normal 4 3 2 2 2 2 2 5 3" xfId="6398" xr:uid="{00000000-0005-0000-0000-00001C140000}"/>
    <cellStyle name="Normal 4 3 2 2 2 2 2 5 3 2" xfId="15724" xr:uid="{EC5A9B4F-6C32-429E-8D2A-218F4E1DD06D}"/>
    <cellStyle name="Normal 4 3 2 2 2 2 2 5 4" xfId="11507" xr:uid="{932197A5-3A38-48AA-B273-EE8A52107C1E}"/>
    <cellStyle name="Normal 4 3 2 2 2 2 2 6" xfId="2528" xr:uid="{00000000-0005-0000-0000-00001D140000}"/>
    <cellStyle name="Normal 4 3 2 2 2 2 2 6 2" xfId="6811" xr:uid="{00000000-0005-0000-0000-00001E140000}"/>
    <cellStyle name="Normal 4 3 2 2 2 2 2 6 2 2" xfId="16137" xr:uid="{F7DF3D9B-D0FB-4B7E-80B2-060477EBA00D}"/>
    <cellStyle name="Normal 4 3 2 2 2 2 2 6 3" xfId="11920" xr:uid="{E21C4314-AFC4-4107-BEF7-F9F515EB908B}"/>
    <cellStyle name="Normal 4 3 2 2 2 2 2 7" xfId="4746" xr:uid="{00000000-0005-0000-0000-00001F140000}"/>
    <cellStyle name="Normal 4 3 2 2 2 2 2 7 2" xfId="14072" xr:uid="{E3A957C8-A4A5-4199-8F46-F0EA55ADBABA}"/>
    <cellStyle name="Normal 4 3 2 2 2 2 2 8" xfId="9132" xr:uid="{14F6ED12-EABF-4C82-AD59-55D351026913}"/>
    <cellStyle name="Normal 4 3 2 2 2 2 2 8 2" xfId="18456" xr:uid="{6665EE7C-D246-4B8F-A390-D3AB5DA25C7C}"/>
    <cellStyle name="Normal 4 3 2 2 2 2 2 9" xfId="9855" xr:uid="{87081093-8DA7-479B-A08C-32ABBC76F361}"/>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7930F30B-D33B-4BB6-9C7C-E06679804B6C}"/>
    <cellStyle name="Normal 4 3 2 2 2 2 3 2 3" xfId="12412" xr:uid="{4B8B49A3-C4B7-4DD1-8B28-4321AB80F5D6}"/>
    <cellStyle name="Normal 4 3 2 2 2 2 3 3" xfId="5158" xr:uid="{00000000-0005-0000-0000-000023140000}"/>
    <cellStyle name="Normal 4 3 2 2 2 2 3 3 2" xfId="14484" xr:uid="{6E5BD360-1EFA-44C6-ABD6-A7BD72E35DF2}"/>
    <cellStyle name="Normal 4 3 2 2 2 2 3 4" xfId="9350" xr:uid="{DFFEAFB7-A284-4FD9-B115-C19DA011CCC7}"/>
    <cellStyle name="Normal 4 3 2 2 2 2 3 4 2" xfId="18665" xr:uid="{5EBF8449-BB58-4E3B-B028-A19FF2D3C52B}"/>
    <cellStyle name="Normal 4 3 2 2 2 2 3 5" xfId="10267" xr:uid="{E675113C-2FD8-450E-B307-B64C3C47817D}"/>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51FC5D03-0F8F-4048-9A2C-CDFC9429D382}"/>
    <cellStyle name="Normal 4 3 2 2 2 2 4 2 3" xfId="12825" xr:uid="{7305206C-7E17-49D1-B49F-5529016D3F02}"/>
    <cellStyle name="Normal 4 3 2 2 2 2 4 3" xfId="5571" xr:uid="{00000000-0005-0000-0000-000027140000}"/>
    <cellStyle name="Normal 4 3 2 2 2 2 4 3 2" xfId="14897" xr:uid="{C16FA292-8534-42E1-896A-6B59AE4FD7CD}"/>
    <cellStyle name="Normal 4 3 2 2 2 2 4 4" xfId="10680" xr:uid="{84D2861C-CF6D-42DB-9455-59E778BBDE86}"/>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B23C76AB-DE75-450E-BFF6-F95C8BFE8981}"/>
    <cellStyle name="Normal 4 3 2 2 2 2 5 2 3" xfId="13238" xr:uid="{1FAA143D-D769-4EEB-B18B-1A49FD74C2B8}"/>
    <cellStyle name="Normal 4 3 2 2 2 2 5 3" xfId="5984" xr:uid="{00000000-0005-0000-0000-00002B140000}"/>
    <cellStyle name="Normal 4 3 2 2 2 2 5 3 2" xfId="15310" xr:uid="{3116404C-D14B-4715-B122-6791AC3F927D}"/>
    <cellStyle name="Normal 4 3 2 2 2 2 5 4" xfId="11093" xr:uid="{2E3017BA-91FD-40AF-BB82-F2858F03B47F}"/>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30037114-159A-4DBA-9347-3F2776FFFFA5}"/>
    <cellStyle name="Normal 4 3 2 2 2 2 6 2 3" xfId="13651" xr:uid="{90E6BDA5-2CCF-4CBC-B8FE-BCA61EBC80EE}"/>
    <cellStyle name="Normal 4 3 2 2 2 2 6 3" xfId="6397" xr:uid="{00000000-0005-0000-0000-00002F140000}"/>
    <cellStyle name="Normal 4 3 2 2 2 2 6 3 2" xfId="15723" xr:uid="{B173AAC3-6C37-436C-9153-2DD373509693}"/>
    <cellStyle name="Normal 4 3 2 2 2 2 6 4" xfId="11506" xr:uid="{C540B172-A5D3-4318-9E10-23A5FD683426}"/>
    <cellStyle name="Normal 4 3 2 2 2 2 7" xfId="2527" xr:uid="{00000000-0005-0000-0000-000030140000}"/>
    <cellStyle name="Normal 4 3 2 2 2 2 7 2" xfId="6810" xr:uid="{00000000-0005-0000-0000-000031140000}"/>
    <cellStyle name="Normal 4 3 2 2 2 2 7 2 2" xfId="16136" xr:uid="{E39E08BB-C7B6-4C61-BC34-C770125B9508}"/>
    <cellStyle name="Normal 4 3 2 2 2 2 7 3" xfId="11919" xr:uid="{AEAC1388-5842-4955-8CA1-268BFFCDF088}"/>
    <cellStyle name="Normal 4 3 2 2 2 2 8" xfId="4745" xr:uid="{00000000-0005-0000-0000-000032140000}"/>
    <cellStyle name="Normal 4 3 2 2 2 2 8 2" xfId="14071" xr:uid="{85F1A04F-5DA3-49B3-99AE-30207A6A6C1E}"/>
    <cellStyle name="Normal 4 3 2 2 2 2 9" xfId="8925" xr:uid="{71BB8AFA-37D7-474D-A12B-C284DDE23CE9}"/>
    <cellStyle name="Normal 4 3 2 2 2 2 9 2" xfId="18249" xr:uid="{032E0D9C-35AE-47DE-BB10-6CDCB258CD66}"/>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0B87DBBB-8665-48DA-A535-C9C73411A43F}"/>
    <cellStyle name="Normal 4 3 2 2 2 3 2 2 3" xfId="12414" xr:uid="{018EEC85-E269-4AB1-8111-FF4DCE22D5DD}"/>
    <cellStyle name="Normal 4 3 2 2 2 3 2 3" xfId="5160" xr:uid="{00000000-0005-0000-0000-000037140000}"/>
    <cellStyle name="Normal 4 3 2 2 2 3 2 3 2" xfId="14486" xr:uid="{A2C22954-BE4A-461B-8129-33872F00F1FE}"/>
    <cellStyle name="Normal 4 3 2 2 2 3 2 4" xfId="9454" xr:uid="{B81F5EAA-7D8E-43B5-94D7-313E66088BA5}"/>
    <cellStyle name="Normal 4 3 2 2 2 3 2 4 2" xfId="18769" xr:uid="{C7361F54-3C25-4DC5-B5B7-53029DCC31F7}"/>
    <cellStyle name="Normal 4 3 2 2 2 3 2 5" xfId="10269" xr:uid="{9FE39C87-772C-4A69-89B1-E674E07548C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D7B32943-B356-4D49-81F4-0B49FE9D7C68}"/>
    <cellStyle name="Normal 4 3 2 2 2 3 3 2 3" xfId="12827" xr:uid="{C3032FB8-EDA1-49EB-9FD5-30DF4BAFFBB5}"/>
    <cellStyle name="Normal 4 3 2 2 2 3 3 3" xfId="5573" xr:uid="{00000000-0005-0000-0000-00003B140000}"/>
    <cellStyle name="Normal 4 3 2 2 2 3 3 3 2" xfId="14899" xr:uid="{40A9E4CC-5FA4-47FA-B379-CD8B84432FE3}"/>
    <cellStyle name="Normal 4 3 2 2 2 3 3 4" xfId="10682" xr:uid="{76D2F733-4E34-4F89-B946-CC3B6737DF7C}"/>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925B7C70-294A-4E18-BD66-29F18941A19D}"/>
    <cellStyle name="Normal 4 3 2 2 2 3 4 2 3" xfId="13240" xr:uid="{E839A2F8-97AD-47AC-BDAD-7AEE0BE49A69}"/>
    <cellStyle name="Normal 4 3 2 2 2 3 4 3" xfId="5986" xr:uid="{00000000-0005-0000-0000-00003F140000}"/>
    <cellStyle name="Normal 4 3 2 2 2 3 4 3 2" xfId="15312" xr:uid="{80BA1845-9B2B-4642-9896-5F7E65222453}"/>
    <cellStyle name="Normal 4 3 2 2 2 3 4 4" xfId="11095" xr:uid="{236973AD-5F6F-4577-8CFB-F5454E4E872A}"/>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9E2BD9D4-0F88-4AD6-A495-8C5648DCBD2E}"/>
    <cellStyle name="Normal 4 3 2 2 2 3 5 2 3" xfId="13653" xr:uid="{CF2D3BD1-4B44-478A-A0FA-9978608289BD}"/>
    <cellStyle name="Normal 4 3 2 2 2 3 5 3" xfId="6399" xr:uid="{00000000-0005-0000-0000-000043140000}"/>
    <cellStyle name="Normal 4 3 2 2 2 3 5 3 2" xfId="15725" xr:uid="{89428FD5-3584-4E03-BC3A-792A6411F390}"/>
    <cellStyle name="Normal 4 3 2 2 2 3 5 4" xfId="11508" xr:uid="{45E95DE1-E5EE-4C6B-9619-931D2780D7DA}"/>
    <cellStyle name="Normal 4 3 2 2 2 3 6" xfId="2529" xr:uid="{00000000-0005-0000-0000-000044140000}"/>
    <cellStyle name="Normal 4 3 2 2 2 3 6 2" xfId="6812" xr:uid="{00000000-0005-0000-0000-000045140000}"/>
    <cellStyle name="Normal 4 3 2 2 2 3 6 2 2" xfId="16138" xr:uid="{511DD5F5-63CA-4FB1-9E0E-829371D240EE}"/>
    <cellStyle name="Normal 4 3 2 2 2 3 6 3" xfId="11921" xr:uid="{96C741BA-5C48-48D5-B8F8-E0E389E7FA32}"/>
    <cellStyle name="Normal 4 3 2 2 2 3 7" xfId="4747" xr:uid="{00000000-0005-0000-0000-000046140000}"/>
    <cellStyle name="Normal 4 3 2 2 2 3 7 2" xfId="14073" xr:uid="{E64FBFE3-9144-4417-9D50-6B0335D087CC}"/>
    <cellStyle name="Normal 4 3 2 2 2 3 8" xfId="9029" xr:uid="{CC421D7E-69EF-4D96-A95C-E67F046F8D14}"/>
    <cellStyle name="Normal 4 3 2 2 2 3 8 2" xfId="18353" xr:uid="{F7AE80AF-C9AE-4753-BD62-926030E7D9E3}"/>
    <cellStyle name="Normal 4 3 2 2 2 3 9" xfId="9856" xr:uid="{C7F3E5AA-0975-46AF-BE34-B8E556BE3631}"/>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CDAEC60E-EFD8-4315-96DD-3AB217473621}"/>
    <cellStyle name="Normal 4 3 2 2 2 4 2 3" xfId="12411" xr:uid="{3F02C6C0-1DEA-46F1-B777-2DD397D9E12F}"/>
    <cellStyle name="Normal 4 3 2 2 2 4 3" xfId="5157" xr:uid="{00000000-0005-0000-0000-00004A140000}"/>
    <cellStyle name="Normal 4 3 2 2 2 4 3 2" xfId="14483" xr:uid="{B13BE9AC-E5B0-45AE-B03F-2512064CCAD6}"/>
    <cellStyle name="Normal 4 3 2 2 2 4 4" xfId="9247" xr:uid="{70D9D224-DB0B-42B4-B4A9-BC88F455C395}"/>
    <cellStyle name="Normal 4 3 2 2 2 4 4 2" xfId="18562" xr:uid="{F7250575-5BB4-4791-8A02-D45F419E7A80}"/>
    <cellStyle name="Normal 4 3 2 2 2 4 5" xfId="10266" xr:uid="{6475BA20-2BC9-4D9C-8BA7-36750332F5DB}"/>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661787DF-1FBB-4F0B-994C-7BE5CD9E855E}"/>
    <cellStyle name="Normal 4 3 2 2 2 5 2 3" xfId="12824" xr:uid="{273920F0-2B21-47CF-99B3-37A043432320}"/>
    <cellStyle name="Normal 4 3 2 2 2 5 3" xfId="5570" xr:uid="{00000000-0005-0000-0000-00004E140000}"/>
    <cellStyle name="Normal 4 3 2 2 2 5 3 2" xfId="14896" xr:uid="{BDE7D387-E32F-4CB7-92AB-49B2F7F47DC1}"/>
    <cellStyle name="Normal 4 3 2 2 2 5 4" xfId="10679" xr:uid="{820465F9-28E2-4372-8E05-8A3755BBDC5B}"/>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15DBD29F-B0E2-472A-8E5E-318640DA78F0}"/>
    <cellStyle name="Normal 4 3 2 2 2 6 2 3" xfId="13237" xr:uid="{B2842E68-BBD7-4965-B993-62870098DBE6}"/>
    <cellStyle name="Normal 4 3 2 2 2 6 3" xfId="5983" xr:uid="{00000000-0005-0000-0000-000052140000}"/>
    <cellStyle name="Normal 4 3 2 2 2 6 3 2" xfId="15309" xr:uid="{83B42320-D15F-49EE-BA7C-B77077150233}"/>
    <cellStyle name="Normal 4 3 2 2 2 6 4" xfId="11092" xr:uid="{75EC7EEB-81C2-408E-BFCA-CB8B7B926D7F}"/>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18DAB4A6-D851-4E58-9301-5E01274B75B5}"/>
    <cellStyle name="Normal 4 3 2 2 2 7 2 3" xfId="13650" xr:uid="{34CDD489-A11B-4E38-971C-DEA4D2EFB472}"/>
    <cellStyle name="Normal 4 3 2 2 2 7 3" xfId="6396" xr:uid="{00000000-0005-0000-0000-000056140000}"/>
    <cellStyle name="Normal 4 3 2 2 2 7 3 2" xfId="15722" xr:uid="{87535335-C259-48BD-83F4-10CB396A08FB}"/>
    <cellStyle name="Normal 4 3 2 2 2 7 4" xfId="11505" xr:uid="{92C24151-8660-4276-9CB7-92307FF4D24C}"/>
    <cellStyle name="Normal 4 3 2 2 2 8" xfId="2526" xr:uid="{00000000-0005-0000-0000-000057140000}"/>
    <cellStyle name="Normal 4 3 2 2 2 8 2" xfId="6809" xr:uid="{00000000-0005-0000-0000-000058140000}"/>
    <cellStyle name="Normal 4 3 2 2 2 8 2 2" xfId="16135" xr:uid="{764F1ECF-0202-4C81-A4F4-BE0C31184FBB}"/>
    <cellStyle name="Normal 4 3 2 2 2 8 3" xfId="11918" xr:uid="{B92635EC-5D63-46EC-8377-AC15CF7474C8}"/>
    <cellStyle name="Normal 4 3 2 2 2 9" xfId="4744" xr:uid="{00000000-0005-0000-0000-000059140000}"/>
    <cellStyle name="Normal 4 3 2 2 2 9 2" xfId="14070" xr:uid="{C2289B81-0B48-4573-925F-C7E22D3908DA}"/>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5" xr:uid="{40687059-70CA-4B51-A00C-BC45BD686BC2}"/>
    <cellStyle name="Normal 4 3 3 11" xfId="9857" xr:uid="{7AAC5AB5-5ED7-4828-B857-B43FC855581A}"/>
    <cellStyle name="Normal 4 3 3 2" xfId="375" xr:uid="{00000000-0005-0000-0000-00005E140000}"/>
    <cellStyle name="Normal 4 3 3 2 10" xfId="9858" xr:uid="{54DAA6C0-6ED6-46BF-881C-23D6FB535E4E}"/>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87AF4940-D4B7-4D3B-A934-F5B17770F6CC}"/>
    <cellStyle name="Normal 4 3 3 2 2 2 2 3" xfId="12417" xr:uid="{5FC38967-034E-494F-AD34-D7C06089468C}"/>
    <cellStyle name="Normal 4 3 3 2 2 2 3" xfId="5163" xr:uid="{00000000-0005-0000-0000-000063140000}"/>
    <cellStyle name="Normal 4 3 3 2 2 2 3 2" xfId="14489" xr:uid="{075E9265-5572-4EBD-9632-852ABC1A701E}"/>
    <cellStyle name="Normal 4 3 3 2 2 2 4" xfId="9556" xr:uid="{7233D5E9-9F1E-43FF-8391-DCCFDF8A705D}"/>
    <cellStyle name="Normal 4 3 3 2 2 2 4 2" xfId="18871" xr:uid="{57022C75-07E5-4653-8998-FB9D6A878A67}"/>
    <cellStyle name="Normal 4 3 3 2 2 2 5" xfId="10272" xr:uid="{7BEE59F1-F6B8-4AF0-BCA4-A7BBA25F414F}"/>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E7AEF0ED-F3A7-4E0A-961A-402C63FCC59E}"/>
    <cellStyle name="Normal 4 3 3 2 2 3 2 3" xfId="12830" xr:uid="{C8E5EF5F-0987-4AFA-BEE1-A54563A3ACAD}"/>
    <cellStyle name="Normal 4 3 3 2 2 3 3" xfId="5576" xr:uid="{00000000-0005-0000-0000-000067140000}"/>
    <cellStyle name="Normal 4 3 3 2 2 3 3 2" xfId="14902" xr:uid="{92489CE6-AEEC-469D-AE5E-49117610E75F}"/>
    <cellStyle name="Normal 4 3 3 2 2 3 4" xfId="10685" xr:uid="{1BE5B76E-383D-4AE8-BF5D-C271D38B8BFB}"/>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1499868F-092E-4061-8202-4DE383AACA97}"/>
    <cellStyle name="Normal 4 3 3 2 2 4 2 3" xfId="13243" xr:uid="{411B0857-1633-48AE-8570-09AEA1EB33F8}"/>
    <cellStyle name="Normal 4 3 3 2 2 4 3" xfId="5989" xr:uid="{00000000-0005-0000-0000-00006B140000}"/>
    <cellStyle name="Normal 4 3 3 2 2 4 3 2" xfId="15315" xr:uid="{F0119315-093E-47FF-83E1-25F1DC364577}"/>
    <cellStyle name="Normal 4 3 3 2 2 4 4" xfId="11098" xr:uid="{3777F3C9-F9F9-4564-89B4-2A632422E07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45230977-DBEC-4BD5-A120-3AE5B238ADBB}"/>
    <cellStyle name="Normal 4 3 3 2 2 5 2 3" xfId="13656" xr:uid="{3D9F1671-14F8-4779-87F9-94759EFB1DF0}"/>
    <cellStyle name="Normal 4 3 3 2 2 5 3" xfId="6402" xr:uid="{00000000-0005-0000-0000-00006F140000}"/>
    <cellStyle name="Normal 4 3 3 2 2 5 3 2" xfId="15728" xr:uid="{81A97483-5226-4876-9D41-0D65D162C66F}"/>
    <cellStyle name="Normal 4 3 3 2 2 5 4" xfId="11511" xr:uid="{BF08E46C-8BA9-433C-A03A-9E17AD600AD8}"/>
    <cellStyle name="Normal 4 3 3 2 2 6" xfId="2532" xr:uid="{00000000-0005-0000-0000-000070140000}"/>
    <cellStyle name="Normal 4 3 3 2 2 6 2" xfId="6815" xr:uid="{00000000-0005-0000-0000-000071140000}"/>
    <cellStyle name="Normal 4 3 3 2 2 6 2 2" xfId="16141" xr:uid="{6F50A63E-78A6-406A-9E48-0719B12CC8E3}"/>
    <cellStyle name="Normal 4 3 3 2 2 6 3" xfId="11924" xr:uid="{573D2B0B-66B4-4223-A651-23D6151155E4}"/>
    <cellStyle name="Normal 4 3 3 2 2 7" xfId="4750" xr:uid="{00000000-0005-0000-0000-000072140000}"/>
    <cellStyle name="Normal 4 3 3 2 2 7 2" xfId="14076" xr:uid="{5C91C5A9-61D8-47F7-95A9-55B0F045DBA0}"/>
    <cellStyle name="Normal 4 3 3 2 2 8" xfId="9131" xr:uid="{D7BA3B10-6765-4B57-99D1-3AF7343772F8}"/>
    <cellStyle name="Normal 4 3 3 2 2 8 2" xfId="18455" xr:uid="{DB0A721A-7079-453C-B8EB-11FCDFA61FA4}"/>
    <cellStyle name="Normal 4 3 3 2 2 9" xfId="9859" xr:uid="{76D844A7-02BC-415C-8ECA-C61BB5EF0573}"/>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B9F3ED65-50C6-4BC4-8B02-ADD9A5A31B66}"/>
    <cellStyle name="Normal 4 3 3 2 3 2 3" xfId="12416" xr:uid="{4EA8BEDF-BEBA-4D0B-9C82-60D339CE1E70}"/>
    <cellStyle name="Normal 4 3 3 2 3 3" xfId="5162" xr:uid="{00000000-0005-0000-0000-000076140000}"/>
    <cellStyle name="Normal 4 3 3 2 3 3 2" xfId="14488" xr:uid="{F1A1C282-6B9C-499B-A5D8-81907A8B0BBF}"/>
    <cellStyle name="Normal 4 3 3 2 3 4" xfId="9349" xr:uid="{E498700C-D7AE-42FC-8EB1-59BA2C1BA6B9}"/>
    <cellStyle name="Normal 4 3 3 2 3 4 2" xfId="18664" xr:uid="{CD8B14E4-B08D-4518-9D4E-65785A64DBF7}"/>
    <cellStyle name="Normal 4 3 3 2 3 5" xfId="10271" xr:uid="{FB2CD027-C7EB-4DC3-8426-BE6A4F427820}"/>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B9EABD81-4510-4C9A-9EAA-498205EE9372}"/>
    <cellStyle name="Normal 4 3 3 2 4 2 3" xfId="12829" xr:uid="{DFE5F901-E003-441B-B5E0-BEABAB1D6C63}"/>
    <cellStyle name="Normal 4 3 3 2 4 3" xfId="5575" xr:uid="{00000000-0005-0000-0000-00007A140000}"/>
    <cellStyle name="Normal 4 3 3 2 4 3 2" xfId="14901" xr:uid="{095ECB40-40DD-44D1-A5ED-1D579A0B57DE}"/>
    <cellStyle name="Normal 4 3 3 2 4 4" xfId="10684" xr:uid="{C0D64832-557E-4290-B20D-A38B9C78E73A}"/>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F46BF871-63B2-466B-AF70-0C41BF44FC0C}"/>
    <cellStyle name="Normal 4 3 3 2 5 2 3" xfId="13242" xr:uid="{544004E1-0C69-47B7-A5F5-E2255B226235}"/>
    <cellStyle name="Normal 4 3 3 2 5 3" xfId="5988" xr:uid="{00000000-0005-0000-0000-00007E140000}"/>
    <cellStyle name="Normal 4 3 3 2 5 3 2" xfId="15314" xr:uid="{B43280E3-FEF3-4D95-9A91-049DAF586B7D}"/>
    <cellStyle name="Normal 4 3 3 2 5 4" xfId="11097" xr:uid="{037963B4-498A-455D-8F45-9CCB9BDFC516}"/>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5598BAC2-2E69-404B-861E-0F6E36AD533B}"/>
    <cellStyle name="Normal 4 3 3 2 6 2 3" xfId="13655" xr:uid="{CA123CDE-57D6-4BA2-8CDF-E77C59892756}"/>
    <cellStyle name="Normal 4 3 3 2 6 3" xfId="6401" xr:uid="{00000000-0005-0000-0000-000082140000}"/>
    <cellStyle name="Normal 4 3 3 2 6 3 2" xfId="15727" xr:uid="{C5D22ECC-D77E-42FE-B416-ECE972B75AD2}"/>
    <cellStyle name="Normal 4 3 3 2 6 4" xfId="11510" xr:uid="{5CB3CE43-CA51-4747-AEFA-F820B0B7AD6E}"/>
    <cellStyle name="Normal 4 3 3 2 7" xfId="2531" xr:uid="{00000000-0005-0000-0000-000083140000}"/>
    <cellStyle name="Normal 4 3 3 2 7 2" xfId="6814" xr:uid="{00000000-0005-0000-0000-000084140000}"/>
    <cellStyle name="Normal 4 3 3 2 7 2 2" xfId="16140" xr:uid="{0210FB25-8A6F-4D22-9CFE-BF04846DFB7B}"/>
    <cellStyle name="Normal 4 3 3 2 7 3" xfId="11923" xr:uid="{7A4F8F50-4B5C-49E9-B119-07DDB8BDB775}"/>
    <cellStyle name="Normal 4 3 3 2 8" xfId="4749" xr:uid="{00000000-0005-0000-0000-000085140000}"/>
    <cellStyle name="Normal 4 3 3 2 8 2" xfId="14075" xr:uid="{88223A09-CA29-4870-A0AB-F7C4625E505B}"/>
    <cellStyle name="Normal 4 3 3 2 9" xfId="8924" xr:uid="{F9E914C5-63E8-4CB8-8EA1-7427CE35C4AA}"/>
    <cellStyle name="Normal 4 3 3 2 9 2" xfId="18248" xr:uid="{67C49F45-ABB5-48B1-8E92-57FF9A97B381}"/>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BAF07161-B1B7-4C4C-930D-E27391BB56F4}"/>
    <cellStyle name="Normal 4 3 3 3 2 2 3" xfId="12418" xr:uid="{DE9461C9-E3F8-4D2C-8FFF-A3E1227C498D}"/>
    <cellStyle name="Normal 4 3 3 3 2 3" xfId="5164" xr:uid="{00000000-0005-0000-0000-00008A140000}"/>
    <cellStyle name="Normal 4 3 3 3 2 3 2" xfId="14490" xr:uid="{BAC712AD-76D6-4F48-8ECC-9C88CE50633C}"/>
    <cellStyle name="Normal 4 3 3 3 2 4" xfId="9453" xr:uid="{18D68920-503C-42C1-A733-EBE17DC6D008}"/>
    <cellStyle name="Normal 4 3 3 3 2 4 2" xfId="18768" xr:uid="{A933DE80-BE67-4644-A18E-9EEFD474E4E2}"/>
    <cellStyle name="Normal 4 3 3 3 2 5" xfId="10273" xr:uid="{E8C4E8B0-3018-4915-94D3-96F4B8DA0E1A}"/>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E571E94D-5B70-4B86-8F56-D3D0457DB0E4}"/>
    <cellStyle name="Normal 4 3 3 3 3 2 3" xfId="12831" xr:uid="{90DE9D35-D35F-4ABB-9DD4-11823C5F0C8E}"/>
    <cellStyle name="Normal 4 3 3 3 3 3" xfId="5577" xr:uid="{00000000-0005-0000-0000-00008E140000}"/>
    <cellStyle name="Normal 4 3 3 3 3 3 2" xfId="14903" xr:uid="{C20D3FA8-FF58-424B-B42F-17347EB0365B}"/>
    <cellStyle name="Normal 4 3 3 3 3 4" xfId="10686" xr:uid="{CE5E0AD7-7179-4846-8AA9-47E74AC1203E}"/>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79DEF88F-A353-4F0B-9A99-7E5C483EC0A8}"/>
    <cellStyle name="Normal 4 3 3 3 4 2 3" xfId="13244" xr:uid="{F3D48781-E410-4420-AA97-B3D604C4C9C2}"/>
    <cellStyle name="Normal 4 3 3 3 4 3" xfId="5990" xr:uid="{00000000-0005-0000-0000-000092140000}"/>
    <cellStyle name="Normal 4 3 3 3 4 3 2" xfId="15316" xr:uid="{2F2DDFE1-6BC0-4D05-893B-60D6C2E230AA}"/>
    <cellStyle name="Normal 4 3 3 3 4 4" xfId="11099" xr:uid="{6967E9D9-6786-441B-964D-7B3ED15569F9}"/>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1F38F94F-AB44-43BC-89A5-BFC7513BC6F6}"/>
    <cellStyle name="Normal 4 3 3 3 5 2 3" xfId="13657" xr:uid="{710798FE-2255-4CDA-AE8A-B35588CA74D1}"/>
    <cellStyle name="Normal 4 3 3 3 5 3" xfId="6403" xr:uid="{00000000-0005-0000-0000-000096140000}"/>
    <cellStyle name="Normal 4 3 3 3 5 3 2" xfId="15729" xr:uid="{23507BFD-6C1B-4494-B21E-B99F42FF5ABA}"/>
    <cellStyle name="Normal 4 3 3 3 5 4" xfId="11512" xr:uid="{AED9F117-307B-408C-BA78-F61825B51142}"/>
    <cellStyle name="Normal 4 3 3 3 6" xfId="2533" xr:uid="{00000000-0005-0000-0000-000097140000}"/>
    <cellStyle name="Normal 4 3 3 3 6 2" xfId="6816" xr:uid="{00000000-0005-0000-0000-000098140000}"/>
    <cellStyle name="Normal 4 3 3 3 6 2 2" xfId="16142" xr:uid="{8D0B150A-763C-41D3-99A3-6C78610614B7}"/>
    <cellStyle name="Normal 4 3 3 3 6 3" xfId="11925" xr:uid="{B51DBCFE-FAD7-4CFE-A19E-9B38D41AA801}"/>
    <cellStyle name="Normal 4 3 3 3 7" xfId="4751" xr:uid="{00000000-0005-0000-0000-000099140000}"/>
    <cellStyle name="Normal 4 3 3 3 7 2" xfId="14077" xr:uid="{318293B6-9954-4FAD-B2AD-6FE013C67751}"/>
    <cellStyle name="Normal 4 3 3 3 8" xfId="9028" xr:uid="{A0BD85BE-0D8B-455E-B326-708B8FF8A8C8}"/>
    <cellStyle name="Normal 4 3 3 3 8 2" xfId="18352" xr:uid="{32FE7399-AF1C-4AC6-B7AA-17FC10C796F0}"/>
    <cellStyle name="Normal 4 3 3 3 9" xfId="9860" xr:uid="{DC26893D-8D06-4FDC-8250-162721317D8D}"/>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60E2E65E-5FE2-4B57-9DC7-60DE412FD495}"/>
    <cellStyle name="Normal 4 3 3 4 2 3" xfId="12415" xr:uid="{ECF4047C-60B6-4D31-A4A8-0AEAA1E63BD9}"/>
    <cellStyle name="Normal 4 3 3 4 3" xfId="5161" xr:uid="{00000000-0005-0000-0000-00009D140000}"/>
    <cellStyle name="Normal 4 3 3 4 3 2" xfId="14487" xr:uid="{AFDD3C86-0B47-4944-AB49-AED970133CA8}"/>
    <cellStyle name="Normal 4 3 3 4 4" xfId="9246" xr:uid="{E1107DA9-8F13-4216-80A2-CEA1D2EF57FC}"/>
    <cellStyle name="Normal 4 3 3 4 4 2" xfId="18561" xr:uid="{5CBE6A0F-C02D-4490-92BE-612CB41178BF}"/>
    <cellStyle name="Normal 4 3 3 4 5" xfId="10270" xr:uid="{BCAFDA8D-4153-4A0D-9D90-804A61713B3B}"/>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D07C4FAD-702B-4400-AD18-09C5C1ACA638}"/>
    <cellStyle name="Normal 4 3 3 5 2 3" xfId="12828" xr:uid="{656D4663-5BB4-4B02-B83A-433179002A41}"/>
    <cellStyle name="Normal 4 3 3 5 3" xfId="5574" xr:uid="{00000000-0005-0000-0000-0000A1140000}"/>
    <cellStyle name="Normal 4 3 3 5 3 2" xfId="14900" xr:uid="{BD6FDB72-E7F0-434C-B67B-13E426B10E78}"/>
    <cellStyle name="Normal 4 3 3 5 4" xfId="10683" xr:uid="{80616E36-061C-4604-B8B2-A33A7D36881A}"/>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AB47E6FA-75EE-4D64-A619-3CD194079AB1}"/>
    <cellStyle name="Normal 4 3 3 6 2 3" xfId="13241" xr:uid="{18C4FA4B-CE2C-4A24-AF81-3832F7A6B797}"/>
    <cellStyle name="Normal 4 3 3 6 3" xfId="5987" xr:uid="{00000000-0005-0000-0000-0000A5140000}"/>
    <cellStyle name="Normal 4 3 3 6 3 2" xfId="15313" xr:uid="{6F4D5407-06E5-4A2B-88A1-072F1D224E15}"/>
    <cellStyle name="Normal 4 3 3 6 4" xfId="11096" xr:uid="{CB2BCCD7-89C5-4927-A4B7-AEC455E20F4F}"/>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710030E5-8CF2-40AE-9981-E114E5510A7F}"/>
    <cellStyle name="Normal 4 3 3 7 2 3" xfId="13654" xr:uid="{6CD45B22-EA41-4DBE-BA04-038F62A99DD7}"/>
    <cellStyle name="Normal 4 3 3 7 3" xfId="6400" xr:uid="{00000000-0005-0000-0000-0000A9140000}"/>
    <cellStyle name="Normal 4 3 3 7 3 2" xfId="15726" xr:uid="{6DBC6F84-82B8-4FA3-A3FC-257B814C7B59}"/>
    <cellStyle name="Normal 4 3 3 7 4" xfId="11509" xr:uid="{477CFEDF-FB8A-4AE3-995E-93718BA549B8}"/>
    <cellStyle name="Normal 4 3 3 8" xfId="2530" xr:uid="{00000000-0005-0000-0000-0000AA140000}"/>
    <cellStyle name="Normal 4 3 3 8 2" xfId="6813" xr:uid="{00000000-0005-0000-0000-0000AB140000}"/>
    <cellStyle name="Normal 4 3 3 8 2 2" xfId="16139" xr:uid="{3EB95025-ADB8-4553-92FE-68F24D5984F5}"/>
    <cellStyle name="Normal 4 3 3 8 3" xfId="11922" xr:uid="{D4A7D1A9-6530-4F70-98C5-61F45E5C15CC}"/>
    <cellStyle name="Normal 4 3 3 9" xfId="4748" xr:uid="{00000000-0005-0000-0000-0000AC140000}"/>
    <cellStyle name="Normal 4 3 3 9 2" xfId="14074" xr:uid="{9CFCB74E-4859-4368-912A-33D77395CFC7}"/>
    <cellStyle name="Normal 4 3 4" xfId="842" xr:uid="{00000000-0005-0000-0000-0000AD140000}"/>
    <cellStyle name="Normal 4 3 4 2" xfId="3079" xr:uid="{00000000-0005-0000-0000-0000AE140000}"/>
    <cellStyle name="Normal 4 3 4 2 2" xfId="7301" xr:uid="{00000000-0005-0000-0000-0000AF140000}"/>
    <cellStyle name="Normal 4 3 4 2 2 2" xfId="16627" xr:uid="{65524F5A-307C-47E8-8EA1-9983614B4B2C}"/>
    <cellStyle name="Normal 4 3 4 2 3" xfId="12410" xr:uid="{C1450600-B441-482F-9E01-1FC978E226A8}"/>
    <cellStyle name="Normal 4 3 4 3" xfId="5156" xr:uid="{00000000-0005-0000-0000-0000B0140000}"/>
    <cellStyle name="Normal 4 3 4 3 2" xfId="14482" xr:uid="{F1DDBD2C-907F-46CD-AC29-E4D867EDA72A}"/>
    <cellStyle name="Normal 4 3 4 4" xfId="9608" xr:uid="{C2EFFD2B-01D5-4B2B-BD85-BB4245D6A35E}"/>
    <cellStyle name="Normal 4 3 4 4 2" xfId="18909" xr:uid="{321D0BC8-8CCF-43C1-B412-B16D928409A4}"/>
    <cellStyle name="Normal 4 3 4 5" xfId="10265" xr:uid="{364A4350-715F-4EEE-B9D8-502BF3A4EC12}"/>
    <cellStyle name="Normal 4 3 5" xfId="1262" xr:uid="{00000000-0005-0000-0000-0000B1140000}"/>
    <cellStyle name="Normal 4 3 5 2" xfId="3492" xr:uid="{00000000-0005-0000-0000-0000B2140000}"/>
    <cellStyle name="Normal 4 3 5 2 2" xfId="7714" xr:uid="{00000000-0005-0000-0000-0000B3140000}"/>
    <cellStyle name="Normal 4 3 5 2 2 2" xfId="17040" xr:uid="{D2056062-5A4F-4540-9EA3-96D0F61B6621}"/>
    <cellStyle name="Normal 4 3 5 2 3" xfId="12823" xr:uid="{9CF04FF0-65F8-49D5-8AC6-72F948A8E5DB}"/>
    <cellStyle name="Normal 4 3 5 3" xfId="5569" xr:uid="{00000000-0005-0000-0000-0000B4140000}"/>
    <cellStyle name="Normal 4 3 5 3 2" xfId="14895" xr:uid="{B0B8D69D-14DA-4D6E-8795-ED6F5AB3A620}"/>
    <cellStyle name="Normal 4 3 5 4" xfId="10678" xr:uid="{3F593FFC-CC96-49DC-AAC1-0276268C9981}"/>
    <cellStyle name="Normal 4 3 6" xfId="1675" xr:uid="{00000000-0005-0000-0000-0000B5140000}"/>
    <cellStyle name="Normal 4 3 6 2" xfId="3905" xr:uid="{00000000-0005-0000-0000-0000B6140000}"/>
    <cellStyle name="Normal 4 3 6 2 2" xfId="8127" xr:uid="{00000000-0005-0000-0000-0000B7140000}"/>
    <cellStyle name="Normal 4 3 6 2 2 2" xfId="17453" xr:uid="{25445FA4-E896-4B8F-B073-28DCADD206FA}"/>
    <cellStyle name="Normal 4 3 6 2 3" xfId="13236" xr:uid="{9D728D0B-AE03-4851-823D-AD1AD52A9D65}"/>
    <cellStyle name="Normal 4 3 6 3" xfId="5982" xr:uid="{00000000-0005-0000-0000-0000B8140000}"/>
    <cellStyle name="Normal 4 3 6 3 2" xfId="15308" xr:uid="{57B72AD7-1FDD-4048-8C20-1808EF69830B}"/>
    <cellStyle name="Normal 4 3 6 4" xfId="11091" xr:uid="{EA571CE9-5C08-4210-8FD1-A538D6B258AB}"/>
    <cellStyle name="Normal 4 3 7" xfId="2089" xr:uid="{00000000-0005-0000-0000-0000B9140000}"/>
    <cellStyle name="Normal 4 3 7 2" xfId="4318" xr:uid="{00000000-0005-0000-0000-0000BA140000}"/>
    <cellStyle name="Normal 4 3 7 2 2" xfId="8540" xr:uid="{00000000-0005-0000-0000-0000BB140000}"/>
    <cellStyle name="Normal 4 3 7 2 2 2" xfId="17866" xr:uid="{349E7E23-131A-4372-933D-0C0EB56D3BAE}"/>
    <cellStyle name="Normal 4 3 7 2 3" xfId="13649" xr:uid="{CEDB864B-C4CE-4EBC-BFEC-F20909E767EC}"/>
    <cellStyle name="Normal 4 3 7 3" xfId="6395" xr:uid="{00000000-0005-0000-0000-0000BC140000}"/>
    <cellStyle name="Normal 4 3 7 3 2" xfId="15721" xr:uid="{3A33C177-1743-440E-A330-BFE3E2519A85}"/>
    <cellStyle name="Normal 4 3 7 4" xfId="11504" xr:uid="{6A49B561-7528-423C-BF51-D529FD49B86A}"/>
    <cellStyle name="Normal 4 3 8" xfId="2525" xr:uid="{00000000-0005-0000-0000-0000BD140000}"/>
    <cellStyle name="Normal 4 3 8 2" xfId="6808" xr:uid="{00000000-0005-0000-0000-0000BE140000}"/>
    <cellStyle name="Normal 4 3 8 2 2" xfId="16134" xr:uid="{0B35272B-8854-4C51-961D-EE656AA20BC1}"/>
    <cellStyle name="Normal 4 3 8 3" xfId="11917" xr:uid="{6AE3FE39-2290-4964-BE2F-DCE744F2D1DE}"/>
    <cellStyle name="Normal 4 3 9" xfId="4743" xr:uid="{00000000-0005-0000-0000-0000BF140000}"/>
    <cellStyle name="Normal 4 3 9 2" xfId="14069" xr:uid="{A6C33112-6323-431E-9B4F-85A8B133AA86}"/>
    <cellStyle name="Normal 4 4" xfId="378" xr:uid="{00000000-0005-0000-0000-0000C0140000}"/>
    <cellStyle name="Normal 4 4 10" xfId="2534" xr:uid="{00000000-0005-0000-0000-0000C1140000}"/>
    <cellStyle name="Normal 4 4 10 2" xfId="6817" xr:uid="{00000000-0005-0000-0000-0000C2140000}"/>
    <cellStyle name="Normal 4 4 10 2 2" xfId="16143" xr:uid="{E51C12B1-ADC5-4C59-8A71-719BB510D320}"/>
    <cellStyle name="Normal 4 4 10 3" xfId="11926" xr:uid="{BCD80D2B-CCD1-43E5-BABE-DF86339B144A}"/>
    <cellStyle name="Normal 4 4 11" xfId="4752" xr:uid="{00000000-0005-0000-0000-0000C3140000}"/>
    <cellStyle name="Normal 4 4 11 2" xfId="14078" xr:uid="{6D380A2D-2355-47A3-8CEE-A8C2E4870B3E}"/>
    <cellStyle name="Normal 4 4 12" xfId="8749" xr:uid="{A91736B6-873D-4B1A-8B29-18DC69E5E65F}"/>
    <cellStyle name="Normal 4 4 12 2" xfId="18073" xr:uid="{4DA0DB4B-7F83-4E33-A36A-3243F1D34556}"/>
    <cellStyle name="Normal 4 4 13" xfId="9861" xr:uid="{60E7548A-08F7-46B0-96EB-4583E9A8DB74}"/>
    <cellStyle name="Normal 4 4 2" xfId="379" xr:uid="{00000000-0005-0000-0000-0000C4140000}"/>
    <cellStyle name="Normal 4 4 2 10" xfId="4753" xr:uid="{00000000-0005-0000-0000-0000C5140000}"/>
    <cellStyle name="Normal 4 4 2 10 2" xfId="14079" xr:uid="{4BED736D-B1E7-49DD-90B4-4E8B29011F99}"/>
    <cellStyle name="Normal 4 4 2 11" xfId="8781" xr:uid="{12B8F0AD-1EB8-4D0A-9CAD-21DEEFEDAE41}"/>
    <cellStyle name="Normal 4 4 2 11 2" xfId="18105" xr:uid="{2312C6E4-FF4C-4531-8A14-97223565B0C1}"/>
    <cellStyle name="Normal 4 4 2 12" xfId="9862" xr:uid="{35F52F58-0004-40BB-9D93-3D4C1F0A5836}"/>
    <cellStyle name="Normal 4 4 2 2" xfId="380" xr:uid="{00000000-0005-0000-0000-0000C6140000}"/>
    <cellStyle name="Normal 4 4 2 2 10" xfId="8824" xr:uid="{FF218EA8-00A9-476B-AA88-FBBBBED2D06B}"/>
    <cellStyle name="Normal 4 4 2 2 10 2" xfId="18148" xr:uid="{4C334261-8049-4DA0-9789-27F9B1391D54}"/>
    <cellStyle name="Normal 4 4 2 2 11" xfId="9863" xr:uid="{D7EED4AD-0EDB-40B4-9392-68E722433CB7}"/>
    <cellStyle name="Normal 4 4 2 2 2" xfId="381" xr:uid="{00000000-0005-0000-0000-0000C7140000}"/>
    <cellStyle name="Normal 4 4 2 2 2 10" xfId="9864" xr:uid="{55A1A7DC-F0BF-42D5-B868-2326F56163E8}"/>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1F8D2174-E07C-4B94-AE22-BCD6E2393316}"/>
    <cellStyle name="Normal 4 4 2 2 2 2 2 2 3" xfId="12423" xr:uid="{80A728A1-A523-48C7-9238-BFD2CCDCCE39}"/>
    <cellStyle name="Normal 4 4 2 2 2 2 2 3" xfId="5169" xr:uid="{00000000-0005-0000-0000-0000CC140000}"/>
    <cellStyle name="Normal 4 4 2 2 2 2 2 3 2" xfId="14495" xr:uid="{7BB91C2A-0795-4AD2-9F20-E6D4E643E38F}"/>
    <cellStyle name="Normal 4 4 2 2 2 2 2 4" xfId="9559" xr:uid="{6E5E886C-D83F-47E6-AD2B-552CC2A98FD0}"/>
    <cellStyle name="Normal 4 4 2 2 2 2 2 4 2" xfId="18874" xr:uid="{7C81F96F-82F1-42FF-B682-6BB204AD427D}"/>
    <cellStyle name="Normal 4 4 2 2 2 2 2 5" xfId="10278" xr:uid="{61E8F9DE-9275-4075-AD68-3BA94A257461}"/>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1EAB2170-AE95-4816-9583-A7DF522291D6}"/>
    <cellStyle name="Normal 4 4 2 2 2 2 3 2 3" xfId="12836" xr:uid="{1E867F4A-5245-44DC-AB5F-ED35AE58021E}"/>
    <cellStyle name="Normal 4 4 2 2 2 2 3 3" xfId="5582" xr:uid="{00000000-0005-0000-0000-0000D0140000}"/>
    <cellStyle name="Normal 4 4 2 2 2 2 3 3 2" xfId="14908" xr:uid="{C1729E88-3A3F-44B2-AD0F-8851375AF118}"/>
    <cellStyle name="Normal 4 4 2 2 2 2 3 4" xfId="10691" xr:uid="{CF2A4204-7B79-4611-A8CF-BB4D91BAB5CB}"/>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E431D766-F919-41D3-90A5-E9C6BACC139B}"/>
    <cellStyle name="Normal 4 4 2 2 2 2 4 2 3" xfId="13249" xr:uid="{7F3A1179-FAED-475F-8904-8ED9CA550D8B}"/>
    <cellStyle name="Normal 4 4 2 2 2 2 4 3" xfId="5995" xr:uid="{00000000-0005-0000-0000-0000D4140000}"/>
    <cellStyle name="Normal 4 4 2 2 2 2 4 3 2" xfId="15321" xr:uid="{4BA0D615-CE53-4823-AE3F-5D63D371EA12}"/>
    <cellStyle name="Normal 4 4 2 2 2 2 4 4" xfId="11104" xr:uid="{A6323F4F-8827-43DB-B427-ECA34AFEE5E9}"/>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46C5CD1B-8AF8-43DD-ACAC-2391EB9E543F}"/>
    <cellStyle name="Normal 4 4 2 2 2 2 5 2 3" xfId="13662" xr:uid="{169E4BA0-703D-4839-9FA8-69F4F36402C8}"/>
    <cellStyle name="Normal 4 4 2 2 2 2 5 3" xfId="6408" xr:uid="{00000000-0005-0000-0000-0000D8140000}"/>
    <cellStyle name="Normal 4 4 2 2 2 2 5 3 2" xfId="15734" xr:uid="{7B663282-A70B-4F19-924A-241A46B2981F}"/>
    <cellStyle name="Normal 4 4 2 2 2 2 5 4" xfId="11517" xr:uid="{602FA5AF-FF91-4C76-9254-FEA3B120F910}"/>
    <cellStyle name="Normal 4 4 2 2 2 2 6" xfId="2538" xr:uid="{00000000-0005-0000-0000-0000D9140000}"/>
    <cellStyle name="Normal 4 4 2 2 2 2 6 2" xfId="6821" xr:uid="{00000000-0005-0000-0000-0000DA140000}"/>
    <cellStyle name="Normal 4 4 2 2 2 2 6 2 2" xfId="16147" xr:uid="{3B0CC1B9-C42B-4B3F-9B1B-7CD35CB7637C}"/>
    <cellStyle name="Normal 4 4 2 2 2 2 6 3" xfId="11930" xr:uid="{1808589A-EA81-40E6-B0F2-FFA744466D24}"/>
    <cellStyle name="Normal 4 4 2 2 2 2 7" xfId="4756" xr:uid="{00000000-0005-0000-0000-0000DB140000}"/>
    <cellStyle name="Normal 4 4 2 2 2 2 7 2" xfId="14082" xr:uid="{0BD5F202-45FF-4FC2-8159-247D9D2C0E72}"/>
    <cellStyle name="Normal 4 4 2 2 2 2 8" xfId="9134" xr:uid="{B37D4C66-6754-4A5E-BFF7-77694E4355C2}"/>
    <cellStyle name="Normal 4 4 2 2 2 2 8 2" xfId="18458" xr:uid="{CA54DD9A-45F4-4DE7-A094-D664F8F1FF0A}"/>
    <cellStyle name="Normal 4 4 2 2 2 2 9" xfId="9865" xr:uid="{51664E1A-B1CE-4BD2-9383-CC240AA33AE8}"/>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EDF19BA9-5A31-4192-B37F-A25DFCFA539B}"/>
    <cellStyle name="Normal 4 4 2 2 2 3 2 3" xfId="12422" xr:uid="{0FCA4778-55E8-41A4-88FB-35830C96766C}"/>
    <cellStyle name="Normal 4 4 2 2 2 3 3" xfId="5168" xr:uid="{00000000-0005-0000-0000-0000DF140000}"/>
    <cellStyle name="Normal 4 4 2 2 2 3 3 2" xfId="14494" xr:uid="{D8C48829-06CD-4BE1-8169-E7E01BAA3ECA}"/>
    <cellStyle name="Normal 4 4 2 2 2 3 4" xfId="9352" xr:uid="{76F31DA2-44D0-447F-BA9C-6271BA6AAE96}"/>
    <cellStyle name="Normal 4 4 2 2 2 3 4 2" xfId="18667" xr:uid="{C6AA9D47-E425-44F5-BECA-8679020ADA85}"/>
    <cellStyle name="Normal 4 4 2 2 2 3 5" xfId="10277" xr:uid="{3034AB9E-E4EE-482F-BF78-C4EACC2017F7}"/>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1415C2E0-3649-428D-968C-6AAA8D493857}"/>
    <cellStyle name="Normal 4 4 2 2 2 4 2 3" xfId="12835" xr:uid="{73819C2F-70D4-4C9F-BCDC-112F25CCB6B5}"/>
    <cellStyle name="Normal 4 4 2 2 2 4 3" xfId="5581" xr:uid="{00000000-0005-0000-0000-0000E3140000}"/>
    <cellStyle name="Normal 4 4 2 2 2 4 3 2" xfId="14907" xr:uid="{C9B54FCA-C608-4AAE-AF7C-67F68AC22649}"/>
    <cellStyle name="Normal 4 4 2 2 2 4 4" xfId="10690" xr:uid="{F60D85D0-C578-4FED-9FC8-300D9BA5600F}"/>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65AE3AC5-2B32-40F1-B3FD-A99E33DB1A41}"/>
    <cellStyle name="Normal 4 4 2 2 2 5 2 3" xfId="13248" xr:uid="{1F30E907-AB86-4A4A-BC7C-B2D8499F0A94}"/>
    <cellStyle name="Normal 4 4 2 2 2 5 3" xfId="5994" xr:uid="{00000000-0005-0000-0000-0000E7140000}"/>
    <cellStyle name="Normal 4 4 2 2 2 5 3 2" xfId="15320" xr:uid="{94296F69-0850-41A8-A9BF-6DFC50F21958}"/>
    <cellStyle name="Normal 4 4 2 2 2 5 4" xfId="11103" xr:uid="{3E0A4427-0427-4D95-9B04-8D9619707FB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952D30A6-D254-4A94-AE37-5D5666A0940E}"/>
    <cellStyle name="Normal 4 4 2 2 2 6 2 3" xfId="13661" xr:uid="{9D47C8C0-E195-4CAF-A2A1-22420874B805}"/>
    <cellStyle name="Normal 4 4 2 2 2 6 3" xfId="6407" xr:uid="{00000000-0005-0000-0000-0000EB140000}"/>
    <cellStyle name="Normal 4 4 2 2 2 6 3 2" xfId="15733" xr:uid="{FE3FE04A-3067-4F3C-82DC-8F54E289317A}"/>
    <cellStyle name="Normal 4 4 2 2 2 6 4" xfId="11516" xr:uid="{48EA9DE6-FD5B-41F1-AD5B-F8564DE1FB96}"/>
    <cellStyle name="Normal 4 4 2 2 2 7" xfId="2537" xr:uid="{00000000-0005-0000-0000-0000EC140000}"/>
    <cellStyle name="Normal 4 4 2 2 2 7 2" xfId="6820" xr:uid="{00000000-0005-0000-0000-0000ED140000}"/>
    <cellStyle name="Normal 4 4 2 2 2 7 2 2" xfId="16146" xr:uid="{9F2021F1-6A1C-43CC-B0B3-E09D44974ACD}"/>
    <cellStyle name="Normal 4 4 2 2 2 7 3" xfId="11929" xr:uid="{7064E28C-5FB2-482F-A7F2-E4F26023CBBC}"/>
    <cellStyle name="Normal 4 4 2 2 2 8" xfId="4755" xr:uid="{00000000-0005-0000-0000-0000EE140000}"/>
    <cellStyle name="Normal 4 4 2 2 2 8 2" xfId="14081" xr:uid="{9296E196-C3E9-49C8-BB4C-5013F5B19A93}"/>
    <cellStyle name="Normal 4 4 2 2 2 9" xfId="8927" xr:uid="{195B9197-F273-4D3B-B7A6-9CBAA360D528}"/>
    <cellStyle name="Normal 4 4 2 2 2 9 2" xfId="18251" xr:uid="{CEBE6CE7-196A-425C-BAEC-6D0BC876F72A}"/>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514C7F6D-9D37-41D5-AB3A-D1CA284E28C6}"/>
    <cellStyle name="Normal 4 4 2 2 3 2 2 3" xfId="12424" xr:uid="{A7F3B6D8-3446-4EE2-982D-6FE01C09BC71}"/>
    <cellStyle name="Normal 4 4 2 2 3 2 3" xfId="5170" xr:uid="{00000000-0005-0000-0000-0000F3140000}"/>
    <cellStyle name="Normal 4 4 2 2 3 2 3 2" xfId="14496" xr:uid="{FD412A0E-7F6A-4BF1-A2C4-B0E9C8D2E792}"/>
    <cellStyle name="Normal 4 4 2 2 3 2 4" xfId="9456" xr:uid="{7CB0B972-68D8-4A2C-A3A7-1D2BD109E44A}"/>
    <cellStyle name="Normal 4 4 2 2 3 2 4 2" xfId="18771" xr:uid="{AF4E7EC7-BA0C-4599-BB45-D9AD5A8E53B8}"/>
    <cellStyle name="Normal 4 4 2 2 3 2 5" xfId="10279" xr:uid="{0F3EE62A-D30E-4C13-ABA4-EBB698A8461F}"/>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54BD9FEF-1131-477D-B5C2-4FF2212110F5}"/>
    <cellStyle name="Normal 4 4 2 2 3 3 2 3" xfId="12837" xr:uid="{946CFF92-154F-43EE-B35B-D83EA3C47E73}"/>
    <cellStyle name="Normal 4 4 2 2 3 3 3" xfId="5583" xr:uid="{00000000-0005-0000-0000-0000F7140000}"/>
    <cellStyle name="Normal 4 4 2 2 3 3 3 2" xfId="14909" xr:uid="{FF4329F6-101F-4FAA-8CBA-C5BB450FB773}"/>
    <cellStyle name="Normal 4 4 2 2 3 3 4" xfId="10692" xr:uid="{A2FBDCF3-B64C-41C7-9CE5-B71BEB8F5D02}"/>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AFECE2A7-B7B7-4C26-99EB-4482A5F8A71A}"/>
    <cellStyle name="Normal 4 4 2 2 3 4 2 3" xfId="13250" xr:uid="{09EA1545-3E78-4170-B8B1-374F42707A4F}"/>
    <cellStyle name="Normal 4 4 2 2 3 4 3" xfId="5996" xr:uid="{00000000-0005-0000-0000-0000FB140000}"/>
    <cellStyle name="Normal 4 4 2 2 3 4 3 2" xfId="15322" xr:uid="{E46B91BD-944B-4F49-828D-24BA06B2EB7C}"/>
    <cellStyle name="Normal 4 4 2 2 3 4 4" xfId="11105" xr:uid="{A8663159-EC87-4DA7-BDDE-C8937850A4C4}"/>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F27A9215-EB71-4D2B-8D94-155FCE43E960}"/>
    <cellStyle name="Normal 4 4 2 2 3 5 2 3" xfId="13663" xr:uid="{41426F22-DC53-4107-972F-6411DF48ADF9}"/>
    <cellStyle name="Normal 4 4 2 2 3 5 3" xfId="6409" xr:uid="{00000000-0005-0000-0000-0000FF140000}"/>
    <cellStyle name="Normal 4 4 2 2 3 5 3 2" xfId="15735" xr:uid="{5A2DA2EB-46B0-42D8-A2CB-63FD95578891}"/>
    <cellStyle name="Normal 4 4 2 2 3 5 4" xfId="11518" xr:uid="{ADBD5D7A-9FE6-4EA1-AED6-2A26A6BD88DC}"/>
    <cellStyle name="Normal 4 4 2 2 3 6" xfId="2539" xr:uid="{00000000-0005-0000-0000-000000150000}"/>
    <cellStyle name="Normal 4 4 2 2 3 6 2" xfId="6822" xr:uid="{00000000-0005-0000-0000-000001150000}"/>
    <cellStyle name="Normal 4 4 2 2 3 6 2 2" xfId="16148" xr:uid="{419C827B-49BA-4793-AA65-4979196D65DC}"/>
    <cellStyle name="Normal 4 4 2 2 3 6 3" xfId="11931" xr:uid="{EE77213E-E5D5-44FE-8F47-FDF54BEE187F}"/>
    <cellStyle name="Normal 4 4 2 2 3 7" xfId="4757" xr:uid="{00000000-0005-0000-0000-000002150000}"/>
    <cellStyle name="Normal 4 4 2 2 3 7 2" xfId="14083" xr:uid="{5E2D582D-AB00-40D3-B36D-5BBF4F9CBB23}"/>
    <cellStyle name="Normal 4 4 2 2 3 8" xfId="9031" xr:uid="{F1B59444-328A-4279-8A0A-A9F7E26061D5}"/>
    <cellStyle name="Normal 4 4 2 2 3 8 2" xfId="18355" xr:uid="{F530958B-F8BD-4DE1-A4B0-A1134568CE89}"/>
    <cellStyle name="Normal 4 4 2 2 3 9" xfId="9866" xr:uid="{3ADCFD63-D9C8-4564-99EF-1E0189D24A15}"/>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488F1843-CB57-447A-97DC-2FB2D212FED7}"/>
    <cellStyle name="Normal 4 4 2 2 4 2 3" xfId="12421" xr:uid="{9FD5C11A-BB83-4D85-A6CB-F22184C1FFDA}"/>
    <cellStyle name="Normal 4 4 2 2 4 3" xfId="5167" xr:uid="{00000000-0005-0000-0000-000006150000}"/>
    <cellStyle name="Normal 4 4 2 2 4 3 2" xfId="14493" xr:uid="{B857BE09-EB36-459B-827E-04F4A93AFB58}"/>
    <cellStyle name="Normal 4 4 2 2 4 4" xfId="9249" xr:uid="{7E4CA7C7-738D-4CFA-907A-40590344548A}"/>
    <cellStyle name="Normal 4 4 2 2 4 4 2" xfId="18564" xr:uid="{77C622B0-2CBB-4223-97E5-36C5FA57DCFE}"/>
    <cellStyle name="Normal 4 4 2 2 4 5" xfId="10276" xr:uid="{E81E296B-FA72-42DF-A679-955328DA8FBC}"/>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B41A133E-53A6-43DF-B582-92DB8DAC57C0}"/>
    <cellStyle name="Normal 4 4 2 2 5 2 3" xfId="12834" xr:uid="{0861041E-B238-4AFF-9951-2FC5CF0BD9DC}"/>
    <cellStyle name="Normal 4 4 2 2 5 3" xfId="5580" xr:uid="{00000000-0005-0000-0000-00000A150000}"/>
    <cellStyle name="Normal 4 4 2 2 5 3 2" xfId="14906" xr:uid="{965F4E31-D545-4FCF-BB50-B11BD7DF5CED}"/>
    <cellStyle name="Normal 4 4 2 2 5 4" xfId="10689" xr:uid="{992CB825-AEC5-4B32-A06E-1108B7996D86}"/>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52887E97-28C7-4460-9EE2-94A341B26C27}"/>
    <cellStyle name="Normal 4 4 2 2 6 2 3" xfId="13247" xr:uid="{8102CEDB-72AD-4D06-9FD4-57602BBEB075}"/>
    <cellStyle name="Normal 4 4 2 2 6 3" xfId="5993" xr:uid="{00000000-0005-0000-0000-00000E150000}"/>
    <cellStyle name="Normal 4 4 2 2 6 3 2" xfId="15319" xr:uid="{10C0A902-A5C8-4004-B545-9A4131AD4DFE}"/>
    <cellStyle name="Normal 4 4 2 2 6 4" xfId="11102" xr:uid="{671E0087-06D5-451C-A908-1CFDAF558DD6}"/>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63841428-A8A8-43B6-B08B-C91C308AAB6D}"/>
    <cellStyle name="Normal 4 4 2 2 7 2 3" xfId="13660" xr:uid="{AA3AD2CA-E764-4E3C-9091-3A937935BA47}"/>
    <cellStyle name="Normal 4 4 2 2 7 3" xfId="6406" xr:uid="{00000000-0005-0000-0000-000012150000}"/>
    <cellStyle name="Normal 4 4 2 2 7 3 2" xfId="15732" xr:uid="{8886F552-417C-4BDC-9C4E-2C1B5C45524C}"/>
    <cellStyle name="Normal 4 4 2 2 7 4" xfId="11515" xr:uid="{A8C455DB-7AE0-4451-B982-06D67053C2A2}"/>
    <cellStyle name="Normal 4 4 2 2 8" xfId="2536" xr:uid="{00000000-0005-0000-0000-000013150000}"/>
    <cellStyle name="Normal 4 4 2 2 8 2" xfId="6819" xr:uid="{00000000-0005-0000-0000-000014150000}"/>
    <cellStyle name="Normal 4 4 2 2 8 2 2" xfId="16145" xr:uid="{AB571CE0-6078-4D05-A00B-04AE5C0AC756}"/>
    <cellStyle name="Normal 4 4 2 2 8 3" xfId="11928" xr:uid="{2233B751-55EA-4A09-B90E-B84943C2EB96}"/>
    <cellStyle name="Normal 4 4 2 2 9" xfId="4754" xr:uid="{00000000-0005-0000-0000-000015150000}"/>
    <cellStyle name="Normal 4 4 2 2 9 2" xfId="14080" xr:uid="{E410E460-39BE-4C34-867D-0AD3D210D962}"/>
    <cellStyle name="Normal 4 4 2 3" xfId="384" xr:uid="{00000000-0005-0000-0000-000016150000}"/>
    <cellStyle name="Normal 4 4 2 3 10" xfId="9867" xr:uid="{462FE119-5BEE-44DA-9BF9-38638032514A}"/>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51733AEF-C597-4246-A4F3-3D1BE1A597CF}"/>
    <cellStyle name="Normal 4 4 2 3 2 2 2 3" xfId="12426" xr:uid="{06B79D11-5EE3-4F7D-909B-E98B457E5DB2}"/>
    <cellStyle name="Normal 4 4 2 3 2 2 3" xfId="5172" xr:uid="{00000000-0005-0000-0000-00001B150000}"/>
    <cellStyle name="Normal 4 4 2 3 2 2 3 2" xfId="14498" xr:uid="{AA67B0DF-4921-4E50-868E-A744DDC233F7}"/>
    <cellStyle name="Normal 4 4 2 3 2 2 4" xfId="9516" xr:uid="{93008D3B-5827-4778-B167-5B518B5BF56F}"/>
    <cellStyle name="Normal 4 4 2 3 2 2 4 2" xfId="18831" xr:uid="{07E4A34A-EB88-46A4-ADB6-5A2BAAAB5550}"/>
    <cellStyle name="Normal 4 4 2 3 2 2 5" xfId="10281" xr:uid="{22A6D001-D5DF-4FA2-B0F3-B7D2AD1506B2}"/>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5F900A17-7C88-4776-AB06-386C28E3FAA2}"/>
    <cellStyle name="Normal 4 4 2 3 2 3 2 3" xfId="12839" xr:uid="{4C15C163-8DEA-4D17-B4D6-548551490FBA}"/>
    <cellStyle name="Normal 4 4 2 3 2 3 3" xfId="5585" xr:uid="{00000000-0005-0000-0000-00001F150000}"/>
    <cellStyle name="Normal 4 4 2 3 2 3 3 2" xfId="14911" xr:uid="{E3977A7F-AC1F-4121-8DF7-3F94DC634BF7}"/>
    <cellStyle name="Normal 4 4 2 3 2 3 4" xfId="10694" xr:uid="{0490D084-C612-4F6F-80B1-AB180815FD73}"/>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EFDBEDB1-BC00-46AE-9ED5-3C1DC23006AB}"/>
    <cellStyle name="Normal 4 4 2 3 2 4 2 3" xfId="13252" xr:uid="{901993BB-E94D-4F90-A0ED-A05F7C57BBEB}"/>
    <cellStyle name="Normal 4 4 2 3 2 4 3" xfId="5998" xr:uid="{00000000-0005-0000-0000-000023150000}"/>
    <cellStyle name="Normal 4 4 2 3 2 4 3 2" xfId="15324" xr:uid="{5577C962-4460-45E5-A3D6-6F6116DBB9FC}"/>
    <cellStyle name="Normal 4 4 2 3 2 4 4" xfId="11107" xr:uid="{CF5049FB-A0A2-4061-8A1E-ABA3912392F4}"/>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C0492F43-D6D3-49BC-95BD-36ABB7D751F8}"/>
    <cellStyle name="Normal 4 4 2 3 2 5 2 3" xfId="13665" xr:uid="{248D8C14-C0C7-4E56-9992-F40503E6E9D5}"/>
    <cellStyle name="Normal 4 4 2 3 2 5 3" xfId="6411" xr:uid="{00000000-0005-0000-0000-000027150000}"/>
    <cellStyle name="Normal 4 4 2 3 2 5 3 2" xfId="15737" xr:uid="{13ECFC1A-04F7-46EE-B04A-03B2DF0F78BD}"/>
    <cellStyle name="Normal 4 4 2 3 2 5 4" xfId="11520" xr:uid="{CB925105-882B-40E4-AF30-C81CF474C1EA}"/>
    <cellStyle name="Normal 4 4 2 3 2 6" xfId="2541" xr:uid="{00000000-0005-0000-0000-000028150000}"/>
    <cellStyle name="Normal 4 4 2 3 2 6 2" xfId="6824" xr:uid="{00000000-0005-0000-0000-000029150000}"/>
    <cellStyle name="Normal 4 4 2 3 2 6 2 2" xfId="16150" xr:uid="{05A4C513-E198-415B-8F1B-E2327185B11D}"/>
    <cellStyle name="Normal 4 4 2 3 2 6 3" xfId="11933" xr:uid="{72D0CAEC-5C6F-4DCB-9CB0-3BEB86E57DE0}"/>
    <cellStyle name="Normal 4 4 2 3 2 7" xfId="4759" xr:uid="{00000000-0005-0000-0000-00002A150000}"/>
    <cellStyle name="Normal 4 4 2 3 2 7 2" xfId="14085" xr:uid="{32EA0DC1-4C2A-43B0-8AD0-D7A59DE38F88}"/>
    <cellStyle name="Normal 4 4 2 3 2 8" xfId="9091" xr:uid="{9DBAED0A-05EE-4674-B1B7-8D03DBB53301}"/>
    <cellStyle name="Normal 4 4 2 3 2 8 2" xfId="18415" xr:uid="{A1DC9D5A-4BFB-4FF1-8780-B9AAB3094E6D}"/>
    <cellStyle name="Normal 4 4 2 3 2 9" xfId="9868" xr:uid="{C85DD378-8397-4365-B587-7019AEECD6DD}"/>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9E18B0F9-0AEC-4FB2-9780-28C2BAD607D5}"/>
    <cellStyle name="Normal 4 4 2 3 3 2 3" xfId="12425" xr:uid="{0FCCA2CA-DE5A-4545-B525-F5473A3D7AE3}"/>
    <cellStyle name="Normal 4 4 2 3 3 3" xfId="5171" xr:uid="{00000000-0005-0000-0000-00002E150000}"/>
    <cellStyle name="Normal 4 4 2 3 3 3 2" xfId="14497" xr:uid="{A3357AEC-BA26-44D0-80A7-D3FE124CA0B8}"/>
    <cellStyle name="Normal 4 4 2 3 3 4" xfId="9309" xr:uid="{73E912F6-92AF-449E-AE53-1DEDEF686C0F}"/>
    <cellStyle name="Normal 4 4 2 3 3 4 2" xfId="18624" xr:uid="{379BD34B-0E43-49E5-892B-F66919527C8C}"/>
    <cellStyle name="Normal 4 4 2 3 3 5" xfId="10280" xr:uid="{B9004871-5E7B-4EA2-9AAD-B7C407207FC8}"/>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6F84D0DC-7128-402B-876F-9340C34353A1}"/>
    <cellStyle name="Normal 4 4 2 3 4 2 3" xfId="12838" xr:uid="{B71BBC41-D7EE-46E6-9BD4-A6671BE82A10}"/>
    <cellStyle name="Normal 4 4 2 3 4 3" xfId="5584" xr:uid="{00000000-0005-0000-0000-000032150000}"/>
    <cellStyle name="Normal 4 4 2 3 4 3 2" xfId="14910" xr:uid="{487EC965-7B90-4C82-8E12-8E74D199B223}"/>
    <cellStyle name="Normal 4 4 2 3 4 4" xfId="10693" xr:uid="{246771CA-443F-4771-84C9-627467D9E509}"/>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99AB1CF2-BBB5-4340-9F46-D4E325A1DE22}"/>
    <cellStyle name="Normal 4 4 2 3 5 2 3" xfId="13251" xr:uid="{C24E3931-6981-435A-B646-B2613AE264A4}"/>
    <cellStyle name="Normal 4 4 2 3 5 3" xfId="5997" xr:uid="{00000000-0005-0000-0000-000036150000}"/>
    <cellStyle name="Normal 4 4 2 3 5 3 2" xfId="15323" xr:uid="{8A97C9E8-A534-4765-B4B3-798D16C99151}"/>
    <cellStyle name="Normal 4 4 2 3 5 4" xfId="11106" xr:uid="{203EBD5A-43B9-4E11-AF5C-51B0CC0AE3CC}"/>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37CB79A1-8A5B-4EBF-A09B-DB8E037E0791}"/>
    <cellStyle name="Normal 4 4 2 3 6 2 3" xfId="13664" xr:uid="{912FC329-F06F-46E3-BA00-8A70DE362EE8}"/>
    <cellStyle name="Normal 4 4 2 3 6 3" xfId="6410" xr:uid="{00000000-0005-0000-0000-00003A150000}"/>
    <cellStyle name="Normal 4 4 2 3 6 3 2" xfId="15736" xr:uid="{6FA01F6B-70D3-4D99-8E6F-67A7C7BEE3C0}"/>
    <cellStyle name="Normal 4 4 2 3 6 4" xfId="11519" xr:uid="{F0E02436-123A-4E37-A9B7-BF6DB3AE1128}"/>
    <cellStyle name="Normal 4 4 2 3 7" xfId="2540" xr:uid="{00000000-0005-0000-0000-00003B150000}"/>
    <cellStyle name="Normal 4 4 2 3 7 2" xfId="6823" xr:uid="{00000000-0005-0000-0000-00003C150000}"/>
    <cellStyle name="Normal 4 4 2 3 7 2 2" xfId="16149" xr:uid="{44811823-262F-4F0B-B272-604D0FD1C317}"/>
    <cellStyle name="Normal 4 4 2 3 7 3" xfId="11932" xr:uid="{93586BAF-E686-4F79-A329-2F98D2BE4F00}"/>
    <cellStyle name="Normal 4 4 2 3 8" xfId="4758" xr:uid="{00000000-0005-0000-0000-00003D150000}"/>
    <cellStyle name="Normal 4 4 2 3 8 2" xfId="14084" xr:uid="{193ED260-D51E-44E6-8AC5-B423A3EBEB96}"/>
    <cellStyle name="Normal 4 4 2 3 9" xfId="8884" xr:uid="{CBA8CCC0-D2E2-46C8-AC83-39734599F615}"/>
    <cellStyle name="Normal 4 4 2 3 9 2" xfId="18208" xr:uid="{3F02C8A8-251A-49A0-B567-BE9F9DBA7E57}"/>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A4E493AA-9E58-4DAB-93F5-A82873CC0E0F}"/>
    <cellStyle name="Normal 4 4 2 4 2 2 3" xfId="12427" xr:uid="{8969649E-CFD0-4B48-81AD-C525C418D66E}"/>
    <cellStyle name="Normal 4 4 2 4 2 3" xfId="5173" xr:uid="{00000000-0005-0000-0000-000042150000}"/>
    <cellStyle name="Normal 4 4 2 4 2 3 2" xfId="14499" xr:uid="{6632B4D5-1A19-486B-8F98-60F3CCE15346}"/>
    <cellStyle name="Normal 4 4 2 4 2 4" xfId="9413" xr:uid="{4DC092EA-7C69-4E02-9FE8-33F62D070F54}"/>
    <cellStyle name="Normal 4 4 2 4 2 4 2" xfId="18728" xr:uid="{248D7C5C-7FB0-443E-AD30-734118AB8E42}"/>
    <cellStyle name="Normal 4 4 2 4 2 5" xfId="10282" xr:uid="{41AF8762-E6B8-476A-8F18-A2DF8E74B969}"/>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D2C627C3-D084-43CC-99CA-18CC7B39B273}"/>
    <cellStyle name="Normal 4 4 2 4 3 2 3" xfId="12840" xr:uid="{77D0FE69-FBB0-41AE-A0C8-315FC997FCE5}"/>
    <cellStyle name="Normal 4 4 2 4 3 3" xfId="5586" xr:uid="{00000000-0005-0000-0000-000046150000}"/>
    <cellStyle name="Normal 4 4 2 4 3 3 2" xfId="14912" xr:uid="{F874CBF9-BE64-4AF0-B2AD-B3FC83AD6F32}"/>
    <cellStyle name="Normal 4 4 2 4 3 4" xfId="10695" xr:uid="{CDE87ACC-8DCD-4595-BE68-4D0758E58E83}"/>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9B1825BF-BB91-4276-82A2-3AD338CBBF61}"/>
    <cellStyle name="Normal 4 4 2 4 4 2 3" xfId="13253" xr:uid="{7A9A1961-18C2-483B-A8BD-86B959A6EF90}"/>
    <cellStyle name="Normal 4 4 2 4 4 3" xfId="5999" xr:uid="{00000000-0005-0000-0000-00004A150000}"/>
    <cellStyle name="Normal 4 4 2 4 4 3 2" xfId="15325" xr:uid="{C40C4522-CDC4-409F-B43F-180C1A3CEB90}"/>
    <cellStyle name="Normal 4 4 2 4 4 4" xfId="11108" xr:uid="{15922B1F-B2C8-4CBB-BD38-AAE4AAF7DB02}"/>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88B7FF3D-F689-4CFD-9E96-203D1846D970}"/>
    <cellStyle name="Normal 4 4 2 4 5 2 3" xfId="13666" xr:uid="{D0A48A61-5D64-4B8B-8AD8-B34F2EAAF389}"/>
    <cellStyle name="Normal 4 4 2 4 5 3" xfId="6412" xr:uid="{00000000-0005-0000-0000-00004E150000}"/>
    <cellStyle name="Normal 4 4 2 4 5 3 2" xfId="15738" xr:uid="{53C4243C-4DCA-4614-911E-009E013AA2F1}"/>
    <cellStyle name="Normal 4 4 2 4 5 4" xfId="11521" xr:uid="{00CDAFE5-5A85-409B-9C7F-B00A41AE9F7C}"/>
    <cellStyle name="Normal 4 4 2 4 6" xfId="2542" xr:uid="{00000000-0005-0000-0000-00004F150000}"/>
    <cellStyle name="Normal 4 4 2 4 6 2" xfId="6825" xr:uid="{00000000-0005-0000-0000-000050150000}"/>
    <cellStyle name="Normal 4 4 2 4 6 2 2" xfId="16151" xr:uid="{A4680841-6532-4497-BC1A-7B4DC616A3FF}"/>
    <cellStyle name="Normal 4 4 2 4 6 3" xfId="11934" xr:uid="{9865C520-CE8E-4566-BED5-3F4BF70A01CE}"/>
    <cellStyle name="Normal 4 4 2 4 7" xfId="4760" xr:uid="{00000000-0005-0000-0000-000051150000}"/>
    <cellStyle name="Normal 4 4 2 4 7 2" xfId="14086" xr:uid="{9961FE22-13DB-4A40-8544-E9600E249902}"/>
    <cellStyle name="Normal 4 4 2 4 8" xfId="8988" xr:uid="{F852E7B0-7ACD-4401-B3B6-BE989A5C8AD5}"/>
    <cellStyle name="Normal 4 4 2 4 8 2" xfId="18312" xr:uid="{3CD78837-949B-4A42-9EAF-258A6CD2E1D3}"/>
    <cellStyle name="Normal 4 4 2 4 9" xfId="9869" xr:uid="{B8D5B792-C932-4AD0-A5C0-D03926986C9E}"/>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CBAB75D5-749C-48F7-8A1F-7C51DC756388}"/>
    <cellStyle name="Normal 4 4 2 5 2 3" xfId="12420" xr:uid="{09CEDE30-D77B-4B29-A8C9-9A7494382A8D}"/>
    <cellStyle name="Normal 4 4 2 5 3" xfId="5166" xr:uid="{00000000-0005-0000-0000-000055150000}"/>
    <cellStyle name="Normal 4 4 2 5 3 2" xfId="14492" xr:uid="{E7D472F5-5910-4550-A643-5F4CC6464617}"/>
    <cellStyle name="Normal 4 4 2 5 4" xfId="9205" xr:uid="{A63DE01D-3EC8-40FC-A47E-E0EA001EED52}"/>
    <cellStyle name="Normal 4 4 2 5 4 2" xfId="18521" xr:uid="{6B816379-5B08-424C-AB6D-4C69341633A3}"/>
    <cellStyle name="Normal 4 4 2 5 5" xfId="10275" xr:uid="{CA4D3A99-3170-4A6E-A142-B94E3712724B}"/>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6419CB2C-B239-4819-BCE7-FE8217520784}"/>
    <cellStyle name="Normal 4 4 2 6 2 3" xfId="12833" xr:uid="{5BD9922F-665B-4A4E-8CFE-77B8AA25E7D2}"/>
    <cellStyle name="Normal 4 4 2 6 3" xfId="5579" xr:uid="{00000000-0005-0000-0000-000059150000}"/>
    <cellStyle name="Normal 4 4 2 6 3 2" xfId="14905" xr:uid="{3B74F804-AA22-4849-9C70-6E09A433CCB7}"/>
    <cellStyle name="Normal 4 4 2 6 4" xfId="10688" xr:uid="{92A94DFB-D510-47DF-8CE3-A076BDD6D148}"/>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A55FDC0B-046A-4BE4-A5C3-0221752C320E}"/>
    <cellStyle name="Normal 4 4 2 7 2 3" xfId="13246" xr:uid="{93B4E7E5-1945-4C3F-8E87-7583E0ABED1E}"/>
    <cellStyle name="Normal 4 4 2 7 3" xfId="5992" xr:uid="{00000000-0005-0000-0000-00005D150000}"/>
    <cellStyle name="Normal 4 4 2 7 3 2" xfId="15318" xr:uid="{C4E60927-B0AE-4AE7-8C4C-3A1FE89A4B04}"/>
    <cellStyle name="Normal 4 4 2 7 4" xfId="11101" xr:uid="{1CF5013C-9277-4082-894C-9627C8FFFD8E}"/>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FC6AAEA1-5CFE-4EA7-9F1E-F5F70A52D73E}"/>
    <cellStyle name="Normal 4 4 2 8 2 3" xfId="13659" xr:uid="{2FBDD604-5581-4C41-82DE-5A018F8FE32F}"/>
    <cellStyle name="Normal 4 4 2 8 3" xfId="6405" xr:uid="{00000000-0005-0000-0000-000061150000}"/>
    <cellStyle name="Normal 4 4 2 8 3 2" xfId="15731" xr:uid="{CC3C5B8C-3558-4AF0-B344-23D225F837DF}"/>
    <cellStyle name="Normal 4 4 2 8 4" xfId="11514" xr:uid="{FBB0295B-F301-4162-A7AF-97C897D57FED}"/>
    <cellStyle name="Normal 4 4 2 9" xfId="2535" xr:uid="{00000000-0005-0000-0000-000062150000}"/>
    <cellStyle name="Normal 4 4 2 9 2" xfId="6818" xr:uid="{00000000-0005-0000-0000-000063150000}"/>
    <cellStyle name="Normal 4 4 2 9 2 2" xfId="16144" xr:uid="{126643AA-5AC4-4341-9690-F7BF77277EF9}"/>
    <cellStyle name="Normal 4 4 2 9 3" xfId="11927" xr:uid="{537E35C6-BBF1-4BBF-98EF-14DAC16C80AE}"/>
    <cellStyle name="Normal 4 4 3" xfId="387" xr:uid="{00000000-0005-0000-0000-000064150000}"/>
    <cellStyle name="Normal 4 4 3 10" xfId="8823" xr:uid="{E623F102-F69B-4FD0-BEDA-A1480AF4D892}"/>
    <cellStyle name="Normal 4 4 3 10 2" xfId="18147" xr:uid="{808DF08E-B3B7-4088-BE59-4EA196903BF2}"/>
    <cellStyle name="Normal 4 4 3 11" xfId="9870" xr:uid="{4B01688B-4D12-405A-8661-1E095F5D9F3C}"/>
    <cellStyle name="Normal 4 4 3 2" xfId="388" xr:uid="{00000000-0005-0000-0000-000065150000}"/>
    <cellStyle name="Normal 4 4 3 2 10" xfId="9871" xr:uid="{1332AE1F-EC89-40A1-B76E-371B57CB5B6C}"/>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B9EB9563-2551-4A75-92D4-C8319FCEF0BE}"/>
    <cellStyle name="Normal 4 4 3 2 2 2 2 3" xfId="12430" xr:uid="{41F681F2-D75F-4590-984D-52489EE2C566}"/>
    <cellStyle name="Normal 4 4 3 2 2 2 3" xfId="5176" xr:uid="{00000000-0005-0000-0000-00006A150000}"/>
    <cellStyle name="Normal 4 4 3 2 2 2 3 2" xfId="14502" xr:uid="{00D69D34-08D5-4662-A796-0D733049364D}"/>
    <cellStyle name="Normal 4 4 3 2 2 2 4" xfId="9558" xr:uid="{8C9519E6-5920-473D-9749-EC61E4877632}"/>
    <cellStyle name="Normal 4 4 3 2 2 2 4 2" xfId="18873" xr:uid="{3F018186-65DF-409B-8D90-7434AD37635C}"/>
    <cellStyle name="Normal 4 4 3 2 2 2 5" xfId="10285" xr:uid="{FD46B951-C598-47D9-8C01-6B6C9A1DB8F4}"/>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4C79A9B9-7BB8-4D54-BD54-73762310B001}"/>
    <cellStyle name="Normal 4 4 3 2 2 3 2 3" xfId="12843" xr:uid="{68150AF2-D149-469A-BBF7-5952DF53EE0B}"/>
    <cellStyle name="Normal 4 4 3 2 2 3 3" xfId="5589" xr:uid="{00000000-0005-0000-0000-00006E150000}"/>
    <cellStyle name="Normal 4 4 3 2 2 3 3 2" xfId="14915" xr:uid="{5AFE3614-0A6B-4A63-8C3E-759BEECD43EF}"/>
    <cellStyle name="Normal 4 4 3 2 2 3 4" xfId="10698" xr:uid="{EB22F37F-0F3D-49D7-8008-A927D96E618F}"/>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4C04EA5D-F95A-4753-941F-7F2EF00AB527}"/>
    <cellStyle name="Normal 4 4 3 2 2 4 2 3" xfId="13256" xr:uid="{7F06D921-BB6E-4E94-98DC-9E54690D643B}"/>
    <cellStyle name="Normal 4 4 3 2 2 4 3" xfId="6002" xr:uid="{00000000-0005-0000-0000-000072150000}"/>
    <cellStyle name="Normal 4 4 3 2 2 4 3 2" xfId="15328" xr:uid="{E29170EB-D16A-40FC-954E-1BD3D11A380E}"/>
    <cellStyle name="Normal 4 4 3 2 2 4 4" xfId="11111" xr:uid="{B6172955-F111-4CCB-BE45-6340EA372416}"/>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A4BB86FD-E225-413F-A2CC-A17CBAA84BD9}"/>
    <cellStyle name="Normal 4 4 3 2 2 5 2 3" xfId="13669" xr:uid="{D1EECF3B-6CCC-455F-BA92-BE6C49C10AF9}"/>
    <cellStyle name="Normal 4 4 3 2 2 5 3" xfId="6415" xr:uid="{00000000-0005-0000-0000-000076150000}"/>
    <cellStyle name="Normal 4 4 3 2 2 5 3 2" xfId="15741" xr:uid="{1B6AFC4B-BCB6-47FB-934A-6AF6E2625915}"/>
    <cellStyle name="Normal 4 4 3 2 2 5 4" xfId="11524" xr:uid="{D019DE27-7DC3-4DF3-B10C-1386D5BAC4CF}"/>
    <cellStyle name="Normal 4 4 3 2 2 6" xfId="2545" xr:uid="{00000000-0005-0000-0000-000077150000}"/>
    <cellStyle name="Normal 4 4 3 2 2 6 2" xfId="6828" xr:uid="{00000000-0005-0000-0000-000078150000}"/>
    <cellStyle name="Normal 4 4 3 2 2 6 2 2" xfId="16154" xr:uid="{ABEF917E-1179-4A3F-A994-473203A70E02}"/>
    <cellStyle name="Normal 4 4 3 2 2 6 3" xfId="11937" xr:uid="{39EAE0B1-E1D3-4BA9-BFC6-24D76EC63B8D}"/>
    <cellStyle name="Normal 4 4 3 2 2 7" xfId="4763" xr:uid="{00000000-0005-0000-0000-000079150000}"/>
    <cellStyle name="Normal 4 4 3 2 2 7 2" xfId="14089" xr:uid="{E5B3B877-0DB8-4CDB-85C3-EBAB2E0652A3}"/>
    <cellStyle name="Normal 4 4 3 2 2 8" xfId="9133" xr:uid="{37002A66-D58A-4EF9-8D22-8F1A3EE99E08}"/>
    <cellStyle name="Normal 4 4 3 2 2 8 2" xfId="18457" xr:uid="{1744E930-69E4-4229-9691-6E5A8C2B7107}"/>
    <cellStyle name="Normal 4 4 3 2 2 9" xfId="9872" xr:uid="{DFDE19D8-5935-45DE-9088-1F10F2821BEC}"/>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F8E79A64-B739-497C-8AF7-0356F99EED20}"/>
    <cellStyle name="Normal 4 4 3 2 3 2 3" xfId="12429" xr:uid="{008B56AB-7A2E-4922-8431-9F4D6F57A539}"/>
    <cellStyle name="Normal 4 4 3 2 3 3" xfId="5175" xr:uid="{00000000-0005-0000-0000-00007D150000}"/>
    <cellStyle name="Normal 4 4 3 2 3 3 2" xfId="14501" xr:uid="{BB002B24-F4D3-461B-BE66-93931D485391}"/>
    <cellStyle name="Normal 4 4 3 2 3 4" xfId="9351" xr:uid="{51AD2B95-755A-411D-AA40-98381F5D8294}"/>
    <cellStyle name="Normal 4 4 3 2 3 4 2" xfId="18666" xr:uid="{D4E5626A-7508-4E6D-9DB4-AB19EED0D37F}"/>
    <cellStyle name="Normal 4 4 3 2 3 5" xfId="10284" xr:uid="{CEDF705C-D6C5-446D-AFD2-3F0261E4FF8E}"/>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5393810D-269B-4A79-8720-5C97555793D7}"/>
    <cellStyle name="Normal 4 4 3 2 4 2 3" xfId="12842" xr:uid="{FD53C1A0-8523-4F40-9D8D-5BE223B38901}"/>
    <cellStyle name="Normal 4 4 3 2 4 3" xfId="5588" xr:uid="{00000000-0005-0000-0000-000081150000}"/>
    <cellStyle name="Normal 4 4 3 2 4 3 2" xfId="14914" xr:uid="{A241E7BF-D401-4B8D-863B-B6C2C83184B7}"/>
    <cellStyle name="Normal 4 4 3 2 4 4" xfId="10697" xr:uid="{A3C34946-7982-45A0-803B-D9EEA344EE94}"/>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6EE18FC5-CC6F-42A8-B525-7B437D48E00D}"/>
    <cellStyle name="Normal 4 4 3 2 5 2 3" xfId="13255" xr:uid="{82FC7DBD-761A-4C58-A8AC-E4B0C9B8EB1D}"/>
    <cellStyle name="Normal 4 4 3 2 5 3" xfId="6001" xr:uid="{00000000-0005-0000-0000-000085150000}"/>
    <cellStyle name="Normal 4 4 3 2 5 3 2" xfId="15327" xr:uid="{F6C9D47E-2921-4596-8C0B-80C537304ADD}"/>
    <cellStyle name="Normal 4 4 3 2 5 4" xfId="11110" xr:uid="{808F1196-ACBF-4C9B-A861-B58DF6741D5D}"/>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13ABA9D1-BCF3-42FF-A132-13972CACB18F}"/>
    <cellStyle name="Normal 4 4 3 2 6 2 3" xfId="13668" xr:uid="{BA183499-4D6B-4980-96B3-24FF758B5EE8}"/>
    <cellStyle name="Normal 4 4 3 2 6 3" xfId="6414" xr:uid="{00000000-0005-0000-0000-000089150000}"/>
    <cellStyle name="Normal 4 4 3 2 6 3 2" xfId="15740" xr:uid="{3A2CFB7D-506F-4FCC-A4F8-933ACF4B33BA}"/>
    <cellStyle name="Normal 4 4 3 2 6 4" xfId="11523" xr:uid="{7BA33529-3F68-4118-B673-C54FFA62B66C}"/>
    <cellStyle name="Normal 4 4 3 2 7" xfId="2544" xr:uid="{00000000-0005-0000-0000-00008A150000}"/>
    <cellStyle name="Normal 4 4 3 2 7 2" xfId="6827" xr:uid="{00000000-0005-0000-0000-00008B150000}"/>
    <cellStyle name="Normal 4 4 3 2 7 2 2" xfId="16153" xr:uid="{2A02154C-8877-4FF4-8C35-16948832FE32}"/>
    <cellStyle name="Normal 4 4 3 2 7 3" xfId="11936" xr:uid="{86B2AF24-39AB-4292-A104-E43A42F5994A}"/>
    <cellStyle name="Normal 4 4 3 2 8" xfId="4762" xr:uid="{00000000-0005-0000-0000-00008C150000}"/>
    <cellStyle name="Normal 4 4 3 2 8 2" xfId="14088" xr:uid="{0BF4905C-516B-4278-A8D2-AEF0089CA570}"/>
    <cellStyle name="Normal 4 4 3 2 9" xfId="8926" xr:uid="{821D1F47-EF8D-4C64-BA70-5606A81A57B5}"/>
    <cellStyle name="Normal 4 4 3 2 9 2" xfId="18250" xr:uid="{60291A8E-11D6-432B-BFE4-0AAE390F73AE}"/>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A33FC5C2-1DEF-40D6-B0ED-F5C30D3806E0}"/>
    <cellStyle name="Normal 4 4 3 3 2 2 3" xfId="12431" xr:uid="{BB394AA9-F633-4E67-8058-392D4CA322C1}"/>
    <cellStyle name="Normal 4 4 3 3 2 3" xfId="5177" xr:uid="{00000000-0005-0000-0000-000091150000}"/>
    <cellStyle name="Normal 4 4 3 3 2 3 2" xfId="14503" xr:uid="{E256F1A8-9576-426E-B326-7D8004DD76EF}"/>
    <cellStyle name="Normal 4 4 3 3 2 4" xfId="9455" xr:uid="{E39EB3A2-D99A-426C-AFEC-E4C90C85BE02}"/>
    <cellStyle name="Normal 4 4 3 3 2 4 2" xfId="18770" xr:uid="{61B3A87D-F84C-4DD3-BF09-25101B2078CD}"/>
    <cellStyle name="Normal 4 4 3 3 2 5" xfId="10286" xr:uid="{3ADACF03-2707-48CD-A11B-36AE7F4F6258}"/>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2427A787-6E31-46F5-90C9-697DCD7DD322}"/>
    <cellStyle name="Normal 4 4 3 3 3 2 3" xfId="12844" xr:uid="{790CC470-DE29-46E3-BB9C-206C7446E42F}"/>
    <cellStyle name="Normal 4 4 3 3 3 3" xfId="5590" xr:uid="{00000000-0005-0000-0000-000095150000}"/>
    <cellStyle name="Normal 4 4 3 3 3 3 2" xfId="14916" xr:uid="{D27ED724-3790-4D9E-A3B2-F81957FDC6E9}"/>
    <cellStyle name="Normal 4 4 3 3 3 4" xfId="10699" xr:uid="{CDF0928D-0CC3-4530-8AD2-EFD9A7F67AB7}"/>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E6695DFD-ADC5-4BF8-AD24-7A5A3D22AA9F}"/>
    <cellStyle name="Normal 4 4 3 3 4 2 3" xfId="13257" xr:uid="{7E669088-CA35-4A50-951F-5051C2E10B8C}"/>
    <cellStyle name="Normal 4 4 3 3 4 3" xfId="6003" xr:uid="{00000000-0005-0000-0000-000099150000}"/>
    <cellStyle name="Normal 4 4 3 3 4 3 2" xfId="15329" xr:uid="{50367C60-319E-4BAA-9579-16F7841B600F}"/>
    <cellStyle name="Normal 4 4 3 3 4 4" xfId="11112" xr:uid="{8553C49D-7BF3-42E4-A462-717C76B2D8E9}"/>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A8F9F65B-0824-491D-A54C-5D94AEE9CD4E}"/>
    <cellStyle name="Normal 4 4 3 3 5 2 3" xfId="13670" xr:uid="{16891418-B718-4E63-86E6-237A1807E6C9}"/>
    <cellStyle name="Normal 4 4 3 3 5 3" xfId="6416" xr:uid="{00000000-0005-0000-0000-00009D150000}"/>
    <cellStyle name="Normal 4 4 3 3 5 3 2" xfId="15742" xr:uid="{8E3CDAB5-943A-43AA-AB51-97647625A4AC}"/>
    <cellStyle name="Normal 4 4 3 3 5 4" xfId="11525" xr:uid="{3153F5C7-312B-4123-90D7-0884D7BF7F1A}"/>
    <cellStyle name="Normal 4 4 3 3 6" xfId="2546" xr:uid="{00000000-0005-0000-0000-00009E150000}"/>
    <cellStyle name="Normal 4 4 3 3 6 2" xfId="6829" xr:uid="{00000000-0005-0000-0000-00009F150000}"/>
    <cellStyle name="Normal 4 4 3 3 6 2 2" xfId="16155" xr:uid="{B2A3833C-A188-439D-9C23-8F2C5DE40A0D}"/>
    <cellStyle name="Normal 4 4 3 3 6 3" xfId="11938" xr:uid="{5EC09132-D3F7-4D79-9400-AE1A04BD9D4E}"/>
    <cellStyle name="Normal 4 4 3 3 7" xfId="4764" xr:uid="{00000000-0005-0000-0000-0000A0150000}"/>
    <cellStyle name="Normal 4 4 3 3 7 2" xfId="14090" xr:uid="{75BF2EB3-3EF7-42B4-9023-90A6FB0DB0E7}"/>
    <cellStyle name="Normal 4 4 3 3 8" xfId="9030" xr:uid="{F975DAAD-4546-4770-9976-5C5C66DA227B}"/>
    <cellStyle name="Normal 4 4 3 3 8 2" xfId="18354" xr:uid="{89F66E26-B6DD-4E23-8EB4-826EEC489375}"/>
    <cellStyle name="Normal 4 4 3 3 9" xfId="9873" xr:uid="{80911AC2-720D-42CD-8EA0-C982E9229A1E}"/>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121A5509-1E2C-4EF6-BC23-BC50A7F902D9}"/>
    <cellStyle name="Normal 4 4 3 4 2 3" xfId="12428" xr:uid="{CD9DF527-C218-400F-B454-77CBF671FE2E}"/>
    <cellStyle name="Normal 4 4 3 4 3" xfId="5174" xr:uid="{00000000-0005-0000-0000-0000A4150000}"/>
    <cellStyle name="Normal 4 4 3 4 3 2" xfId="14500" xr:uid="{2283F687-F77A-4E61-B5F3-73AF3ED77727}"/>
    <cellStyle name="Normal 4 4 3 4 4" xfId="9248" xr:uid="{6C5F877B-48E6-47C2-B849-E53F373D5A86}"/>
    <cellStyle name="Normal 4 4 3 4 4 2" xfId="18563" xr:uid="{B8697A44-1C17-4B33-ADE7-2589785B2F17}"/>
    <cellStyle name="Normal 4 4 3 4 5" xfId="10283" xr:uid="{659607C9-ACFF-4135-9DC3-3CAC4D7EC69E}"/>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9953F9E8-A56A-47E4-90CC-8C0AAE2977AF}"/>
    <cellStyle name="Normal 4 4 3 5 2 3" xfId="12841" xr:uid="{5C714E2C-A75B-40F2-8A1C-087CB0CB6A9E}"/>
    <cellStyle name="Normal 4 4 3 5 3" xfId="5587" xr:uid="{00000000-0005-0000-0000-0000A8150000}"/>
    <cellStyle name="Normal 4 4 3 5 3 2" xfId="14913" xr:uid="{8F59F47D-8755-419A-A8E4-FA048AF2FBEC}"/>
    <cellStyle name="Normal 4 4 3 5 4" xfId="10696" xr:uid="{AA096471-C304-43FE-BACB-F43A19AA0430}"/>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83B42A4B-C2CA-4ACE-AA3C-696408CE4B3F}"/>
    <cellStyle name="Normal 4 4 3 6 2 3" xfId="13254" xr:uid="{398BCC8D-3ACF-47B4-A4B6-E8015882A9E7}"/>
    <cellStyle name="Normal 4 4 3 6 3" xfId="6000" xr:uid="{00000000-0005-0000-0000-0000AC150000}"/>
    <cellStyle name="Normal 4 4 3 6 3 2" xfId="15326" xr:uid="{F3093C21-00CA-4B13-923F-342A7D47A156}"/>
    <cellStyle name="Normal 4 4 3 6 4" xfId="11109" xr:uid="{44A8E881-AC79-4D14-8E01-FE1C89F60053}"/>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F489A1C7-0B1C-4F9E-8B39-84F95ECD9C46}"/>
    <cellStyle name="Normal 4 4 3 7 2 3" xfId="13667" xr:uid="{EE3EEE4B-2FC4-4A48-B069-80C53134908A}"/>
    <cellStyle name="Normal 4 4 3 7 3" xfId="6413" xr:uid="{00000000-0005-0000-0000-0000B0150000}"/>
    <cellStyle name="Normal 4 4 3 7 3 2" xfId="15739" xr:uid="{8AF5AB78-9857-40BC-B350-25AD63FAA157}"/>
    <cellStyle name="Normal 4 4 3 7 4" xfId="11522" xr:uid="{1B1D4B18-6876-4D10-8CC0-7D7C96E86290}"/>
    <cellStyle name="Normal 4 4 3 8" xfId="2543" xr:uid="{00000000-0005-0000-0000-0000B1150000}"/>
    <cellStyle name="Normal 4 4 3 8 2" xfId="6826" xr:uid="{00000000-0005-0000-0000-0000B2150000}"/>
    <cellStyle name="Normal 4 4 3 8 2 2" xfId="16152" xr:uid="{1846DD1F-B7F0-4F73-9CAB-70913AD8E784}"/>
    <cellStyle name="Normal 4 4 3 8 3" xfId="11935" xr:uid="{C2DE3210-9E26-4F2E-B467-1B17F3638708}"/>
    <cellStyle name="Normal 4 4 3 9" xfId="4761" xr:uid="{00000000-0005-0000-0000-0000B3150000}"/>
    <cellStyle name="Normal 4 4 3 9 2" xfId="14087" xr:uid="{184DFFE3-CDCC-40BF-BFF1-DF3E361A5475}"/>
    <cellStyle name="Normal 4 4 4" xfId="391" xr:uid="{00000000-0005-0000-0000-0000B4150000}"/>
    <cellStyle name="Normal 4 4 4 10" xfId="9874" xr:uid="{FCBB74BF-7BAA-4A9A-BAC1-C61E5A2A19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EEB6CF18-DC14-44CB-8301-06924272EF65}"/>
    <cellStyle name="Normal 4 4 4 2 2 2 3" xfId="12433" xr:uid="{F6E88418-ED64-48AF-B8C6-E939CE827BA3}"/>
    <cellStyle name="Normal 4 4 4 2 2 3" xfId="5179" xr:uid="{00000000-0005-0000-0000-0000B9150000}"/>
    <cellStyle name="Normal 4 4 4 2 2 3 2" xfId="14505" xr:uid="{5230E935-8D45-4B70-808B-B664DFA2ED23}"/>
    <cellStyle name="Normal 4 4 4 2 2 4" xfId="9484" xr:uid="{69910E0C-08C8-41C5-A6FC-61B52F6CD538}"/>
    <cellStyle name="Normal 4 4 4 2 2 4 2" xfId="18799" xr:uid="{072BD404-6FD9-464C-BEA0-B41F4832C9CC}"/>
    <cellStyle name="Normal 4 4 4 2 2 5" xfId="10288" xr:uid="{EFE16A99-A585-4CC3-8C1B-B44238634B36}"/>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35B4BF21-5935-4C22-BDF9-8EC2863A3695}"/>
    <cellStyle name="Normal 4 4 4 2 3 2 3" xfId="12846" xr:uid="{6B9FC0D2-CFC6-4CA3-B3A2-8DEE7B3FC6F8}"/>
    <cellStyle name="Normal 4 4 4 2 3 3" xfId="5592" xr:uid="{00000000-0005-0000-0000-0000BD150000}"/>
    <cellStyle name="Normal 4 4 4 2 3 3 2" xfId="14918" xr:uid="{911493FF-0152-4504-8D48-B6478D18694D}"/>
    <cellStyle name="Normal 4 4 4 2 3 4" xfId="10701" xr:uid="{5F7A13E3-7152-4830-A6B0-CADDB98D2EE8}"/>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D8A6044A-FF6F-42A8-87F6-6EDC4A3D628B}"/>
    <cellStyle name="Normal 4 4 4 2 4 2 3" xfId="13259" xr:uid="{1E8C776C-5BD7-447D-B71B-0EBDA5838383}"/>
    <cellStyle name="Normal 4 4 4 2 4 3" xfId="6005" xr:uid="{00000000-0005-0000-0000-0000C1150000}"/>
    <cellStyle name="Normal 4 4 4 2 4 3 2" xfId="15331" xr:uid="{C38D49BE-62F5-43DE-ABF9-BD27024186D9}"/>
    <cellStyle name="Normal 4 4 4 2 4 4" xfId="11114" xr:uid="{0D6856E4-C7C6-4B45-8B73-0F7225DBFE42}"/>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1F2437A3-1182-4826-94D9-28D2861C0A8A}"/>
    <cellStyle name="Normal 4 4 4 2 5 2 3" xfId="13672" xr:uid="{0A4EA174-BFAD-4B6E-B987-6478FE495B25}"/>
    <cellStyle name="Normal 4 4 4 2 5 3" xfId="6418" xr:uid="{00000000-0005-0000-0000-0000C5150000}"/>
    <cellStyle name="Normal 4 4 4 2 5 3 2" xfId="15744" xr:uid="{F21F4CEB-2CE6-4856-8EAD-408D0356EC4C}"/>
    <cellStyle name="Normal 4 4 4 2 5 4" xfId="11527" xr:uid="{6C2056C7-2605-4898-8348-F7BEC9C7BAE5}"/>
    <cellStyle name="Normal 4 4 4 2 6" xfId="2548" xr:uid="{00000000-0005-0000-0000-0000C6150000}"/>
    <cellStyle name="Normal 4 4 4 2 6 2" xfId="6831" xr:uid="{00000000-0005-0000-0000-0000C7150000}"/>
    <cellStyle name="Normal 4 4 4 2 6 2 2" xfId="16157" xr:uid="{3FA0673B-72CB-4BA9-9509-4D5DA52386DF}"/>
    <cellStyle name="Normal 4 4 4 2 6 3" xfId="11940" xr:uid="{B0736787-249C-40E4-8469-BDDB87392431}"/>
    <cellStyle name="Normal 4 4 4 2 7" xfId="4766" xr:uid="{00000000-0005-0000-0000-0000C8150000}"/>
    <cellStyle name="Normal 4 4 4 2 7 2" xfId="14092" xr:uid="{E4ACF355-FCE7-47C3-AB26-2436E7A1BB7D}"/>
    <cellStyle name="Normal 4 4 4 2 8" xfId="9059" xr:uid="{76617FCA-DBA6-4291-BD32-6340A19903F7}"/>
    <cellStyle name="Normal 4 4 4 2 8 2" xfId="18383" xr:uid="{C6482301-D94A-44F1-AD14-7C612C5E935B}"/>
    <cellStyle name="Normal 4 4 4 2 9" xfId="9875" xr:uid="{DB653621-4A03-4EFC-BAE3-D8F05CC850FD}"/>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77B14749-A6B3-44D3-A566-2C0BF0E016D9}"/>
    <cellStyle name="Normal 4 4 4 3 2 3" xfId="12432" xr:uid="{654A5BD9-DBD3-4D39-BB77-9A14F2FB2945}"/>
    <cellStyle name="Normal 4 4 4 3 3" xfId="5178" xr:uid="{00000000-0005-0000-0000-0000CC150000}"/>
    <cellStyle name="Normal 4 4 4 3 3 2" xfId="14504" xr:uid="{55487587-60EB-4674-B855-24E7234BA593}"/>
    <cellStyle name="Normal 4 4 4 3 4" xfId="9277" xr:uid="{DD01CD29-2559-4BCC-919C-99D1D75C445F}"/>
    <cellStyle name="Normal 4 4 4 3 4 2" xfId="18592" xr:uid="{F6BA6894-5F46-4501-AEBE-54A95BFBF9EB}"/>
    <cellStyle name="Normal 4 4 4 3 5" xfId="10287" xr:uid="{4957EF43-E222-4DC6-9BD5-4F8B4A0CE9E9}"/>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1DE518D4-2AF6-42D3-92E8-822217CA1979}"/>
    <cellStyle name="Normal 4 4 4 4 2 3" xfId="12845" xr:uid="{C40046EC-2B66-47E5-8D00-99409D31F948}"/>
    <cellStyle name="Normal 4 4 4 4 3" xfId="5591" xr:uid="{00000000-0005-0000-0000-0000D0150000}"/>
    <cellStyle name="Normal 4 4 4 4 3 2" xfId="14917" xr:uid="{4DD62162-5344-4CD6-B412-897B32605F43}"/>
    <cellStyle name="Normal 4 4 4 4 4" xfId="10700" xr:uid="{650C1701-E246-4B42-B093-2970D4C53426}"/>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52379824-415B-405A-9F40-9F10BAF3EB4B}"/>
    <cellStyle name="Normal 4 4 4 5 2 3" xfId="13258" xr:uid="{7E1D43CE-095E-40C5-B27D-71F00EDDFF73}"/>
    <cellStyle name="Normal 4 4 4 5 3" xfId="6004" xr:uid="{00000000-0005-0000-0000-0000D4150000}"/>
    <cellStyle name="Normal 4 4 4 5 3 2" xfId="15330" xr:uid="{1E76EEBE-09B3-4A2A-8C88-D28CD3E4AEEF}"/>
    <cellStyle name="Normal 4 4 4 5 4" xfId="11113" xr:uid="{641A07AB-7AC9-4A70-AF8A-5D38AE695FB7}"/>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08778E7B-3B38-4C2F-B4A4-70E48719738C}"/>
    <cellStyle name="Normal 4 4 4 6 2 3" xfId="13671" xr:uid="{F3DCA0EF-B104-4BBC-89CC-21FC542B724D}"/>
    <cellStyle name="Normal 4 4 4 6 3" xfId="6417" xr:uid="{00000000-0005-0000-0000-0000D8150000}"/>
    <cellStyle name="Normal 4 4 4 6 3 2" xfId="15743" xr:uid="{3D27C96C-5CF7-4704-BBE2-B5F941FBD059}"/>
    <cellStyle name="Normal 4 4 4 6 4" xfId="11526" xr:uid="{16D6253C-5ED0-4E1D-9174-144B07278B71}"/>
    <cellStyle name="Normal 4 4 4 7" xfId="2547" xr:uid="{00000000-0005-0000-0000-0000D9150000}"/>
    <cellStyle name="Normal 4 4 4 7 2" xfId="6830" xr:uid="{00000000-0005-0000-0000-0000DA150000}"/>
    <cellStyle name="Normal 4 4 4 7 2 2" xfId="16156" xr:uid="{9D50F1BF-DBDD-4DC9-A72E-E6570013EC2E}"/>
    <cellStyle name="Normal 4 4 4 7 3" xfId="11939" xr:uid="{9F283002-07FD-422C-A6B9-06B6124942AE}"/>
    <cellStyle name="Normal 4 4 4 8" xfId="4765" xr:uid="{00000000-0005-0000-0000-0000DB150000}"/>
    <cellStyle name="Normal 4 4 4 8 2" xfId="14091" xr:uid="{B1D89854-10DA-486E-BBBA-080AC173327E}"/>
    <cellStyle name="Normal 4 4 4 9" xfId="8852" xr:uid="{DF4BB962-85B1-44B5-A0FE-735796672772}"/>
    <cellStyle name="Normal 4 4 4 9 2" xfId="18176" xr:uid="{A3CC3CA3-2A76-4C62-8C8F-C7C33EAA9854}"/>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4C39B5D5-1810-4708-970C-A5CFED5D38AD}"/>
    <cellStyle name="Normal 4 4 5 2 2 3" xfId="12434" xr:uid="{71B3794B-9D35-422D-BF49-0335E0A53F8E}"/>
    <cellStyle name="Normal 4 4 5 2 3" xfId="5180" xr:uid="{00000000-0005-0000-0000-0000E0150000}"/>
    <cellStyle name="Normal 4 4 5 2 3 2" xfId="14506" xr:uid="{9D753583-2A05-4CC7-9655-43687A21A396}"/>
    <cellStyle name="Normal 4 4 5 2 4" xfId="9393" xr:uid="{C2991CC4-4E0B-46C4-B338-C6A1C9BA2DE9}"/>
    <cellStyle name="Normal 4 4 5 2 4 2" xfId="18708" xr:uid="{851AFB81-C7CF-42C6-B5CA-2A83D18AF0FC}"/>
    <cellStyle name="Normal 4 4 5 2 5" xfId="10289" xr:uid="{F117D2EF-5F0A-4594-A232-BFEB92578BC0}"/>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BC401ABD-AF56-49C5-8F5A-6616B6A1A8EF}"/>
    <cellStyle name="Normal 4 4 5 3 2 3" xfId="12847" xr:uid="{754E1EBA-EDD4-4330-A02A-1A6BBA5FCDE2}"/>
    <cellStyle name="Normal 4 4 5 3 3" xfId="5593" xr:uid="{00000000-0005-0000-0000-0000E4150000}"/>
    <cellStyle name="Normal 4 4 5 3 3 2" xfId="14919" xr:uid="{9ABB5FCC-1D8E-43BB-A3B4-B20166C1A483}"/>
    <cellStyle name="Normal 4 4 5 3 4" xfId="10702" xr:uid="{4AF43508-BE4B-4899-A8B4-4410B140BA94}"/>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E7CA49F4-B2B9-4807-8213-BC0C9341B8BA}"/>
    <cellStyle name="Normal 4 4 5 4 2 3" xfId="13260" xr:uid="{66327426-6CC8-4FD7-A9F9-02925F31A9A5}"/>
    <cellStyle name="Normal 4 4 5 4 3" xfId="6006" xr:uid="{00000000-0005-0000-0000-0000E8150000}"/>
    <cellStyle name="Normal 4 4 5 4 3 2" xfId="15332" xr:uid="{0CFDE07E-189F-4394-BF4F-45F511FE6AC0}"/>
    <cellStyle name="Normal 4 4 5 4 4" xfId="11115" xr:uid="{3BC4A54C-A841-4F63-94AD-CD6ADAE2B5A0}"/>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7A494309-03DA-4D67-BBA9-557649ECFEA0}"/>
    <cellStyle name="Normal 4 4 5 5 2 3" xfId="13673" xr:uid="{5B479778-B85F-4361-A7AB-70D309FF9F79}"/>
    <cellStyle name="Normal 4 4 5 5 3" xfId="6419" xr:uid="{00000000-0005-0000-0000-0000EC150000}"/>
    <cellStyle name="Normal 4 4 5 5 3 2" xfId="15745" xr:uid="{96D5F8FB-DB27-404D-999E-0E91036AC543}"/>
    <cellStyle name="Normal 4 4 5 5 4" xfId="11528" xr:uid="{824688F2-C83A-42D4-9573-058174F500DC}"/>
    <cellStyle name="Normal 4 4 5 6" xfId="2549" xr:uid="{00000000-0005-0000-0000-0000ED150000}"/>
    <cellStyle name="Normal 4 4 5 6 2" xfId="6832" xr:uid="{00000000-0005-0000-0000-0000EE150000}"/>
    <cellStyle name="Normal 4 4 5 6 2 2" xfId="16158" xr:uid="{D22ABE9C-0868-48D3-9162-4EC013DE043C}"/>
    <cellStyle name="Normal 4 4 5 6 3" xfId="11941" xr:uid="{35EC37D9-5F77-4A3E-9C13-64F1FE61CB83}"/>
    <cellStyle name="Normal 4 4 5 7" xfId="4767" xr:uid="{00000000-0005-0000-0000-0000EF150000}"/>
    <cellStyle name="Normal 4 4 5 7 2" xfId="14093" xr:uid="{E7B9BEC4-F0CA-4DEC-9AF4-E0995F056F2A}"/>
    <cellStyle name="Normal 4 4 5 8" xfId="8968" xr:uid="{BE877DDE-435D-4CBA-84F2-0372D1DDE771}"/>
    <cellStyle name="Normal 4 4 5 8 2" xfId="18292" xr:uid="{AD08031F-0825-4333-82F2-A51CF61D86DC}"/>
    <cellStyle name="Normal 4 4 5 9" xfId="9876" xr:uid="{1B43A7A6-FA93-4976-B025-C5BDAFA2B7F7}"/>
    <cellStyle name="Normal 4 4 6" xfId="853" xr:uid="{00000000-0005-0000-0000-0000F0150000}"/>
    <cellStyle name="Normal 4 4 6 2" xfId="3088" xr:uid="{00000000-0005-0000-0000-0000F1150000}"/>
    <cellStyle name="Normal 4 4 6 2 2" xfId="7310" xr:uid="{00000000-0005-0000-0000-0000F2150000}"/>
    <cellStyle name="Normal 4 4 6 2 2 2" xfId="16636" xr:uid="{32F75810-9926-4EB4-A17C-BFC8DC878EE2}"/>
    <cellStyle name="Normal 4 4 6 2 3" xfId="12419" xr:uid="{590B3648-9C12-416D-8A2D-13FAB28FA0D9}"/>
    <cellStyle name="Normal 4 4 6 3" xfId="5165" xr:uid="{00000000-0005-0000-0000-0000F3150000}"/>
    <cellStyle name="Normal 4 4 6 3 2" xfId="14491" xr:uid="{C9171D04-9A96-4B15-BEBE-736E2F694613}"/>
    <cellStyle name="Normal 4 4 6 4" xfId="9171" xr:uid="{C474601B-95F0-4C9E-AB77-B3E61D2A21D7}"/>
    <cellStyle name="Normal 4 4 6 4 2" xfId="18489" xr:uid="{EB4932BB-A32C-4C8F-8057-4FD319B5CC8F}"/>
    <cellStyle name="Normal 4 4 6 5" xfId="10274" xr:uid="{CB87FBA6-57DB-48D2-AD0A-41670F68CE3C}"/>
    <cellStyle name="Normal 4 4 7" xfId="1271" xr:uid="{00000000-0005-0000-0000-0000F4150000}"/>
    <cellStyle name="Normal 4 4 7 2" xfId="3501" xr:uid="{00000000-0005-0000-0000-0000F5150000}"/>
    <cellStyle name="Normal 4 4 7 2 2" xfId="7723" xr:uid="{00000000-0005-0000-0000-0000F6150000}"/>
    <cellStyle name="Normal 4 4 7 2 2 2" xfId="17049" xr:uid="{ECBF8C7A-F573-456E-B056-E6A1DFBAAE56}"/>
    <cellStyle name="Normal 4 4 7 2 3" xfId="12832" xr:uid="{FD092773-9737-4F7F-842D-88B0AF0FB84B}"/>
    <cellStyle name="Normal 4 4 7 3" xfId="5578" xr:uid="{00000000-0005-0000-0000-0000F7150000}"/>
    <cellStyle name="Normal 4 4 7 3 2" xfId="14904" xr:uid="{EC3F825B-44C9-4C70-885A-748301BEE5B1}"/>
    <cellStyle name="Normal 4 4 7 4" xfId="10687" xr:uid="{F4982117-4B2C-4876-BA52-324A322C2AA4}"/>
    <cellStyle name="Normal 4 4 8" xfId="1684" xr:uid="{00000000-0005-0000-0000-0000F8150000}"/>
    <cellStyle name="Normal 4 4 8 2" xfId="3914" xr:uid="{00000000-0005-0000-0000-0000F9150000}"/>
    <cellStyle name="Normal 4 4 8 2 2" xfId="8136" xr:uid="{00000000-0005-0000-0000-0000FA150000}"/>
    <cellStyle name="Normal 4 4 8 2 2 2" xfId="17462" xr:uid="{D860FCC5-0410-48AD-A962-99C1A1AF62B9}"/>
    <cellStyle name="Normal 4 4 8 2 3" xfId="13245" xr:uid="{727E88AF-C835-4535-A223-4BD59B968ACE}"/>
    <cellStyle name="Normal 4 4 8 3" xfId="5991" xr:uid="{00000000-0005-0000-0000-0000FB150000}"/>
    <cellStyle name="Normal 4 4 8 3 2" xfId="15317" xr:uid="{28DEA9E6-6404-4F47-A76C-6C97E79325DD}"/>
    <cellStyle name="Normal 4 4 8 4" xfId="11100" xr:uid="{83D0A74D-2BB4-4134-951E-7C7DC642F13B}"/>
    <cellStyle name="Normal 4 4 9" xfId="2098" xr:uid="{00000000-0005-0000-0000-0000FC150000}"/>
    <cellStyle name="Normal 4 4 9 2" xfId="4327" xr:uid="{00000000-0005-0000-0000-0000FD150000}"/>
    <cellStyle name="Normal 4 4 9 2 2" xfId="8549" xr:uid="{00000000-0005-0000-0000-0000FE150000}"/>
    <cellStyle name="Normal 4 4 9 2 2 2" xfId="17875" xr:uid="{353C996E-8F43-49AC-918D-542929E275DE}"/>
    <cellStyle name="Normal 4 4 9 2 3" xfId="13658" xr:uid="{E16EC516-CEBD-4D3B-AC1B-B4EC88F4AFD6}"/>
    <cellStyle name="Normal 4 4 9 3" xfId="6404" xr:uid="{00000000-0005-0000-0000-0000FF150000}"/>
    <cellStyle name="Normal 4 4 9 3 2" xfId="15730" xr:uid="{CEB0D91B-642C-4916-9840-B66F225DFAB5}"/>
    <cellStyle name="Normal 4 4 9 4" xfId="11513" xr:uid="{AEACB30D-24EC-4E58-BB3A-097185AFD67E}"/>
    <cellStyle name="Normal 4 5" xfId="394" xr:uid="{00000000-0005-0000-0000-000000160000}"/>
    <cellStyle name="Normal 4 6" xfId="395" xr:uid="{00000000-0005-0000-0000-000001160000}"/>
    <cellStyle name="Normal 4 6 10" xfId="4768" xr:uid="{00000000-0005-0000-0000-000002160000}"/>
    <cellStyle name="Normal 4 6 10 2" xfId="14094" xr:uid="{8B67CC48-E248-4097-8AC0-209576397CED}"/>
    <cellStyle name="Normal 4 6 11" xfId="8772" xr:uid="{23628FEE-4113-4B2C-B2A0-0106FC7F55C2}"/>
    <cellStyle name="Normal 4 6 11 2" xfId="18096" xr:uid="{146DE7A2-E50D-4171-9948-98D7E1441FBA}"/>
    <cellStyle name="Normal 4 6 12" xfId="9877" xr:uid="{A7419165-8210-4979-8932-2813615F9218}"/>
    <cellStyle name="Normal 4 6 2" xfId="396" xr:uid="{00000000-0005-0000-0000-000003160000}"/>
    <cellStyle name="Normal 4 6 2 10" xfId="8825" xr:uid="{C3062495-9D56-441B-95F6-B73E7DAC524C}"/>
    <cellStyle name="Normal 4 6 2 10 2" xfId="18149" xr:uid="{63569610-7110-47D1-855C-271AE3340346}"/>
    <cellStyle name="Normal 4 6 2 11" xfId="9878" xr:uid="{E1596A44-DCED-4440-9BF3-E47D5B3F5787}"/>
    <cellStyle name="Normal 4 6 2 2" xfId="397" xr:uid="{00000000-0005-0000-0000-000004160000}"/>
    <cellStyle name="Normal 4 6 2 2 10" xfId="9879" xr:uid="{9ECCD952-E808-42B5-B110-24D50DA95216}"/>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80C9A00D-204D-4807-856E-457FBEB77203}"/>
    <cellStyle name="Normal 4 6 2 2 2 2 2 3" xfId="12438" xr:uid="{D3025388-7295-4F16-98AB-14FCE2B6F45C}"/>
    <cellStyle name="Normal 4 6 2 2 2 2 3" xfId="5184" xr:uid="{00000000-0005-0000-0000-000009160000}"/>
    <cellStyle name="Normal 4 6 2 2 2 2 3 2" xfId="14510" xr:uid="{6AAA0752-0078-4251-9AC7-3F54642CD593}"/>
    <cellStyle name="Normal 4 6 2 2 2 2 4" xfId="9560" xr:uid="{04DAEE11-A96E-4522-8546-8A0C107E12B9}"/>
    <cellStyle name="Normal 4 6 2 2 2 2 4 2" xfId="18875" xr:uid="{DE629F5F-7948-4B7C-BD53-41E3C94491A9}"/>
    <cellStyle name="Normal 4 6 2 2 2 2 5" xfId="10293" xr:uid="{55FACE93-6B25-46EE-9CCE-F84B186022BD}"/>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B8E09F32-3E98-4BA7-BC7C-7D5CF13763F8}"/>
    <cellStyle name="Normal 4 6 2 2 2 3 2 3" xfId="12851" xr:uid="{ED432177-9EBC-4900-B4F9-EEA823908590}"/>
    <cellStyle name="Normal 4 6 2 2 2 3 3" xfId="5597" xr:uid="{00000000-0005-0000-0000-00000D160000}"/>
    <cellStyle name="Normal 4 6 2 2 2 3 3 2" xfId="14923" xr:uid="{3120DB19-2D4D-4451-8F9D-7C6B2469AB3E}"/>
    <cellStyle name="Normal 4 6 2 2 2 3 4" xfId="10706" xr:uid="{E850F5BD-5EAF-4ACA-BB25-0EA8C33DDC2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68FE9A11-CACE-49F5-9BDF-AABBA658C890}"/>
    <cellStyle name="Normal 4 6 2 2 2 4 2 3" xfId="13264" xr:uid="{7DBF30AE-B003-4F7E-90A0-09DF4B295740}"/>
    <cellStyle name="Normal 4 6 2 2 2 4 3" xfId="6010" xr:uid="{00000000-0005-0000-0000-000011160000}"/>
    <cellStyle name="Normal 4 6 2 2 2 4 3 2" xfId="15336" xr:uid="{77BC1413-8705-4A36-B951-3E73A47EFB6F}"/>
    <cellStyle name="Normal 4 6 2 2 2 4 4" xfId="11119" xr:uid="{6E8F4133-2539-4B6B-AE9F-976735BAC692}"/>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9FB2DACC-1F63-4626-A80E-5A3EBAB72294}"/>
    <cellStyle name="Normal 4 6 2 2 2 5 2 3" xfId="13677" xr:uid="{B805B7B2-1C36-47F6-81B0-AD3B9A161FA5}"/>
    <cellStyle name="Normal 4 6 2 2 2 5 3" xfId="6423" xr:uid="{00000000-0005-0000-0000-000015160000}"/>
    <cellStyle name="Normal 4 6 2 2 2 5 3 2" xfId="15749" xr:uid="{55BDE109-1002-4018-B645-B5701D864729}"/>
    <cellStyle name="Normal 4 6 2 2 2 5 4" xfId="11532" xr:uid="{005CC6A8-7386-4F83-A3B5-E781C70C6734}"/>
    <cellStyle name="Normal 4 6 2 2 2 6" xfId="2553" xr:uid="{00000000-0005-0000-0000-000016160000}"/>
    <cellStyle name="Normal 4 6 2 2 2 6 2" xfId="6836" xr:uid="{00000000-0005-0000-0000-000017160000}"/>
    <cellStyle name="Normal 4 6 2 2 2 6 2 2" xfId="16162" xr:uid="{E5C3055F-7829-40D8-B658-55C36528F41E}"/>
    <cellStyle name="Normal 4 6 2 2 2 6 3" xfId="11945" xr:uid="{E0D252B5-BAA0-4A07-AD8E-B39A0C8ABAFC}"/>
    <cellStyle name="Normal 4 6 2 2 2 7" xfId="4771" xr:uid="{00000000-0005-0000-0000-000018160000}"/>
    <cellStyle name="Normal 4 6 2 2 2 7 2" xfId="14097" xr:uid="{26985E59-0A81-4689-83E1-1D987DB9150A}"/>
    <cellStyle name="Normal 4 6 2 2 2 8" xfId="9135" xr:uid="{2F4C420F-13DD-45DD-99DD-C7AFF7CD7823}"/>
    <cellStyle name="Normal 4 6 2 2 2 8 2" xfId="18459" xr:uid="{0E9A49C6-98AF-4EE0-B96B-CF5E4BAE08A2}"/>
    <cellStyle name="Normal 4 6 2 2 2 9" xfId="9880" xr:uid="{37110FC0-7001-455F-92C9-BABC102C2DD2}"/>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E911A074-E913-4214-A287-583A0E8AD05B}"/>
    <cellStyle name="Normal 4 6 2 2 3 2 3" xfId="12437" xr:uid="{367357B3-C8D3-4363-9378-98097E4A5285}"/>
    <cellStyle name="Normal 4 6 2 2 3 3" xfId="5183" xr:uid="{00000000-0005-0000-0000-00001C160000}"/>
    <cellStyle name="Normal 4 6 2 2 3 3 2" xfId="14509" xr:uid="{9CCA7D98-2E55-41AC-A6DA-3BCDFE61BB47}"/>
    <cellStyle name="Normal 4 6 2 2 3 4" xfId="9353" xr:uid="{60C7EC16-17DE-43AF-A246-41C667B376B7}"/>
    <cellStyle name="Normal 4 6 2 2 3 4 2" xfId="18668" xr:uid="{FDFC72A7-7432-4927-9107-0627CAC330CB}"/>
    <cellStyle name="Normal 4 6 2 2 3 5" xfId="10292" xr:uid="{7E6A5366-3C77-40D9-844C-91FAC728525D}"/>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5CF3C227-FFB3-4364-9DDD-F81035958080}"/>
    <cellStyle name="Normal 4 6 2 2 4 2 3" xfId="12850" xr:uid="{55CBEC53-D29B-4304-A90E-E627A5D5D4D7}"/>
    <cellStyle name="Normal 4 6 2 2 4 3" xfId="5596" xr:uid="{00000000-0005-0000-0000-000020160000}"/>
    <cellStyle name="Normal 4 6 2 2 4 3 2" xfId="14922" xr:uid="{ADCF6426-8B23-49BE-890E-36FB2FFDE562}"/>
    <cellStyle name="Normal 4 6 2 2 4 4" xfId="10705" xr:uid="{F8C7A0C1-0C5B-4191-A598-74169C14C8D9}"/>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5C802283-FFF1-4B7B-BF31-C51C06D65CD5}"/>
    <cellStyle name="Normal 4 6 2 2 5 2 3" xfId="13263" xr:uid="{390347D7-8B3A-4B0A-952F-7DBC2EF6A86F}"/>
    <cellStyle name="Normal 4 6 2 2 5 3" xfId="6009" xr:uid="{00000000-0005-0000-0000-000024160000}"/>
    <cellStyle name="Normal 4 6 2 2 5 3 2" xfId="15335" xr:uid="{A39B9568-6CFC-492D-9976-B3A83E2CD4F5}"/>
    <cellStyle name="Normal 4 6 2 2 5 4" xfId="11118" xr:uid="{8AE07FCA-1F8C-45B9-BF06-A6F83419C11E}"/>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B9967442-E76B-413E-8DE5-B372128EA345}"/>
    <cellStyle name="Normal 4 6 2 2 6 2 3" xfId="13676" xr:uid="{81876258-9B26-4ADA-88B8-6F8EE51E6A6C}"/>
    <cellStyle name="Normal 4 6 2 2 6 3" xfId="6422" xr:uid="{00000000-0005-0000-0000-000028160000}"/>
    <cellStyle name="Normal 4 6 2 2 6 3 2" xfId="15748" xr:uid="{44C1E4B9-92BC-4772-8EF7-90433DDFB8A4}"/>
    <cellStyle name="Normal 4 6 2 2 6 4" xfId="11531" xr:uid="{F3B49A77-E3F0-41D3-9EB8-BF600757430B}"/>
    <cellStyle name="Normal 4 6 2 2 7" xfId="2552" xr:uid="{00000000-0005-0000-0000-000029160000}"/>
    <cellStyle name="Normal 4 6 2 2 7 2" xfId="6835" xr:uid="{00000000-0005-0000-0000-00002A160000}"/>
    <cellStyle name="Normal 4 6 2 2 7 2 2" xfId="16161" xr:uid="{6DB1B9C0-BCA0-4B9D-8672-3F7E001D1191}"/>
    <cellStyle name="Normal 4 6 2 2 7 3" xfId="11944" xr:uid="{C07B7A9D-DF95-4B15-B469-5C5EB51AB7AE}"/>
    <cellStyle name="Normal 4 6 2 2 8" xfId="4770" xr:uid="{00000000-0005-0000-0000-00002B160000}"/>
    <cellStyle name="Normal 4 6 2 2 8 2" xfId="14096" xr:uid="{09662024-F4BB-49A7-9DD0-68A64B2F090C}"/>
    <cellStyle name="Normal 4 6 2 2 9" xfId="8928" xr:uid="{EC58FE5E-68BA-4864-AD86-0F9D1DB17AD0}"/>
    <cellStyle name="Normal 4 6 2 2 9 2" xfId="18252" xr:uid="{13721720-9377-4C89-82A6-B9C9584F982E}"/>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ED9DAD9F-7330-49C2-A513-9C37B0436127}"/>
    <cellStyle name="Normal 4 6 2 3 2 2 3" xfId="12439" xr:uid="{E697D75A-0611-45E1-A122-DCEBE589A52B}"/>
    <cellStyle name="Normal 4 6 2 3 2 3" xfId="5185" xr:uid="{00000000-0005-0000-0000-000030160000}"/>
    <cellStyle name="Normal 4 6 2 3 2 3 2" xfId="14511" xr:uid="{68B0DB2D-7AEA-432C-8022-AAA45BD1E401}"/>
    <cellStyle name="Normal 4 6 2 3 2 4" xfId="9457" xr:uid="{E86AED2D-42AD-49DE-9461-1FA72B82C89E}"/>
    <cellStyle name="Normal 4 6 2 3 2 4 2" xfId="18772" xr:uid="{256E3C04-FEB4-400F-8B6F-1DD0575EEEDB}"/>
    <cellStyle name="Normal 4 6 2 3 2 5" xfId="10294" xr:uid="{1A016908-23F9-465E-AF9A-D4550D25405E}"/>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95E5721B-7B42-4E50-A750-1525D355B99C}"/>
    <cellStyle name="Normal 4 6 2 3 3 2 3" xfId="12852" xr:uid="{A18C32EF-1C2C-4512-9C4F-E972B7555620}"/>
    <cellStyle name="Normal 4 6 2 3 3 3" xfId="5598" xr:uid="{00000000-0005-0000-0000-000034160000}"/>
    <cellStyle name="Normal 4 6 2 3 3 3 2" xfId="14924" xr:uid="{AC2BA6F9-AE5D-4133-9682-A5CD59AE7851}"/>
    <cellStyle name="Normal 4 6 2 3 3 4" xfId="10707" xr:uid="{380BA285-8610-45B1-9113-E9FD72A27179}"/>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622B96D4-3BB7-4F5D-BADF-5F7ECCE9F895}"/>
    <cellStyle name="Normal 4 6 2 3 4 2 3" xfId="13265" xr:uid="{B5FA2577-0843-4D35-9857-419351120B41}"/>
    <cellStyle name="Normal 4 6 2 3 4 3" xfId="6011" xr:uid="{00000000-0005-0000-0000-000038160000}"/>
    <cellStyle name="Normal 4 6 2 3 4 3 2" xfId="15337" xr:uid="{E899A4A0-8799-43AD-BB8E-6B566F505C3F}"/>
    <cellStyle name="Normal 4 6 2 3 4 4" xfId="11120" xr:uid="{4E1D1DF0-CE73-4539-B45F-FF2262D7B301}"/>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9E3920D0-9E32-41CC-949D-0A072A32342F}"/>
    <cellStyle name="Normal 4 6 2 3 5 2 3" xfId="13678" xr:uid="{DE3917FA-2616-4C45-8777-CD80598998DD}"/>
    <cellStyle name="Normal 4 6 2 3 5 3" xfId="6424" xr:uid="{00000000-0005-0000-0000-00003C160000}"/>
    <cellStyle name="Normal 4 6 2 3 5 3 2" xfId="15750" xr:uid="{99E6429B-12D2-4971-A3F9-3AD9295831D8}"/>
    <cellStyle name="Normal 4 6 2 3 5 4" xfId="11533" xr:uid="{FD5BB12D-4DBD-4F76-9EE8-182B7B825E75}"/>
    <cellStyle name="Normal 4 6 2 3 6" xfId="2554" xr:uid="{00000000-0005-0000-0000-00003D160000}"/>
    <cellStyle name="Normal 4 6 2 3 6 2" xfId="6837" xr:uid="{00000000-0005-0000-0000-00003E160000}"/>
    <cellStyle name="Normal 4 6 2 3 6 2 2" xfId="16163" xr:uid="{7FD3C400-2EFA-433E-B5D3-4CAB33874A92}"/>
    <cellStyle name="Normal 4 6 2 3 6 3" xfId="11946" xr:uid="{EA8BBC26-F303-45BE-AAEA-F2F884C921FB}"/>
    <cellStyle name="Normal 4 6 2 3 7" xfId="4772" xr:uid="{00000000-0005-0000-0000-00003F160000}"/>
    <cellStyle name="Normal 4 6 2 3 7 2" xfId="14098" xr:uid="{DC7E38FE-7310-4FDD-AAAE-6C882E8EAE72}"/>
    <cellStyle name="Normal 4 6 2 3 8" xfId="9032" xr:uid="{576A1DC5-5971-4772-803F-0A60F80D4C41}"/>
    <cellStyle name="Normal 4 6 2 3 8 2" xfId="18356" xr:uid="{37EB1F2E-530D-4714-AEA3-77A2A4E923BE}"/>
    <cellStyle name="Normal 4 6 2 3 9" xfId="9881" xr:uid="{3922F76E-613B-4EC0-978C-99482401F832}"/>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C708DE58-696C-472F-A774-115226D9E12C}"/>
    <cellStyle name="Normal 4 6 2 4 2 3" xfId="12436" xr:uid="{D43120EE-FE55-4504-80A5-99DE622F2B52}"/>
    <cellStyle name="Normal 4 6 2 4 3" xfId="5182" xr:uid="{00000000-0005-0000-0000-000043160000}"/>
    <cellStyle name="Normal 4 6 2 4 3 2" xfId="14508" xr:uid="{E4BB4F3E-9749-4604-BF55-EE78409F519B}"/>
    <cellStyle name="Normal 4 6 2 4 4" xfId="9250" xr:uid="{CBBC9A51-5203-4C00-93C7-FE7C973DCDD1}"/>
    <cellStyle name="Normal 4 6 2 4 4 2" xfId="18565" xr:uid="{9A7E08C6-3427-4118-807F-4D133C44410F}"/>
    <cellStyle name="Normal 4 6 2 4 5" xfId="10291" xr:uid="{76BF533D-9FD2-4F63-8CCE-033924825D86}"/>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3265554C-0503-4DEE-A065-E6398670AE2F}"/>
    <cellStyle name="Normal 4 6 2 5 2 3" xfId="12849" xr:uid="{4975B9DE-3D36-46BC-9B07-B67C00BB2535}"/>
    <cellStyle name="Normal 4 6 2 5 3" xfId="5595" xr:uid="{00000000-0005-0000-0000-000047160000}"/>
    <cellStyle name="Normal 4 6 2 5 3 2" xfId="14921" xr:uid="{0523F01F-AC6A-4B9E-B4E3-272326E66704}"/>
    <cellStyle name="Normal 4 6 2 5 4" xfId="10704" xr:uid="{7D7C15E6-2ED8-4DF1-A7C0-EBA725352511}"/>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6E092D53-589A-40DF-BF77-4F7FE203AB82}"/>
    <cellStyle name="Normal 4 6 2 6 2 3" xfId="13262" xr:uid="{F400E7D8-BD0B-4E6C-928D-ACC433E973F2}"/>
    <cellStyle name="Normal 4 6 2 6 3" xfId="6008" xr:uid="{00000000-0005-0000-0000-00004B160000}"/>
    <cellStyle name="Normal 4 6 2 6 3 2" xfId="15334" xr:uid="{19375187-7204-4793-B395-AF2F35689DC0}"/>
    <cellStyle name="Normal 4 6 2 6 4" xfId="11117" xr:uid="{5FB29F03-54C3-4B9F-919E-732495C05F41}"/>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71352359-166C-40C0-9A14-178D3D4E5942}"/>
    <cellStyle name="Normal 4 6 2 7 2 3" xfId="13675" xr:uid="{026F61BE-10B3-48AB-9F3E-5D2D6B46F8E0}"/>
    <cellStyle name="Normal 4 6 2 7 3" xfId="6421" xr:uid="{00000000-0005-0000-0000-00004F160000}"/>
    <cellStyle name="Normal 4 6 2 7 3 2" xfId="15747" xr:uid="{A7A3851D-0200-46DC-9714-35B66A12C6C3}"/>
    <cellStyle name="Normal 4 6 2 7 4" xfId="11530" xr:uid="{CBD92858-557F-4F52-8244-5F79B0A8C3FF}"/>
    <cellStyle name="Normal 4 6 2 8" xfId="2551" xr:uid="{00000000-0005-0000-0000-000050160000}"/>
    <cellStyle name="Normal 4 6 2 8 2" xfId="6834" xr:uid="{00000000-0005-0000-0000-000051160000}"/>
    <cellStyle name="Normal 4 6 2 8 2 2" xfId="16160" xr:uid="{45FB0F38-AE90-4795-8156-D53A4F7447CF}"/>
    <cellStyle name="Normal 4 6 2 8 3" xfId="11943" xr:uid="{D4FE05A1-B675-469F-91D8-09B9887F512D}"/>
    <cellStyle name="Normal 4 6 2 9" xfId="4769" xr:uid="{00000000-0005-0000-0000-000052160000}"/>
    <cellStyle name="Normal 4 6 2 9 2" xfId="14095" xr:uid="{E5C9DEEF-C995-453E-8174-3F6B309BC432}"/>
    <cellStyle name="Normal 4 6 3" xfId="400" xr:uid="{00000000-0005-0000-0000-000053160000}"/>
    <cellStyle name="Normal 4 6 3 10" xfId="9882" xr:uid="{885AA6E3-4C28-407A-93F1-F1CD76046F17}"/>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6E98B5F9-3642-4506-8082-8E9E1B1C888E}"/>
    <cellStyle name="Normal 4 6 3 2 2 2 3" xfId="12441" xr:uid="{03655303-3BE7-4BDC-A703-27C03689D01B}"/>
    <cellStyle name="Normal 4 6 3 2 2 3" xfId="5187" xr:uid="{00000000-0005-0000-0000-000058160000}"/>
    <cellStyle name="Normal 4 6 3 2 2 3 2" xfId="14513" xr:uid="{C302BA3B-832C-42B2-8EBF-D0A64609E711}"/>
    <cellStyle name="Normal 4 6 3 2 2 4" xfId="9507" xr:uid="{63E4C3EA-8BE6-4CDE-9E44-1D64049D4CF5}"/>
    <cellStyle name="Normal 4 6 3 2 2 4 2" xfId="18822" xr:uid="{A3A43F7B-0290-4F77-96A0-9E4BEC4D1C09}"/>
    <cellStyle name="Normal 4 6 3 2 2 5" xfId="10296" xr:uid="{D237389A-5246-49A9-A0F6-D587B30BC147}"/>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551F8BE5-DA26-4E19-BF14-162EF98EE0BA}"/>
    <cellStyle name="Normal 4 6 3 2 3 2 3" xfId="12854" xr:uid="{163366F1-5DAE-495C-AAF5-5290B73C4E4E}"/>
    <cellStyle name="Normal 4 6 3 2 3 3" xfId="5600" xr:uid="{00000000-0005-0000-0000-00005C160000}"/>
    <cellStyle name="Normal 4 6 3 2 3 3 2" xfId="14926" xr:uid="{28F5FD43-72CB-48E7-9D08-E3AE9AFD72A6}"/>
    <cellStyle name="Normal 4 6 3 2 3 4" xfId="10709" xr:uid="{2ABFAF19-F06D-4A72-9C50-4E32CDA01EFA}"/>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3ADB601E-8D2C-4D09-BC28-4CAF3F2A11AD}"/>
    <cellStyle name="Normal 4 6 3 2 4 2 3" xfId="13267" xr:uid="{B772CC77-1B32-44B3-89B0-31FD174E199B}"/>
    <cellStyle name="Normal 4 6 3 2 4 3" xfId="6013" xr:uid="{00000000-0005-0000-0000-000060160000}"/>
    <cellStyle name="Normal 4 6 3 2 4 3 2" xfId="15339" xr:uid="{BD2B99C3-B97E-4D85-80E5-D285043389F6}"/>
    <cellStyle name="Normal 4 6 3 2 4 4" xfId="11122" xr:uid="{2DBF94FD-8D72-40EA-9759-E9586765E48B}"/>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06C86A91-B3C3-452F-9A88-C7A1FE102001}"/>
    <cellStyle name="Normal 4 6 3 2 5 2 3" xfId="13680" xr:uid="{029CEFFF-85CA-4E23-ABDB-407782B061CC}"/>
    <cellStyle name="Normal 4 6 3 2 5 3" xfId="6426" xr:uid="{00000000-0005-0000-0000-000064160000}"/>
    <cellStyle name="Normal 4 6 3 2 5 3 2" xfId="15752" xr:uid="{6289F060-8C7A-4340-B232-7ECDE8B67CE8}"/>
    <cellStyle name="Normal 4 6 3 2 5 4" xfId="11535" xr:uid="{950AF3FA-F5FB-4664-8AE8-28CA8D97BE44}"/>
    <cellStyle name="Normal 4 6 3 2 6" xfId="2556" xr:uid="{00000000-0005-0000-0000-000065160000}"/>
    <cellStyle name="Normal 4 6 3 2 6 2" xfId="6839" xr:uid="{00000000-0005-0000-0000-000066160000}"/>
    <cellStyle name="Normal 4 6 3 2 6 2 2" xfId="16165" xr:uid="{859A75D8-6072-4D95-823A-4E67868B8DC1}"/>
    <cellStyle name="Normal 4 6 3 2 6 3" xfId="11948" xr:uid="{AD3E16AA-231B-4F62-808E-57ED7A15442F}"/>
    <cellStyle name="Normal 4 6 3 2 7" xfId="4774" xr:uid="{00000000-0005-0000-0000-000067160000}"/>
    <cellStyle name="Normal 4 6 3 2 7 2" xfId="14100" xr:uid="{A50590CC-D025-41A6-8BC5-E63F4FD04D34}"/>
    <cellStyle name="Normal 4 6 3 2 8" xfId="9082" xr:uid="{B272D1AE-3713-4AD0-AE3F-D1A7344AD432}"/>
    <cellStyle name="Normal 4 6 3 2 8 2" xfId="18406" xr:uid="{50CA7B21-FFC5-4C53-B748-1B700A83BADE}"/>
    <cellStyle name="Normal 4 6 3 2 9" xfId="9883" xr:uid="{3EAB0645-C102-4402-91EF-7108571D8066}"/>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6FC845C4-1FDA-4DA9-80B9-6100A7BF5FE9}"/>
    <cellStyle name="Normal 4 6 3 3 2 3" xfId="12440" xr:uid="{E1AD2824-E68E-48D9-946D-1C036DE9F6F6}"/>
    <cellStyle name="Normal 4 6 3 3 3" xfId="5186" xr:uid="{00000000-0005-0000-0000-00006B160000}"/>
    <cellStyle name="Normal 4 6 3 3 3 2" xfId="14512" xr:uid="{1BFD84CC-7D12-4924-9A50-8625DD82CFBE}"/>
    <cellStyle name="Normal 4 6 3 3 4" xfId="9300" xr:uid="{955A2E97-C871-4115-A4F5-A642AE2D2C4B}"/>
    <cellStyle name="Normal 4 6 3 3 4 2" xfId="18615" xr:uid="{81D32EA6-47F9-418A-A3B9-B8E91359E0CF}"/>
    <cellStyle name="Normal 4 6 3 3 5" xfId="10295" xr:uid="{EF15ECCE-EEE5-4B25-8E32-B82E53968688}"/>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FA9A5FAD-30C1-42DB-82DF-BA8CC7F9793D}"/>
    <cellStyle name="Normal 4 6 3 4 2 3" xfId="12853" xr:uid="{AA471119-6826-41C1-867A-6078CA36D288}"/>
    <cellStyle name="Normal 4 6 3 4 3" xfId="5599" xr:uid="{00000000-0005-0000-0000-00006F160000}"/>
    <cellStyle name="Normal 4 6 3 4 3 2" xfId="14925" xr:uid="{3FB6057B-5A29-4C70-8406-EB752197E188}"/>
    <cellStyle name="Normal 4 6 3 4 4" xfId="10708" xr:uid="{2982D1E5-B01F-4BC6-B7DB-EFB3C9150642}"/>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32EEF052-23E4-4CC0-A316-CDCB8620FB59}"/>
    <cellStyle name="Normal 4 6 3 5 2 3" xfId="13266" xr:uid="{370C842B-59B7-4127-8EE4-FB864A4B90E5}"/>
    <cellStyle name="Normal 4 6 3 5 3" xfId="6012" xr:uid="{00000000-0005-0000-0000-000073160000}"/>
    <cellStyle name="Normal 4 6 3 5 3 2" xfId="15338" xr:uid="{00C19701-611F-4E2E-BEDF-47941F73A858}"/>
    <cellStyle name="Normal 4 6 3 5 4" xfId="11121" xr:uid="{CD41B5E5-4DAA-4BC1-BCE8-43B8BE7BDD7E}"/>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BCAA60C6-6006-42FD-90F4-3634CE596A5F}"/>
    <cellStyle name="Normal 4 6 3 6 2 3" xfId="13679" xr:uid="{7C63BE2B-1CC9-4CE2-85B0-1BA8D1AA8BA6}"/>
    <cellStyle name="Normal 4 6 3 6 3" xfId="6425" xr:uid="{00000000-0005-0000-0000-000077160000}"/>
    <cellStyle name="Normal 4 6 3 6 3 2" xfId="15751" xr:uid="{4F00BAE5-2D75-4232-ADC9-9AC6DA3E2055}"/>
    <cellStyle name="Normal 4 6 3 6 4" xfId="11534" xr:uid="{41E4FB5C-2C20-415E-BACA-4348E8AAA225}"/>
    <cellStyle name="Normal 4 6 3 7" xfId="2555" xr:uid="{00000000-0005-0000-0000-000078160000}"/>
    <cellStyle name="Normal 4 6 3 7 2" xfId="6838" xr:uid="{00000000-0005-0000-0000-000079160000}"/>
    <cellStyle name="Normal 4 6 3 7 2 2" xfId="16164" xr:uid="{F421CB10-B4DE-4059-959C-F83C57B5453B}"/>
    <cellStyle name="Normal 4 6 3 7 3" xfId="11947" xr:uid="{C2AD50EF-CBAB-4443-8C6C-A309ADEB115A}"/>
    <cellStyle name="Normal 4 6 3 8" xfId="4773" xr:uid="{00000000-0005-0000-0000-00007A160000}"/>
    <cellStyle name="Normal 4 6 3 8 2" xfId="14099" xr:uid="{7EBCEA42-68A0-4C7C-BEF3-EC00CA9C33EE}"/>
    <cellStyle name="Normal 4 6 3 9" xfId="8875" xr:uid="{DFD24C28-B729-444D-A0F6-B5522ED354D5}"/>
    <cellStyle name="Normal 4 6 3 9 2" xfId="18199" xr:uid="{D12DAC13-FADF-4A11-A7BE-744D8CB7A298}"/>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215C9050-0566-4614-A80D-A3F7B0BC2EA6}"/>
    <cellStyle name="Normal 4 6 4 2 2 3" xfId="12442" xr:uid="{5377FB10-B4ED-4BBE-B10F-60755737664A}"/>
    <cellStyle name="Normal 4 6 4 2 3" xfId="5188" xr:uid="{00000000-0005-0000-0000-00007F160000}"/>
    <cellStyle name="Normal 4 6 4 2 3 2" xfId="14514" xr:uid="{CEDB6141-E4A8-48BB-BE69-510185219F1E}"/>
    <cellStyle name="Normal 4 6 4 2 4" xfId="9404" xr:uid="{D1BAB6D6-35EF-4C34-91EA-2EB17352CDF9}"/>
    <cellStyle name="Normal 4 6 4 2 4 2" xfId="18719" xr:uid="{A75A9DBA-57B3-4BF3-9C67-0EC30664FB45}"/>
    <cellStyle name="Normal 4 6 4 2 5" xfId="10297" xr:uid="{E2F46695-6F11-494D-9BF4-9AEAE6688C54}"/>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E50D52CF-D211-42E4-9930-496A2D3D7D26}"/>
    <cellStyle name="Normal 4 6 4 3 2 3" xfId="12855" xr:uid="{8FC0FBCB-2D99-4006-B864-2E448028F8A8}"/>
    <cellStyle name="Normal 4 6 4 3 3" xfId="5601" xr:uid="{00000000-0005-0000-0000-000083160000}"/>
    <cellStyle name="Normal 4 6 4 3 3 2" xfId="14927" xr:uid="{0188A3CD-9AE4-4C3E-B86C-D9E0B6D60ED6}"/>
    <cellStyle name="Normal 4 6 4 3 4" xfId="10710" xr:uid="{037133F8-B294-40A1-A664-54410E898A7E}"/>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638C1A36-06FE-4E8F-B18C-CF981FBA6011}"/>
    <cellStyle name="Normal 4 6 4 4 2 3" xfId="13268" xr:uid="{9E2580CA-F56B-40F9-8D73-0D79D2B0519F}"/>
    <cellStyle name="Normal 4 6 4 4 3" xfId="6014" xr:uid="{00000000-0005-0000-0000-000087160000}"/>
    <cellStyle name="Normal 4 6 4 4 3 2" xfId="15340" xr:uid="{1C45CAA8-6C54-4188-8D28-0239378BDF77}"/>
    <cellStyle name="Normal 4 6 4 4 4" xfId="11123" xr:uid="{FBBE10B9-828A-4C0A-A704-9B50A89A34E6}"/>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B3DCAC97-2759-42D9-AB88-080005994F78}"/>
    <cellStyle name="Normal 4 6 4 5 2 3" xfId="13681" xr:uid="{40048491-ED02-451D-B2C5-070664BFAFE3}"/>
    <cellStyle name="Normal 4 6 4 5 3" xfId="6427" xr:uid="{00000000-0005-0000-0000-00008B160000}"/>
    <cellStyle name="Normal 4 6 4 5 3 2" xfId="15753" xr:uid="{A313577E-2967-4A81-A3DE-5477CDAA21ED}"/>
    <cellStyle name="Normal 4 6 4 5 4" xfId="11536" xr:uid="{888C11B5-5092-46DC-B8B5-746CDE4958F6}"/>
    <cellStyle name="Normal 4 6 4 6" xfId="2557" xr:uid="{00000000-0005-0000-0000-00008C160000}"/>
    <cellStyle name="Normal 4 6 4 6 2" xfId="6840" xr:uid="{00000000-0005-0000-0000-00008D160000}"/>
    <cellStyle name="Normal 4 6 4 6 2 2" xfId="16166" xr:uid="{2CCE4172-FC2A-40E6-BF05-1B8E8B507B49}"/>
    <cellStyle name="Normal 4 6 4 6 3" xfId="11949" xr:uid="{94320B07-DE0A-4073-8437-5FC88A696B73}"/>
    <cellStyle name="Normal 4 6 4 7" xfId="4775" xr:uid="{00000000-0005-0000-0000-00008E160000}"/>
    <cellStyle name="Normal 4 6 4 7 2" xfId="14101" xr:uid="{3A219802-B411-4E90-A3D1-9ABDC8774ABB}"/>
    <cellStyle name="Normal 4 6 4 8" xfId="8979" xr:uid="{358D1440-F461-4509-8416-8F78F7D13FF4}"/>
    <cellStyle name="Normal 4 6 4 8 2" xfId="18303" xr:uid="{627C7E4A-B496-4EEA-9BAE-21606F91E522}"/>
    <cellStyle name="Normal 4 6 4 9" xfId="9884" xr:uid="{03D1121E-BCD7-47D5-969D-E209BC22EAA5}"/>
    <cellStyle name="Normal 4 6 5" xfId="869" xr:uid="{00000000-0005-0000-0000-00008F160000}"/>
    <cellStyle name="Normal 4 6 5 2" xfId="3104" xr:uid="{00000000-0005-0000-0000-000090160000}"/>
    <cellStyle name="Normal 4 6 5 2 2" xfId="7326" xr:uid="{00000000-0005-0000-0000-000091160000}"/>
    <cellStyle name="Normal 4 6 5 2 2 2" xfId="16652" xr:uid="{10A54F04-9B42-46BF-BB5D-13377237CAFE}"/>
    <cellStyle name="Normal 4 6 5 2 3" xfId="12435" xr:uid="{910D52E6-D84D-4829-BB7D-743D6B510C76}"/>
    <cellStyle name="Normal 4 6 5 3" xfId="5181" xr:uid="{00000000-0005-0000-0000-000092160000}"/>
    <cellStyle name="Normal 4 6 5 3 2" xfId="14507" xr:uid="{35835DD7-A06D-4C67-A099-9275F7F6322E}"/>
    <cellStyle name="Normal 4 6 5 4" xfId="9196" xr:uid="{8DF5D81E-BEC3-4373-A99C-2D9CDEEBBA3C}"/>
    <cellStyle name="Normal 4 6 5 4 2" xfId="18512" xr:uid="{4F1B7F89-D56B-4491-AD76-E61794A58AE4}"/>
    <cellStyle name="Normal 4 6 5 5" xfId="10290" xr:uid="{A751CB25-2CA9-45EF-89B2-6441E8510257}"/>
    <cellStyle name="Normal 4 6 6" xfId="1287" xr:uid="{00000000-0005-0000-0000-000093160000}"/>
    <cellStyle name="Normal 4 6 6 2" xfId="3517" xr:uid="{00000000-0005-0000-0000-000094160000}"/>
    <cellStyle name="Normal 4 6 6 2 2" xfId="7739" xr:uid="{00000000-0005-0000-0000-000095160000}"/>
    <cellStyle name="Normal 4 6 6 2 2 2" xfId="17065" xr:uid="{7C6663D2-7339-4F51-939A-172ABD95ABD1}"/>
    <cellStyle name="Normal 4 6 6 2 3" xfId="12848" xr:uid="{85172C49-5A06-484D-82BE-1D606773ED22}"/>
    <cellStyle name="Normal 4 6 6 3" xfId="5594" xr:uid="{00000000-0005-0000-0000-000096160000}"/>
    <cellStyle name="Normal 4 6 6 3 2" xfId="14920" xr:uid="{B1C60E18-25BE-4E06-B9C8-CB77C047FE3B}"/>
    <cellStyle name="Normal 4 6 6 4" xfId="10703" xr:uid="{7F4F46B3-1D95-4183-BD0D-18BC395301A8}"/>
    <cellStyle name="Normal 4 6 7" xfId="1700" xr:uid="{00000000-0005-0000-0000-000097160000}"/>
    <cellStyle name="Normal 4 6 7 2" xfId="3930" xr:uid="{00000000-0005-0000-0000-000098160000}"/>
    <cellStyle name="Normal 4 6 7 2 2" xfId="8152" xr:uid="{00000000-0005-0000-0000-000099160000}"/>
    <cellStyle name="Normal 4 6 7 2 2 2" xfId="17478" xr:uid="{16C0330B-12EC-4DDF-B1D8-09B00D4E3A31}"/>
    <cellStyle name="Normal 4 6 7 2 3" xfId="13261" xr:uid="{D89CFE87-F817-476E-A34A-72BBF1C203D7}"/>
    <cellStyle name="Normal 4 6 7 3" xfId="6007" xr:uid="{00000000-0005-0000-0000-00009A160000}"/>
    <cellStyle name="Normal 4 6 7 3 2" xfId="15333" xr:uid="{62707C98-7C8E-4EED-AFCB-DF6AB078175A}"/>
    <cellStyle name="Normal 4 6 7 4" xfId="11116" xr:uid="{9888BFA4-B3BE-4645-A0B7-F6ECEF862118}"/>
    <cellStyle name="Normal 4 6 8" xfId="2114" xr:uid="{00000000-0005-0000-0000-00009B160000}"/>
    <cellStyle name="Normal 4 6 8 2" xfId="4343" xr:uid="{00000000-0005-0000-0000-00009C160000}"/>
    <cellStyle name="Normal 4 6 8 2 2" xfId="8565" xr:uid="{00000000-0005-0000-0000-00009D160000}"/>
    <cellStyle name="Normal 4 6 8 2 2 2" xfId="17891" xr:uid="{198AF708-42A9-4DD8-ADD5-F4404DB4F0DD}"/>
    <cellStyle name="Normal 4 6 8 2 3" xfId="13674" xr:uid="{42F1A35C-9A0C-4ACD-9369-E6BE23F4DAB9}"/>
    <cellStyle name="Normal 4 6 8 3" xfId="6420" xr:uid="{00000000-0005-0000-0000-00009E160000}"/>
    <cellStyle name="Normal 4 6 8 3 2" xfId="15746" xr:uid="{43E35DF3-ED7E-4FA8-84AC-05EA20644170}"/>
    <cellStyle name="Normal 4 6 8 4" xfId="11529" xr:uid="{4DF7CAF4-04D8-45CC-8D54-CDAB9FBF7962}"/>
    <cellStyle name="Normal 4 6 9" xfId="2550" xr:uid="{00000000-0005-0000-0000-00009F160000}"/>
    <cellStyle name="Normal 4 6 9 2" xfId="6833" xr:uid="{00000000-0005-0000-0000-0000A0160000}"/>
    <cellStyle name="Normal 4 6 9 2 2" xfId="16159" xr:uid="{0BA92D1F-B1DE-4AE4-92F2-978A50BFD9BE}"/>
    <cellStyle name="Normal 4 6 9 3" xfId="11942" xr:uid="{0C4BF928-1761-4A75-99ED-38A33A45F536}"/>
    <cellStyle name="Normal 4 7" xfId="403" xr:uid="{00000000-0005-0000-0000-0000A1160000}"/>
    <cellStyle name="Normal 4 7 10" xfId="9885" xr:uid="{C627B3F4-40E7-4363-8F3C-E3DD58CDF24E}"/>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7718B9F9-5BFB-42A5-AD7E-0FE2047DC72E}"/>
    <cellStyle name="Normal 4 7 2 2 2 3" xfId="12444" xr:uid="{2E5515EC-95A1-43B2-83A6-6605D1461E0B}"/>
    <cellStyle name="Normal 4 7 2 2 3" xfId="5190" xr:uid="{00000000-0005-0000-0000-0000A6160000}"/>
    <cellStyle name="Normal 4 7 2 2 3 2" xfId="14516" xr:uid="{BB7AE761-41F0-4442-B532-72D1F4AEED9E}"/>
    <cellStyle name="Normal 4 7 2 2 4" xfId="9475" xr:uid="{1E309EF6-7D7C-4A4D-B2F1-E00D0CF6E167}"/>
    <cellStyle name="Normal 4 7 2 2 4 2" xfId="18790" xr:uid="{B8CB4458-802F-4512-8E7A-B0B3853DC5CC}"/>
    <cellStyle name="Normal 4 7 2 2 5" xfId="10299" xr:uid="{7721F86D-9773-414F-BB9E-AE9E95BEACB8}"/>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E65E3986-D20E-4F39-A9EF-6895AD193A32}"/>
    <cellStyle name="Normal 4 7 2 3 2 3" xfId="12857" xr:uid="{11FBAF12-B2E3-4930-8B42-DEEAFAEB17DA}"/>
    <cellStyle name="Normal 4 7 2 3 3" xfId="5603" xr:uid="{00000000-0005-0000-0000-0000AA160000}"/>
    <cellStyle name="Normal 4 7 2 3 3 2" xfId="14929" xr:uid="{BEEB293E-FB6D-4FC0-BC6F-410E46E324A0}"/>
    <cellStyle name="Normal 4 7 2 3 4" xfId="10712" xr:uid="{8C54CDF3-55E1-454C-A18B-3FBDD4F97269}"/>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ED6D6A7F-6764-4835-8ED7-19D835354A64}"/>
    <cellStyle name="Normal 4 7 2 4 2 3" xfId="13270" xr:uid="{95D32D4D-A182-412E-BB4A-5DBF4771C8EF}"/>
    <cellStyle name="Normal 4 7 2 4 3" xfId="6016" xr:uid="{00000000-0005-0000-0000-0000AE160000}"/>
    <cellStyle name="Normal 4 7 2 4 3 2" xfId="15342" xr:uid="{C8F8D824-A787-4D90-BD40-776A6D86A780}"/>
    <cellStyle name="Normal 4 7 2 4 4" xfId="11125" xr:uid="{A0214DE1-C6A0-4D35-BD33-AD49583CE085}"/>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E0CC3DC7-96A6-49DD-BEB1-CA0191A58F9D}"/>
    <cellStyle name="Normal 4 7 2 5 2 3" xfId="13683" xr:uid="{3BE8BCC2-CDF3-4293-9E72-292B784935A2}"/>
    <cellStyle name="Normal 4 7 2 5 3" xfId="6429" xr:uid="{00000000-0005-0000-0000-0000B2160000}"/>
    <cellStyle name="Normal 4 7 2 5 3 2" xfId="15755" xr:uid="{4817ACF6-EFC2-4F5C-91C7-E3444A622219}"/>
    <cellStyle name="Normal 4 7 2 5 4" xfId="11538" xr:uid="{6BF7689D-A887-40F6-92F6-4794EC8F3ADA}"/>
    <cellStyle name="Normal 4 7 2 6" xfId="2559" xr:uid="{00000000-0005-0000-0000-0000B3160000}"/>
    <cellStyle name="Normal 4 7 2 6 2" xfId="6842" xr:uid="{00000000-0005-0000-0000-0000B4160000}"/>
    <cellStyle name="Normal 4 7 2 6 2 2" xfId="16168" xr:uid="{EE3DDB72-216B-4D95-8D33-16E4ADADB82B}"/>
    <cellStyle name="Normal 4 7 2 6 3" xfId="11951" xr:uid="{569BEAA8-CF0F-479B-94F3-65D83F2E1473}"/>
    <cellStyle name="Normal 4 7 2 7" xfId="4777" xr:uid="{00000000-0005-0000-0000-0000B5160000}"/>
    <cellStyle name="Normal 4 7 2 7 2" xfId="14103" xr:uid="{E2F6DCC8-57E2-499D-A52C-B0B17C3A2DFA}"/>
    <cellStyle name="Normal 4 7 2 8" xfId="9050" xr:uid="{C18A0BCD-6C40-47C4-AC72-E06914F008F6}"/>
    <cellStyle name="Normal 4 7 2 8 2" xfId="18374" xr:uid="{AF5E791E-B01E-44A7-8702-55A996195096}"/>
    <cellStyle name="Normal 4 7 2 9" xfId="9886" xr:uid="{5992FE68-B4E7-4838-B499-F19CA9A40E67}"/>
    <cellStyle name="Normal 4 7 3" xfId="877" xr:uid="{00000000-0005-0000-0000-0000B6160000}"/>
    <cellStyle name="Normal 4 7 3 2" xfId="3112" xr:uid="{00000000-0005-0000-0000-0000B7160000}"/>
    <cellStyle name="Normal 4 7 3 2 2" xfId="7334" xr:uid="{00000000-0005-0000-0000-0000B8160000}"/>
    <cellStyle name="Normal 4 7 3 2 2 2" xfId="16660" xr:uid="{BF91BD53-AF84-4CDE-AB98-6374E4DE79AE}"/>
    <cellStyle name="Normal 4 7 3 2 3" xfId="12443" xr:uid="{5F3EBC70-9C68-45D6-B185-BA305E81417E}"/>
    <cellStyle name="Normal 4 7 3 3" xfId="5189" xr:uid="{00000000-0005-0000-0000-0000B9160000}"/>
    <cellStyle name="Normal 4 7 3 3 2" xfId="14515" xr:uid="{5DDDCB00-2DDF-4E96-A19F-4B64BD7F9646}"/>
    <cellStyle name="Normal 4 7 3 4" xfId="9268" xr:uid="{83DA99B2-5D77-4110-AEB9-304D3ECEF3EB}"/>
    <cellStyle name="Normal 4 7 3 4 2" xfId="18583" xr:uid="{E4B61F12-15E1-4919-8BEC-6B66AF1DED2F}"/>
    <cellStyle name="Normal 4 7 3 5" xfId="10298" xr:uid="{2CEDEA0E-2833-4E08-9D07-3A056B0519EF}"/>
    <cellStyle name="Normal 4 7 4" xfId="1295" xr:uid="{00000000-0005-0000-0000-0000BA160000}"/>
    <cellStyle name="Normal 4 7 4 2" xfId="3525" xr:uid="{00000000-0005-0000-0000-0000BB160000}"/>
    <cellStyle name="Normal 4 7 4 2 2" xfId="7747" xr:uid="{00000000-0005-0000-0000-0000BC160000}"/>
    <cellStyle name="Normal 4 7 4 2 2 2" xfId="17073" xr:uid="{CFDA15C3-2D7B-473A-A832-197DE15442CB}"/>
    <cellStyle name="Normal 4 7 4 2 3" xfId="12856" xr:uid="{0ACE0226-37AC-4133-B2EF-4331282ED01C}"/>
    <cellStyle name="Normal 4 7 4 3" xfId="5602" xr:uid="{00000000-0005-0000-0000-0000BD160000}"/>
    <cellStyle name="Normal 4 7 4 3 2" xfId="14928" xr:uid="{75FA86E7-8873-4300-B5BF-36FC11444216}"/>
    <cellStyle name="Normal 4 7 4 4" xfId="10711" xr:uid="{3A2C1CEE-58B4-4ED0-8360-2BD15ED6D10A}"/>
    <cellStyle name="Normal 4 7 5" xfId="1708" xr:uid="{00000000-0005-0000-0000-0000BE160000}"/>
    <cellStyle name="Normal 4 7 5 2" xfId="3938" xr:uid="{00000000-0005-0000-0000-0000BF160000}"/>
    <cellStyle name="Normal 4 7 5 2 2" xfId="8160" xr:uid="{00000000-0005-0000-0000-0000C0160000}"/>
    <cellStyle name="Normal 4 7 5 2 2 2" xfId="17486" xr:uid="{330F9D61-9092-4140-9061-3DD1AB3B752A}"/>
    <cellStyle name="Normal 4 7 5 2 3" xfId="13269" xr:uid="{D371C52B-92B1-4F9B-8851-359F1741EAF8}"/>
    <cellStyle name="Normal 4 7 5 3" xfId="6015" xr:uid="{00000000-0005-0000-0000-0000C1160000}"/>
    <cellStyle name="Normal 4 7 5 3 2" xfId="15341" xr:uid="{EE12199C-97A4-47D6-A7EE-410989D9EAEA}"/>
    <cellStyle name="Normal 4 7 5 4" xfId="11124" xr:uid="{0D2BEDEC-B27C-4E78-811B-20323F342E18}"/>
    <cellStyle name="Normal 4 7 6" xfId="2122" xr:uid="{00000000-0005-0000-0000-0000C2160000}"/>
    <cellStyle name="Normal 4 7 6 2" xfId="4351" xr:uid="{00000000-0005-0000-0000-0000C3160000}"/>
    <cellStyle name="Normal 4 7 6 2 2" xfId="8573" xr:uid="{00000000-0005-0000-0000-0000C4160000}"/>
    <cellStyle name="Normal 4 7 6 2 2 2" xfId="17899" xr:uid="{696E3F5F-5836-4ABD-B4C1-E10465754042}"/>
    <cellStyle name="Normal 4 7 6 2 3" xfId="13682" xr:uid="{2A500076-F09B-4A2A-BCD9-7EC79061EF23}"/>
    <cellStyle name="Normal 4 7 6 3" xfId="6428" xr:uid="{00000000-0005-0000-0000-0000C5160000}"/>
    <cellStyle name="Normal 4 7 6 3 2" xfId="15754" xr:uid="{5BB30077-31ED-4380-BFF8-7D03FAF8D3A7}"/>
    <cellStyle name="Normal 4 7 6 4" xfId="11537" xr:uid="{ED6A9A1F-5A10-4A51-90AD-304522C8563D}"/>
    <cellStyle name="Normal 4 7 7" xfId="2558" xr:uid="{00000000-0005-0000-0000-0000C6160000}"/>
    <cellStyle name="Normal 4 7 7 2" xfId="6841" xr:uid="{00000000-0005-0000-0000-0000C7160000}"/>
    <cellStyle name="Normal 4 7 7 2 2" xfId="16167" xr:uid="{408DC2D6-A499-476E-8114-6103E57EB037}"/>
    <cellStyle name="Normal 4 7 7 3" xfId="11950" xr:uid="{6A73D3B2-66B6-4B88-B626-01378E566C75}"/>
    <cellStyle name="Normal 4 7 8" xfId="4776" xr:uid="{00000000-0005-0000-0000-0000C8160000}"/>
    <cellStyle name="Normal 4 7 8 2" xfId="14102" xr:uid="{6C7C7D71-0760-4867-ACC9-F1A2D27827AB}"/>
    <cellStyle name="Normal 4 7 9" xfId="8843" xr:uid="{092972D9-0015-4C5A-94A6-5AFD2026266B}"/>
    <cellStyle name="Normal 4 7 9 2" xfId="18167" xr:uid="{81A853AC-310E-4989-980D-75B131A11405}"/>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D59C63CB-352A-47D7-AED5-A0D1780F48A0}"/>
    <cellStyle name="Normal 4 8 2 2 3" xfId="12445" xr:uid="{43369C35-07A0-4533-9613-17E08B98A3DD}"/>
    <cellStyle name="Normal 4 8 2 3" xfId="5191" xr:uid="{00000000-0005-0000-0000-0000CD160000}"/>
    <cellStyle name="Normal 4 8 2 3 2" xfId="14517" xr:uid="{03DA1E3E-8421-45C6-953F-3D071D47B3C8}"/>
    <cellStyle name="Normal 4 8 2 4" xfId="9384" xr:uid="{6351F1DA-E485-4044-8429-C0AE76E79EEE}"/>
    <cellStyle name="Normal 4 8 2 4 2" xfId="18699" xr:uid="{0E800E25-C763-4836-A542-35B9B17C423A}"/>
    <cellStyle name="Normal 4 8 2 5" xfId="10300" xr:uid="{078DF8B6-72A3-4FDD-AD79-D1D4E3BB0D93}"/>
    <cellStyle name="Normal 4 8 3" xfId="1297" xr:uid="{00000000-0005-0000-0000-0000CE160000}"/>
    <cellStyle name="Normal 4 8 3 2" xfId="3527" xr:uid="{00000000-0005-0000-0000-0000CF160000}"/>
    <cellStyle name="Normal 4 8 3 2 2" xfId="7749" xr:uid="{00000000-0005-0000-0000-0000D0160000}"/>
    <cellStyle name="Normal 4 8 3 2 2 2" xfId="17075" xr:uid="{8B645A75-6D96-4E75-868B-77FD56145FB6}"/>
    <cellStyle name="Normal 4 8 3 2 3" xfId="12858" xr:uid="{76391FFD-26D6-4EAE-8489-EFBB847325B2}"/>
    <cellStyle name="Normal 4 8 3 3" xfId="5604" xr:uid="{00000000-0005-0000-0000-0000D1160000}"/>
    <cellStyle name="Normal 4 8 3 3 2" xfId="14930" xr:uid="{6CCAC803-1DE0-4FFF-B37A-82723C006AE9}"/>
    <cellStyle name="Normal 4 8 3 4" xfId="10713" xr:uid="{13C47CB4-416D-4F10-B1E9-26A89A537121}"/>
    <cellStyle name="Normal 4 8 4" xfId="1710" xr:uid="{00000000-0005-0000-0000-0000D2160000}"/>
    <cellStyle name="Normal 4 8 4 2" xfId="3940" xr:uid="{00000000-0005-0000-0000-0000D3160000}"/>
    <cellStyle name="Normal 4 8 4 2 2" xfId="8162" xr:uid="{00000000-0005-0000-0000-0000D4160000}"/>
    <cellStyle name="Normal 4 8 4 2 2 2" xfId="17488" xr:uid="{6170B1FA-3410-4C15-B5FC-CAABB8ED3F5B}"/>
    <cellStyle name="Normal 4 8 4 2 3" xfId="13271" xr:uid="{8E3BDFB6-C2F9-458E-8231-4E7D49BB4509}"/>
    <cellStyle name="Normal 4 8 4 3" xfId="6017" xr:uid="{00000000-0005-0000-0000-0000D5160000}"/>
    <cellStyle name="Normal 4 8 4 3 2" xfId="15343" xr:uid="{9A06F649-BE91-4D30-99DD-0A4585029121}"/>
    <cellStyle name="Normal 4 8 4 4" xfId="11126" xr:uid="{A48705C6-0E75-4DDF-B2B7-9AF38942A304}"/>
    <cellStyle name="Normal 4 8 5" xfId="2124" xr:uid="{00000000-0005-0000-0000-0000D6160000}"/>
    <cellStyle name="Normal 4 8 5 2" xfId="4353" xr:uid="{00000000-0005-0000-0000-0000D7160000}"/>
    <cellStyle name="Normal 4 8 5 2 2" xfId="8575" xr:uid="{00000000-0005-0000-0000-0000D8160000}"/>
    <cellStyle name="Normal 4 8 5 2 2 2" xfId="17901" xr:uid="{528D8468-5D04-4056-9760-B7E640F9A9FE}"/>
    <cellStyle name="Normal 4 8 5 2 3" xfId="13684" xr:uid="{802D9F5B-1B69-47C6-B940-DEA4AD10A836}"/>
    <cellStyle name="Normal 4 8 5 3" xfId="6430" xr:uid="{00000000-0005-0000-0000-0000D9160000}"/>
    <cellStyle name="Normal 4 8 5 3 2" xfId="15756" xr:uid="{A3F90A96-9059-4B2F-85BB-4F67DF8E97D6}"/>
    <cellStyle name="Normal 4 8 5 4" xfId="11539" xr:uid="{CDDAE15C-E030-40AC-91B4-521292C83771}"/>
    <cellStyle name="Normal 4 8 6" xfId="2560" xr:uid="{00000000-0005-0000-0000-0000DA160000}"/>
    <cellStyle name="Normal 4 8 6 2" xfId="6843" xr:uid="{00000000-0005-0000-0000-0000DB160000}"/>
    <cellStyle name="Normal 4 8 6 2 2" xfId="16169" xr:uid="{B0890E28-471D-45F3-A4C0-3AEFEA35E832}"/>
    <cellStyle name="Normal 4 8 6 3" xfId="11952" xr:uid="{8DEC1EB7-34FC-45A2-8501-6802B883C554}"/>
    <cellStyle name="Normal 4 8 7" xfId="4778" xr:uid="{00000000-0005-0000-0000-0000DC160000}"/>
    <cellStyle name="Normal 4 8 7 2" xfId="14104" xr:uid="{14A1F286-94F4-4B1F-9501-65ECD76150F5}"/>
    <cellStyle name="Normal 4 8 8" xfId="8959" xr:uid="{E3216EF3-66EB-48FF-967C-A258B3C3F4FF}"/>
    <cellStyle name="Normal 4 8 8 2" xfId="18283" xr:uid="{80156D15-7AE0-460B-A184-688DDCD36C4A}"/>
    <cellStyle name="Normal 4 8 9" xfId="9887" xr:uid="{21A26E3C-11E8-4896-B4FB-B909E6BFB550}"/>
    <cellStyle name="Normal 4 9" xfId="4715" xr:uid="{00000000-0005-0000-0000-0000DD160000}"/>
    <cellStyle name="Normal 4 9 2" xfId="9162" xr:uid="{BC355FAB-4557-4712-A03F-EB5522B29E6A}"/>
    <cellStyle name="Normal 4 9 2 2" xfId="18480" xr:uid="{D7E5E740-6FFA-4BB0-8840-AEF9492DD726}"/>
    <cellStyle name="Normal 4 9 3" xfId="14041" xr:uid="{E970D3F8-C51C-4DFC-8558-52481B27AB4F}"/>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58A00284-E3C7-4F55-AE1A-41033887112E}"/>
    <cellStyle name="Normal 5 10 2 3" xfId="13272" xr:uid="{1B3BAF80-683A-4911-9BCA-C976CEEA9253}"/>
    <cellStyle name="Normal 5 10 3" xfId="6018" xr:uid="{00000000-0005-0000-0000-0000E2160000}"/>
    <cellStyle name="Normal 5 10 3 2" xfId="15344" xr:uid="{A45717F8-8F8E-4645-8465-DDF8818915F9}"/>
    <cellStyle name="Normal 5 10 4" xfId="11127" xr:uid="{F0E5C793-994B-4738-A2C6-D2DD18909D43}"/>
    <cellStyle name="Normal 5 11" xfId="2125" xr:uid="{00000000-0005-0000-0000-0000E3160000}"/>
    <cellStyle name="Normal 5 11 2" xfId="4354" xr:uid="{00000000-0005-0000-0000-0000E4160000}"/>
    <cellStyle name="Normal 5 11 2 2" xfId="8576" xr:uid="{00000000-0005-0000-0000-0000E5160000}"/>
    <cellStyle name="Normal 5 11 2 2 2" xfId="17902" xr:uid="{71F564CE-5C90-4DAF-9BBE-E53E9F15617A}"/>
    <cellStyle name="Normal 5 11 2 3" xfId="13685" xr:uid="{EEC9F03F-00C1-4B83-BBA7-D93C0FB99324}"/>
    <cellStyle name="Normal 5 11 3" xfId="6431" xr:uid="{00000000-0005-0000-0000-0000E6160000}"/>
    <cellStyle name="Normal 5 11 3 2" xfId="15757" xr:uid="{A18BD55D-F9BF-4613-9ECC-95ABB2396410}"/>
    <cellStyle name="Normal 5 11 4" xfId="11540" xr:uid="{8E2AA98C-C5C0-4358-B0FC-4824B73EB12E}"/>
    <cellStyle name="Normal 5 12" xfId="2561" xr:uid="{00000000-0005-0000-0000-0000E7160000}"/>
    <cellStyle name="Normal 5 12 2" xfId="6844" xr:uid="{00000000-0005-0000-0000-0000E8160000}"/>
    <cellStyle name="Normal 5 12 2 2" xfId="16170" xr:uid="{6CAAE280-17D0-4A86-9A10-D8E28C398FDE}"/>
    <cellStyle name="Normal 5 12 3" xfId="11953" xr:uid="{A8D88FA3-82BD-4E7E-91E5-10195D2E2766}"/>
    <cellStyle name="Normal 5 13" xfId="4779" xr:uid="{00000000-0005-0000-0000-0000E9160000}"/>
    <cellStyle name="Normal 5 13 2" xfId="14105" xr:uid="{1B011A26-78EA-4420-B663-587826FF1C5E}"/>
    <cellStyle name="Normal 5 14" xfId="8741" xr:uid="{6467398C-BC57-47BF-AF01-9B3356F8431F}"/>
    <cellStyle name="Normal 5 14 2" xfId="18065" xr:uid="{2F46E2D8-E5D7-4840-9A95-EA49F8F04D7A}"/>
    <cellStyle name="Normal 5 15" xfId="9888" xr:uid="{E631584B-D7C4-49D8-9199-CB35B1E516B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3D08E606-B9F0-4571-A057-9AD8154A2684}"/>
    <cellStyle name="Normal 5 2 10 2 3" xfId="13686" xr:uid="{E1CCCC80-6FC7-4CFF-88C5-48D0F175ECD8}"/>
    <cellStyle name="Normal 5 2 10 3" xfId="6432" xr:uid="{00000000-0005-0000-0000-0000EE160000}"/>
    <cellStyle name="Normal 5 2 10 3 2" xfId="15758" xr:uid="{B80B0EAC-38CE-40E5-9642-B128F5B31F07}"/>
    <cellStyle name="Normal 5 2 10 4" xfId="11541" xr:uid="{42B0CA67-215D-41D7-B704-8692EB3D79C7}"/>
    <cellStyle name="Normal 5 2 11" xfId="2562" xr:uid="{00000000-0005-0000-0000-0000EF160000}"/>
    <cellStyle name="Normal 5 2 11 2" xfId="6845" xr:uid="{00000000-0005-0000-0000-0000F0160000}"/>
    <cellStyle name="Normal 5 2 11 2 2" xfId="16171" xr:uid="{00CD2E1A-4436-48C8-9941-841E27754F5B}"/>
    <cellStyle name="Normal 5 2 11 3" xfId="11954" xr:uid="{F5768EAF-70DC-450A-8C68-CC53DCEA483A}"/>
    <cellStyle name="Normal 5 2 12" xfId="4780" xr:uid="{00000000-0005-0000-0000-0000F1160000}"/>
    <cellStyle name="Normal 5 2 12 2" xfId="14106" xr:uid="{5820609D-A50F-4547-AA12-8CA1277C32AA}"/>
    <cellStyle name="Normal 5 2 13" xfId="8744" xr:uid="{40D5DF2B-E9DF-4D52-AAE0-3E5A94050B59}"/>
    <cellStyle name="Normal 5 2 13 2" xfId="18068" xr:uid="{2CB5D3CE-F244-4C53-AC01-B7D78FBC582D}"/>
    <cellStyle name="Normal 5 2 14" xfId="9889" xr:uid="{8DC0D27A-BE35-46EC-8D00-EA22DB1A8A7E}"/>
    <cellStyle name="Normal 5 2 2" xfId="408" xr:uid="{00000000-0005-0000-0000-0000F2160000}"/>
    <cellStyle name="Normal 5 2 2 10" xfId="2563" xr:uid="{00000000-0005-0000-0000-0000F3160000}"/>
    <cellStyle name="Normal 5 2 2 10 2" xfId="6846" xr:uid="{00000000-0005-0000-0000-0000F4160000}"/>
    <cellStyle name="Normal 5 2 2 10 2 2" xfId="16172" xr:uid="{8F294F66-0E9A-4BC0-A1CB-2F57FD753AD5}"/>
    <cellStyle name="Normal 5 2 2 10 3" xfId="11955" xr:uid="{79C96D02-31BF-4103-94E1-F21629561E98}"/>
    <cellStyle name="Normal 5 2 2 11" xfId="4781" xr:uid="{00000000-0005-0000-0000-0000F5160000}"/>
    <cellStyle name="Normal 5 2 2 11 2" xfId="14107" xr:uid="{9182EA4D-58EA-49F5-B22E-3E8C4F2DEA62}"/>
    <cellStyle name="Normal 5 2 2 12" xfId="8753" xr:uid="{96D04E2F-D92F-448D-9FDA-8261D8BEE094}"/>
    <cellStyle name="Normal 5 2 2 12 2" xfId="18077" xr:uid="{240239FE-31DC-4BD1-BAFE-80FA6B3F8359}"/>
    <cellStyle name="Normal 5 2 2 13" xfId="9890" xr:uid="{2C8C3242-0B63-4B00-B16F-F3F0512E0FFE}"/>
    <cellStyle name="Normal 5 2 2 2" xfId="409" xr:uid="{00000000-0005-0000-0000-0000F6160000}"/>
    <cellStyle name="Normal 5 2 2 2 10" xfId="4782" xr:uid="{00000000-0005-0000-0000-0000F7160000}"/>
    <cellStyle name="Normal 5 2 2 2 10 2" xfId="14108" xr:uid="{8FAB6F4F-A20F-422B-B492-F904F7E0C204}"/>
    <cellStyle name="Normal 5 2 2 2 11" xfId="8771" xr:uid="{0E58ED1C-12F1-4692-801F-170CA6F7CBDB}"/>
    <cellStyle name="Normal 5 2 2 2 11 2" xfId="18095" xr:uid="{094D6D94-E054-4E04-A1A2-4250610DD99F}"/>
    <cellStyle name="Normal 5 2 2 2 12" xfId="9891" xr:uid="{859E74D3-09C3-4CED-B3DD-EF7D0C4133DE}"/>
    <cellStyle name="Normal 5 2 2 2 2" xfId="410" xr:uid="{00000000-0005-0000-0000-0000F8160000}"/>
    <cellStyle name="Normal 5 2 2 2 2 10" xfId="8829" xr:uid="{AC161972-21E9-4E03-8D2E-9F95632CB08D}"/>
    <cellStyle name="Normal 5 2 2 2 2 10 2" xfId="18153" xr:uid="{A56F6700-F0EF-4E74-A169-3BF252EF0C47}"/>
    <cellStyle name="Normal 5 2 2 2 2 11" xfId="9892" xr:uid="{9B2808D3-8098-4075-B0DD-CEB70907C882}"/>
    <cellStyle name="Normal 5 2 2 2 2 2" xfId="411" xr:uid="{00000000-0005-0000-0000-0000F9160000}"/>
    <cellStyle name="Normal 5 2 2 2 2 2 10" xfId="9893" xr:uid="{25807CD5-6B60-4B45-8675-EE7399D1D389}"/>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E239F048-E9CF-4722-B4AD-77E8699D2EE7}"/>
    <cellStyle name="Normal 5 2 2 2 2 2 2 2 2 3" xfId="12452" xr:uid="{383887AD-4467-49DC-8657-38222646B75C}"/>
    <cellStyle name="Normal 5 2 2 2 2 2 2 2 3" xfId="5198" xr:uid="{00000000-0005-0000-0000-0000FE160000}"/>
    <cellStyle name="Normal 5 2 2 2 2 2 2 2 3 2" xfId="14524" xr:uid="{1AE5495B-FB5F-4A86-BB2F-9B3568C889E1}"/>
    <cellStyle name="Normal 5 2 2 2 2 2 2 2 4" xfId="9564" xr:uid="{15884BE4-44C0-46E7-A184-FC102AAADEB4}"/>
    <cellStyle name="Normal 5 2 2 2 2 2 2 2 4 2" xfId="18879" xr:uid="{39033C2E-11C6-4240-8E84-44A3769C99B7}"/>
    <cellStyle name="Normal 5 2 2 2 2 2 2 2 5" xfId="10307" xr:uid="{1AA0160F-BC6E-45BD-9FD6-B0FFE14D2C4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BA5A8F6F-E055-444D-85A6-8025CB6633BC}"/>
    <cellStyle name="Normal 5 2 2 2 2 2 2 3 2 3" xfId="12865" xr:uid="{A00EB3FA-1813-48AB-810B-9B37FBBFF83E}"/>
    <cellStyle name="Normal 5 2 2 2 2 2 2 3 3" xfId="5611" xr:uid="{00000000-0005-0000-0000-000002170000}"/>
    <cellStyle name="Normal 5 2 2 2 2 2 2 3 3 2" xfId="14937" xr:uid="{64A616F4-ED9D-43B1-897F-5839B52E7210}"/>
    <cellStyle name="Normal 5 2 2 2 2 2 2 3 4" xfId="10720" xr:uid="{47C9DC20-0258-408A-A7D8-03DE975E5946}"/>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8BC92DF3-2669-42BB-9448-CAE896FC6343}"/>
    <cellStyle name="Normal 5 2 2 2 2 2 2 4 2 3" xfId="13278" xr:uid="{6F25A1EE-2C70-48C0-8A73-3DEA66013386}"/>
    <cellStyle name="Normal 5 2 2 2 2 2 2 4 3" xfId="6024" xr:uid="{00000000-0005-0000-0000-000006170000}"/>
    <cellStyle name="Normal 5 2 2 2 2 2 2 4 3 2" xfId="15350" xr:uid="{3FE47CA2-43B8-4A13-BA41-DD55B68D0E62}"/>
    <cellStyle name="Normal 5 2 2 2 2 2 2 4 4" xfId="11133" xr:uid="{26492483-7676-4E6B-AA14-37478C872ED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F8D14456-A10E-41DA-803C-6F4177D030AE}"/>
    <cellStyle name="Normal 5 2 2 2 2 2 2 5 2 3" xfId="13691" xr:uid="{6BF3B817-FADA-48BE-8237-462C5C16512A}"/>
    <cellStyle name="Normal 5 2 2 2 2 2 2 5 3" xfId="6437" xr:uid="{00000000-0005-0000-0000-00000A170000}"/>
    <cellStyle name="Normal 5 2 2 2 2 2 2 5 3 2" xfId="15763" xr:uid="{DA6C1E68-BCD4-4249-9F7C-C7257E58B071}"/>
    <cellStyle name="Normal 5 2 2 2 2 2 2 5 4" xfId="11546" xr:uid="{345302C6-1440-4B73-8C0D-025F8B418A1E}"/>
    <cellStyle name="Normal 5 2 2 2 2 2 2 6" xfId="2567" xr:uid="{00000000-0005-0000-0000-00000B170000}"/>
    <cellStyle name="Normal 5 2 2 2 2 2 2 6 2" xfId="6850" xr:uid="{00000000-0005-0000-0000-00000C170000}"/>
    <cellStyle name="Normal 5 2 2 2 2 2 2 6 2 2" xfId="16176" xr:uid="{451E28C7-3805-4AB7-9A75-3A59F429CCE7}"/>
    <cellStyle name="Normal 5 2 2 2 2 2 2 6 3" xfId="11959" xr:uid="{ED15373B-818E-4C9D-A7AE-2B9C82992B4B}"/>
    <cellStyle name="Normal 5 2 2 2 2 2 2 7" xfId="4785" xr:uid="{00000000-0005-0000-0000-00000D170000}"/>
    <cellStyle name="Normal 5 2 2 2 2 2 2 7 2" xfId="14111" xr:uid="{E8B4B74F-661B-4B11-86A5-CEBD0A8BEFBB}"/>
    <cellStyle name="Normal 5 2 2 2 2 2 2 8" xfId="9139" xr:uid="{CFCC7179-F81D-4929-81F2-C6E64655A093}"/>
    <cellStyle name="Normal 5 2 2 2 2 2 2 8 2" xfId="18463" xr:uid="{FB39E69F-179C-4284-8F58-13A870B5300B}"/>
    <cellStyle name="Normal 5 2 2 2 2 2 2 9" xfId="9894" xr:uid="{B4EBD128-53DA-4C6C-B816-0428ED48855E}"/>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D9D9B5AA-0E16-4DA1-A812-9A31D1ABCD32}"/>
    <cellStyle name="Normal 5 2 2 2 2 2 3 2 3" xfId="12451" xr:uid="{6F203AC5-4208-41B0-9873-386817C92782}"/>
    <cellStyle name="Normal 5 2 2 2 2 2 3 3" xfId="5197" xr:uid="{00000000-0005-0000-0000-000011170000}"/>
    <cellStyle name="Normal 5 2 2 2 2 2 3 3 2" xfId="14523" xr:uid="{C42F0CAC-24B1-4B42-A6CC-AB8F5B763E0D}"/>
    <cellStyle name="Normal 5 2 2 2 2 2 3 4" xfId="9357" xr:uid="{1809EB60-9E69-4954-99A5-643CD830C5FB}"/>
    <cellStyle name="Normal 5 2 2 2 2 2 3 4 2" xfId="18672" xr:uid="{8ED23091-17A7-40C2-ACA2-D2EF73324887}"/>
    <cellStyle name="Normal 5 2 2 2 2 2 3 5" xfId="10306" xr:uid="{290D6FC5-8433-43EF-86D3-25E2989FC122}"/>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439446D5-EF8D-4E0F-BD65-8D8840A578B4}"/>
    <cellStyle name="Normal 5 2 2 2 2 2 4 2 3" xfId="12864" xr:uid="{30CACBA8-5BE4-4C93-A873-1423C48B9A80}"/>
    <cellStyle name="Normal 5 2 2 2 2 2 4 3" xfId="5610" xr:uid="{00000000-0005-0000-0000-000015170000}"/>
    <cellStyle name="Normal 5 2 2 2 2 2 4 3 2" xfId="14936" xr:uid="{D0C8A75A-B616-4BDA-9CA3-2450368291AB}"/>
    <cellStyle name="Normal 5 2 2 2 2 2 4 4" xfId="10719" xr:uid="{735C344F-AA76-4AF4-AE41-31355D527ED3}"/>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AF54C522-97AB-444E-BDC8-005C96017E8D}"/>
    <cellStyle name="Normal 5 2 2 2 2 2 5 2 3" xfId="13277" xr:uid="{66CC9384-1ADD-48D9-9994-C06D5C97EFA6}"/>
    <cellStyle name="Normal 5 2 2 2 2 2 5 3" xfId="6023" xr:uid="{00000000-0005-0000-0000-000019170000}"/>
    <cellStyle name="Normal 5 2 2 2 2 2 5 3 2" xfId="15349" xr:uid="{3B8B14FC-2CF7-4DA5-A20E-165409A753C4}"/>
    <cellStyle name="Normal 5 2 2 2 2 2 5 4" xfId="11132" xr:uid="{10620743-DA91-4CA5-B2AD-7AE4A4F21455}"/>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03275DE0-ECBA-4DC1-B6CB-8B6E641B84DF}"/>
    <cellStyle name="Normal 5 2 2 2 2 2 6 2 3" xfId="13690" xr:uid="{0ED8B703-A02C-4536-AE1A-2532FD3B2DEA}"/>
    <cellStyle name="Normal 5 2 2 2 2 2 6 3" xfId="6436" xr:uid="{00000000-0005-0000-0000-00001D170000}"/>
    <cellStyle name="Normal 5 2 2 2 2 2 6 3 2" xfId="15762" xr:uid="{0F728050-E35D-4E98-9273-7F2C75C1D77C}"/>
    <cellStyle name="Normal 5 2 2 2 2 2 6 4" xfId="11545" xr:uid="{52AFC83A-1845-45C8-8A88-1221AC1220EC}"/>
    <cellStyle name="Normal 5 2 2 2 2 2 7" xfId="2566" xr:uid="{00000000-0005-0000-0000-00001E170000}"/>
    <cellStyle name="Normal 5 2 2 2 2 2 7 2" xfId="6849" xr:uid="{00000000-0005-0000-0000-00001F170000}"/>
    <cellStyle name="Normal 5 2 2 2 2 2 7 2 2" xfId="16175" xr:uid="{166392C0-C735-4E8B-9D1B-DA8B4E60D17C}"/>
    <cellStyle name="Normal 5 2 2 2 2 2 7 3" xfId="11958" xr:uid="{C3D6C0F9-B1D2-45C2-B968-710D1B9507EF}"/>
    <cellStyle name="Normal 5 2 2 2 2 2 8" xfId="4784" xr:uid="{00000000-0005-0000-0000-000020170000}"/>
    <cellStyle name="Normal 5 2 2 2 2 2 8 2" xfId="14110" xr:uid="{76CAFECD-CB78-4559-B7DB-617A5C565889}"/>
    <cellStyle name="Normal 5 2 2 2 2 2 9" xfId="8932" xr:uid="{8A89D9DD-5FCE-4028-8D52-F4758EFA866E}"/>
    <cellStyle name="Normal 5 2 2 2 2 2 9 2" xfId="18256" xr:uid="{466E70D4-8612-4DF1-83B7-97803389C1E4}"/>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EEBC5A8B-AB89-4C5E-8476-485815CBFADE}"/>
    <cellStyle name="Normal 5 2 2 2 2 3 2 2 3" xfId="12453" xr:uid="{0D5913EA-9D98-4F30-BA96-020FDA44497C}"/>
    <cellStyle name="Normal 5 2 2 2 2 3 2 3" xfId="5199" xr:uid="{00000000-0005-0000-0000-000025170000}"/>
    <cellStyle name="Normal 5 2 2 2 2 3 2 3 2" xfId="14525" xr:uid="{64DDB1B1-D55E-40F9-A9E7-1508EFDE0E4C}"/>
    <cellStyle name="Normal 5 2 2 2 2 3 2 4" xfId="9461" xr:uid="{815E4D9A-ED64-4B6C-A17A-F6D83CC40A47}"/>
    <cellStyle name="Normal 5 2 2 2 2 3 2 4 2" xfId="18776" xr:uid="{34727083-F6B9-434E-8112-4B18CC6B5927}"/>
    <cellStyle name="Normal 5 2 2 2 2 3 2 5" xfId="10308" xr:uid="{DE5DFDB2-AC16-4039-9487-FCDADED65993}"/>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5744EFC3-7D7F-4329-BAFB-A2D384F8EED0}"/>
    <cellStyle name="Normal 5 2 2 2 2 3 3 2 3" xfId="12866" xr:uid="{DDCBBBFB-84F9-4ADB-AF58-46C665BA24C2}"/>
    <cellStyle name="Normal 5 2 2 2 2 3 3 3" xfId="5612" xr:uid="{00000000-0005-0000-0000-000029170000}"/>
    <cellStyle name="Normal 5 2 2 2 2 3 3 3 2" xfId="14938" xr:uid="{BF60DFA1-D9BF-41D2-8433-F1486DAC8925}"/>
    <cellStyle name="Normal 5 2 2 2 2 3 3 4" xfId="10721" xr:uid="{D8A5EDFC-861B-4139-A924-BF37A37FAFF8}"/>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BC1D9896-1A22-49E9-A2C5-F00CC4ADAC61}"/>
    <cellStyle name="Normal 5 2 2 2 2 3 4 2 3" xfId="13279" xr:uid="{28F11027-3A06-4115-ABF3-5BA034E493E1}"/>
    <cellStyle name="Normal 5 2 2 2 2 3 4 3" xfId="6025" xr:uid="{00000000-0005-0000-0000-00002D170000}"/>
    <cellStyle name="Normal 5 2 2 2 2 3 4 3 2" xfId="15351" xr:uid="{28096C84-F7BB-4471-A894-31D04FB0DD59}"/>
    <cellStyle name="Normal 5 2 2 2 2 3 4 4" xfId="11134" xr:uid="{1A1888CC-9056-4AB5-BB9A-5A55F506C1FA}"/>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4B8641C7-E73C-45F5-9F6A-0C0005AB26A8}"/>
    <cellStyle name="Normal 5 2 2 2 2 3 5 2 3" xfId="13692" xr:uid="{1A08444A-71B8-465A-9760-A62E858FF79B}"/>
    <cellStyle name="Normal 5 2 2 2 2 3 5 3" xfId="6438" xr:uid="{00000000-0005-0000-0000-000031170000}"/>
    <cellStyle name="Normal 5 2 2 2 2 3 5 3 2" xfId="15764" xr:uid="{1299B398-3C29-4602-8448-1052CAC6D62F}"/>
    <cellStyle name="Normal 5 2 2 2 2 3 5 4" xfId="11547" xr:uid="{973720FC-5052-4418-A0B9-7F1150866292}"/>
    <cellStyle name="Normal 5 2 2 2 2 3 6" xfId="2568" xr:uid="{00000000-0005-0000-0000-000032170000}"/>
    <cellStyle name="Normal 5 2 2 2 2 3 6 2" xfId="6851" xr:uid="{00000000-0005-0000-0000-000033170000}"/>
    <cellStyle name="Normal 5 2 2 2 2 3 6 2 2" xfId="16177" xr:uid="{DCEB333C-BCC6-489D-A309-98D28C7B1982}"/>
    <cellStyle name="Normal 5 2 2 2 2 3 6 3" xfId="11960" xr:uid="{D8039C74-FF38-470D-89D8-158F11079ECD}"/>
    <cellStyle name="Normal 5 2 2 2 2 3 7" xfId="4786" xr:uid="{00000000-0005-0000-0000-000034170000}"/>
    <cellStyle name="Normal 5 2 2 2 2 3 7 2" xfId="14112" xr:uid="{0E910657-2657-4DBD-B135-1C36B917D764}"/>
    <cellStyle name="Normal 5 2 2 2 2 3 8" xfId="9036" xr:uid="{2B9BC3AC-900A-42EE-A23F-E5574B6E75BC}"/>
    <cellStyle name="Normal 5 2 2 2 2 3 8 2" xfId="18360" xr:uid="{55424A67-948D-4ACA-9FF8-B5D6F25B30AB}"/>
    <cellStyle name="Normal 5 2 2 2 2 3 9" xfId="9895" xr:uid="{F2BEE24C-AE0A-4494-BB4C-3554E3F6799B}"/>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06AE4955-06A2-48B2-9166-9C31AE611932}"/>
    <cellStyle name="Normal 5 2 2 2 2 4 2 3" xfId="12450" xr:uid="{AE9E0DA6-47D1-4D8B-8B39-102B7871EF7A}"/>
    <cellStyle name="Normal 5 2 2 2 2 4 3" xfId="5196" xr:uid="{00000000-0005-0000-0000-000038170000}"/>
    <cellStyle name="Normal 5 2 2 2 2 4 3 2" xfId="14522" xr:uid="{C34F67A0-644D-47B9-BC33-E0364AF00DE7}"/>
    <cellStyle name="Normal 5 2 2 2 2 4 4" xfId="9254" xr:uid="{B0B4DA0D-4C0F-4712-8BF0-280C2A85D575}"/>
    <cellStyle name="Normal 5 2 2 2 2 4 4 2" xfId="18569" xr:uid="{695CBB13-EDB4-4ED3-96BB-6C02E99226C1}"/>
    <cellStyle name="Normal 5 2 2 2 2 4 5" xfId="10305" xr:uid="{891443F4-D038-437A-ABAF-1B6148717B6A}"/>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087EACD1-9E40-47BC-8AF8-C9E98034A2AF}"/>
    <cellStyle name="Normal 5 2 2 2 2 5 2 3" xfId="12863" xr:uid="{740B7B48-47BF-4A4D-8C1C-3460BA02AAE0}"/>
    <cellStyle name="Normal 5 2 2 2 2 5 3" xfId="5609" xr:uid="{00000000-0005-0000-0000-00003C170000}"/>
    <cellStyle name="Normal 5 2 2 2 2 5 3 2" xfId="14935" xr:uid="{DBE281C1-3DB5-43DD-A4EB-9A431B8E3F57}"/>
    <cellStyle name="Normal 5 2 2 2 2 5 4" xfId="10718" xr:uid="{D22FF0BC-A9EB-4B98-B414-BCE770BA0254}"/>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110589FA-6C12-4B4A-8BF7-18ACF59402CC}"/>
    <cellStyle name="Normal 5 2 2 2 2 6 2 3" xfId="13276" xr:uid="{0431F98B-4D57-46EC-9A0F-FCAB6DDA93DA}"/>
    <cellStyle name="Normal 5 2 2 2 2 6 3" xfId="6022" xr:uid="{00000000-0005-0000-0000-000040170000}"/>
    <cellStyle name="Normal 5 2 2 2 2 6 3 2" xfId="15348" xr:uid="{F04E025C-DA5E-4C82-94F8-F3F1FC846E31}"/>
    <cellStyle name="Normal 5 2 2 2 2 6 4" xfId="11131" xr:uid="{68B04598-B54B-419E-8FBE-932BE01AA281}"/>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C335562A-C827-4441-BF06-AEB26E85F05E}"/>
    <cellStyle name="Normal 5 2 2 2 2 7 2 3" xfId="13689" xr:uid="{4EC17C92-4E0C-4074-BF0C-18C5E10ADBF2}"/>
    <cellStyle name="Normal 5 2 2 2 2 7 3" xfId="6435" xr:uid="{00000000-0005-0000-0000-000044170000}"/>
    <cellStyle name="Normal 5 2 2 2 2 7 3 2" xfId="15761" xr:uid="{A1B662E9-C9A0-419D-9B11-63276C224810}"/>
    <cellStyle name="Normal 5 2 2 2 2 7 4" xfId="11544" xr:uid="{5030B65C-5630-457F-A154-52485A67F765}"/>
    <cellStyle name="Normal 5 2 2 2 2 8" xfId="2565" xr:uid="{00000000-0005-0000-0000-000045170000}"/>
    <cellStyle name="Normal 5 2 2 2 2 8 2" xfId="6848" xr:uid="{00000000-0005-0000-0000-000046170000}"/>
    <cellStyle name="Normal 5 2 2 2 2 8 2 2" xfId="16174" xr:uid="{794E1754-AD0F-44AD-9E11-F1475FC3D74D}"/>
    <cellStyle name="Normal 5 2 2 2 2 8 3" xfId="11957" xr:uid="{F85CF868-462F-4ABF-AC02-1311DCD746AD}"/>
    <cellStyle name="Normal 5 2 2 2 2 9" xfId="4783" xr:uid="{00000000-0005-0000-0000-000047170000}"/>
    <cellStyle name="Normal 5 2 2 2 2 9 2" xfId="14109" xr:uid="{A21CD1B3-BFEC-446E-9A59-E82136492FE9}"/>
    <cellStyle name="Normal 5 2 2 2 3" xfId="414" xr:uid="{00000000-0005-0000-0000-000048170000}"/>
    <cellStyle name="Normal 5 2 2 2 3 10" xfId="9896" xr:uid="{A9EB296B-F182-4E35-A15A-68DBD278E251}"/>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E6BA0E38-733B-40BF-BA23-478B9EBB8A79}"/>
    <cellStyle name="Normal 5 2 2 2 3 2 2 2 3" xfId="12455" xr:uid="{E91DF438-D940-4A8D-BCA0-07EB18209FE4}"/>
    <cellStyle name="Normal 5 2 2 2 3 2 2 3" xfId="5201" xr:uid="{00000000-0005-0000-0000-00004D170000}"/>
    <cellStyle name="Normal 5 2 2 2 3 2 2 3 2" xfId="14527" xr:uid="{D2133B82-514B-40CD-A187-D6AFB930FE87}"/>
    <cellStyle name="Normal 5 2 2 2 3 2 2 4" xfId="9506" xr:uid="{65E8E1F9-5B62-47C9-8131-412DF42F5268}"/>
    <cellStyle name="Normal 5 2 2 2 3 2 2 4 2" xfId="18821" xr:uid="{D8BA30CA-F480-4F78-A3F5-C74B9A9DC271}"/>
    <cellStyle name="Normal 5 2 2 2 3 2 2 5" xfId="10310" xr:uid="{B54FB5ED-378A-4DE2-8A97-A3B99F682AE2}"/>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A9F42490-70A2-41B3-A81B-F4771CD80C32}"/>
    <cellStyle name="Normal 5 2 2 2 3 2 3 2 3" xfId="12868" xr:uid="{835BDE7C-E0E7-47D1-98F7-90567AD4674D}"/>
    <cellStyle name="Normal 5 2 2 2 3 2 3 3" xfId="5614" xr:uid="{00000000-0005-0000-0000-000051170000}"/>
    <cellStyle name="Normal 5 2 2 2 3 2 3 3 2" xfId="14940" xr:uid="{6BE1F891-5979-4F67-8C85-333EC8E4B393}"/>
    <cellStyle name="Normal 5 2 2 2 3 2 3 4" xfId="10723" xr:uid="{9C2F17C3-91D2-43B5-B4DF-1C031813D8AD}"/>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8E1020C8-2BA8-4071-B5B7-CB1675453221}"/>
    <cellStyle name="Normal 5 2 2 2 3 2 4 2 3" xfId="13281" xr:uid="{F8339245-A749-4FDF-B805-14C8BDE47A75}"/>
    <cellStyle name="Normal 5 2 2 2 3 2 4 3" xfId="6027" xr:uid="{00000000-0005-0000-0000-000055170000}"/>
    <cellStyle name="Normal 5 2 2 2 3 2 4 3 2" xfId="15353" xr:uid="{C50236BC-BB0B-4FD4-B9CC-4F7D9FF6636B}"/>
    <cellStyle name="Normal 5 2 2 2 3 2 4 4" xfId="11136" xr:uid="{B0F11C15-7A3E-442A-A9E6-4F77C004C898}"/>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0BB94C43-AFC3-44A1-A44D-09B38CE51EC8}"/>
    <cellStyle name="Normal 5 2 2 2 3 2 5 2 3" xfId="13694" xr:uid="{3D537D7E-9DE9-4880-A952-00EFE304123B}"/>
    <cellStyle name="Normal 5 2 2 2 3 2 5 3" xfId="6440" xr:uid="{00000000-0005-0000-0000-000059170000}"/>
    <cellStyle name="Normal 5 2 2 2 3 2 5 3 2" xfId="15766" xr:uid="{DAA7D7B0-6D35-4C56-AFD7-532D7A1731B8}"/>
    <cellStyle name="Normal 5 2 2 2 3 2 5 4" xfId="11549" xr:uid="{BCE1720A-FAD5-4175-9D4D-6699BC311E23}"/>
    <cellStyle name="Normal 5 2 2 2 3 2 6" xfId="2570" xr:uid="{00000000-0005-0000-0000-00005A170000}"/>
    <cellStyle name="Normal 5 2 2 2 3 2 6 2" xfId="6853" xr:uid="{00000000-0005-0000-0000-00005B170000}"/>
    <cellStyle name="Normal 5 2 2 2 3 2 6 2 2" xfId="16179" xr:uid="{7A7292D7-9A56-4C3A-B27C-E381538DAE7A}"/>
    <cellStyle name="Normal 5 2 2 2 3 2 6 3" xfId="11962" xr:uid="{9975F440-AACD-4D7D-9910-19504AAAA8C4}"/>
    <cellStyle name="Normal 5 2 2 2 3 2 7" xfId="4788" xr:uid="{00000000-0005-0000-0000-00005C170000}"/>
    <cellStyle name="Normal 5 2 2 2 3 2 7 2" xfId="14114" xr:uid="{0AB5C7CA-E0C7-4AFA-AC15-FF0E5B18DB51}"/>
    <cellStyle name="Normal 5 2 2 2 3 2 8" xfId="9081" xr:uid="{B0400C6D-4400-4F06-9092-2DCAD3324CF1}"/>
    <cellStyle name="Normal 5 2 2 2 3 2 8 2" xfId="18405" xr:uid="{1BB70B2F-2576-4710-97F6-90C9643F1363}"/>
    <cellStyle name="Normal 5 2 2 2 3 2 9" xfId="9897" xr:uid="{902CF68C-597B-43C8-94FD-5CDE7D5DD543}"/>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C927271C-A7CD-4AC2-A48B-3AFD40B25A05}"/>
    <cellStyle name="Normal 5 2 2 2 3 3 2 3" xfId="12454" xr:uid="{761FA3BB-2917-45C7-9935-4DCE23388B42}"/>
    <cellStyle name="Normal 5 2 2 2 3 3 3" xfId="5200" xr:uid="{00000000-0005-0000-0000-000060170000}"/>
    <cellStyle name="Normal 5 2 2 2 3 3 3 2" xfId="14526" xr:uid="{FB7E1D0A-B0F7-4266-B80A-8946FB0CD18B}"/>
    <cellStyle name="Normal 5 2 2 2 3 3 4" xfId="9299" xr:uid="{85780536-A38F-4D86-8846-D9FA6BB2D61D}"/>
    <cellStyle name="Normal 5 2 2 2 3 3 4 2" xfId="18614" xr:uid="{1DB07C1C-C25C-42FD-9D95-D2CB352CAD91}"/>
    <cellStyle name="Normal 5 2 2 2 3 3 5" xfId="10309" xr:uid="{D41934BC-0ACB-4C29-B35D-9ECB8069C946}"/>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5A1064B5-EC5F-472A-A0AC-C99D2C245219}"/>
    <cellStyle name="Normal 5 2 2 2 3 4 2 3" xfId="12867" xr:uid="{89083CDA-93E9-48D0-B4E6-873B77DE64FE}"/>
    <cellStyle name="Normal 5 2 2 2 3 4 3" xfId="5613" xr:uid="{00000000-0005-0000-0000-000064170000}"/>
    <cellStyle name="Normal 5 2 2 2 3 4 3 2" xfId="14939" xr:uid="{178A9D24-E01C-4F3B-8D35-99CD45BA3DCD}"/>
    <cellStyle name="Normal 5 2 2 2 3 4 4" xfId="10722" xr:uid="{E8B6AC3B-ED60-44D8-94E4-6A92B9EF68E5}"/>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AA5F68F3-F72A-4427-B05D-6C39EFFE2377}"/>
    <cellStyle name="Normal 5 2 2 2 3 5 2 3" xfId="13280" xr:uid="{7849FA5F-456B-4E6B-B4F1-BBC32050E2EB}"/>
    <cellStyle name="Normal 5 2 2 2 3 5 3" xfId="6026" xr:uid="{00000000-0005-0000-0000-000068170000}"/>
    <cellStyle name="Normal 5 2 2 2 3 5 3 2" xfId="15352" xr:uid="{A4EA44BD-70F7-43B0-AB89-2F0A48F408B6}"/>
    <cellStyle name="Normal 5 2 2 2 3 5 4" xfId="11135" xr:uid="{6920CC30-6509-44F3-96B7-5257081C4FEF}"/>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1CDDC1D3-C1E0-4113-8057-25FC72576F21}"/>
    <cellStyle name="Normal 5 2 2 2 3 6 2 3" xfId="13693" xr:uid="{C73A9214-F3A8-4E06-A9AC-81C5FA5B2CBA}"/>
    <cellStyle name="Normal 5 2 2 2 3 6 3" xfId="6439" xr:uid="{00000000-0005-0000-0000-00006C170000}"/>
    <cellStyle name="Normal 5 2 2 2 3 6 3 2" xfId="15765" xr:uid="{4A4380EE-A30C-4434-A990-906B619D521A}"/>
    <cellStyle name="Normal 5 2 2 2 3 6 4" xfId="11548" xr:uid="{1DBAD643-7A02-4BD7-B37D-ADB212ABCF3A}"/>
    <cellStyle name="Normal 5 2 2 2 3 7" xfId="2569" xr:uid="{00000000-0005-0000-0000-00006D170000}"/>
    <cellStyle name="Normal 5 2 2 2 3 7 2" xfId="6852" xr:uid="{00000000-0005-0000-0000-00006E170000}"/>
    <cellStyle name="Normal 5 2 2 2 3 7 2 2" xfId="16178" xr:uid="{DB75B95E-C331-42AD-9C72-3068DD3F7149}"/>
    <cellStyle name="Normal 5 2 2 2 3 7 3" xfId="11961" xr:uid="{DD822B0E-2732-451C-B3EC-364132999013}"/>
    <cellStyle name="Normal 5 2 2 2 3 8" xfId="4787" xr:uid="{00000000-0005-0000-0000-00006F170000}"/>
    <cellStyle name="Normal 5 2 2 2 3 8 2" xfId="14113" xr:uid="{BD89C39A-D81D-4343-B233-EE051DF1917E}"/>
    <cellStyle name="Normal 5 2 2 2 3 9" xfId="8874" xr:uid="{D7CEB9F3-DFA5-483F-B08A-C4A582DD7FE8}"/>
    <cellStyle name="Normal 5 2 2 2 3 9 2" xfId="18198" xr:uid="{66B4ED48-2899-463E-B98B-1312C9590E5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D1B2E374-AB69-476F-B27B-8B3D01EF39F0}"/>
    <cellStyle name="Normal 5 2 2 2 4 2 2 3" xfId="12456" xr:uid="{AD195C0A-5417-49D8-B315-599957354DC2}"/>
    <cellStyle name="Normal 5 2 2 2 4 2 3" xfId="5202" xr:uid="{00000000-0005-0000-0000-000074170000}"/>
    <cellStyle name="Normal 5 2 2 2 4 2 3 2" xfId="14528" xr:uid="{E879181A-F63D-4BBB-BE53-5D420DD74779}"/>
    <cellStyle name="Normal 5 2 2 2 4 2 4" xfId="9403" xr:uid="{DDA7C497-662A-4A76-A324-A27E6A0A2B3D}"/>
    <cellStyle name="Normal 5 2 2 2 4 2 4 2" xfId="18718" xr:uid="{B32D88B7-5201-41EB-816F-DF55957AA2E6}"/>
    <cellStyle name="Normal 5 2 2 2 4 2 5" xfId="10311" xr:uid="{B8D362DD-39DD-470D-931E-7C13BB7A4E7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73CC3140-9F1D-4994-B0B5-B9332D698477}"/>
    <cellStyle name="Normal 5 2 2 2 4 3 2 3" xfId="12869" xr:uid="{E119BFFA-617B-4FC3-B82E-8A59CD7B6F84}"/>
    <cellStyle name="Normal 5 2 2 2 4 3 3" xfId="5615" xr:uid="{00000000-0005-0000-0000-000078170000}"/>
    <cellStyle name="Normal 5 2 2 2 4 3 3 2" xfId="14941" xr:uid="{9D9F7D7D-F737-4DF0-AA6D-46AF84805E87}"/>
    <cellStyle name="Normal 5 2 2 2 4 3 4" xfId="10724" xr:uid="{702EC69E-D1FC-4EB3-AF85-7DE64161C83B}"/>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BE3F746B-F26D-4225-A98C-D490E7BA09C2}"/>
    <cellStyle name="Normal 5 2 2 2 4 4 2 3" xfId="13282" xr:uid="{739775B3-DF26-4721-A845-D47AF94B47FD}"/>
    <cellStyle name="Normal 5 2 2 2 4 4 3" xfId="6028" xr:uid="{00000000-0005-0000-0000-00007C170000}"/>
    <cellStyle name="Normal 5 2 2 2 4 4 3 2" xfId="15354" xr:uid="{5A456EE9-7768-41BD-B5BA-932A3142487A}"/>
    <cellStyle name="Normal 5 2 2 2 4 4 4" xfId="11137" xr:uid="{6B64E555-F896-4B29-BEF7-621D7512BCDD}"/>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8AF48E75-1D8D-4AC2-95DD-1F38F9E94755}"/>
    <cellStyle name="Normal 5 2 2 2 4 5 2 3" xfId="13695" xr:uid="{85B39D8D-C80B-41B4-B036-128BA8E2305C}"/>
    <cellStyle name="Normal 5 2 2 2 4 5 3" xfId="6441" xr:uid="{00000000-0005-0000-0000-000080170000}"/>
    <cellStyle name="Normal 5 2 2 2 4 5 3 2" xfId="15767" xr:uid="{AB4A77AF-F296-4646-B116-8B25A1A6A863}"/>
    <cellStyle name="Normal 5 2 2 2 4 5 4" xfId="11550" xr:uid="{9CC2908B-4F35-4F9A-8D98-BCB01666B1A8}"/>
    <cellStyle name="Normal 5 2 2 2 4 6" xfId="2571" xr:uid="{00000000-0005-0000-0000-000081170000}"/>
    <cellStyle name="Normal 5 2 2 2 4 6 2" xfId="6854" xr:uid="{00000000-0005-0000-0000-000082170000}"/>
    <cellStyle name="Normal 5 2 2 2 4 6 2 2" xfId="16180" xr:uid="{A5F63A78-D862-4225-877C-0A358656C5A6}"/>
    <cellStyle name="Normal 5 2 2 2 4 6 3" xfId="11963" xr:uid="{3982772F-A46F-488C-9C93-3CB3BD7CD5FD}"/>
    <cellStyle name="Normal 5 2 2 2 4 7" xfId="4789" xr:uid="{00000000-0005-0000-0000-000083170000}"/>
    <cellStyle name="Normal 5 2 2 2 4 7 2" xfId="14115" xr:uid="{AF557A47-460C-48EB-99B9-B14009FC423D}"/>
    <cellStyle name="Normal 5 2 2 2 4 8" xfId="8978" xr:uid="{5B5F86B4-BA0F-43A7-920A-E466FD014739}"/>
    <cellStyle name="Normal 5 2 2 2 4 8 2" xfId="18302" xr:uid="{B2EC50B3-FF5B-4D18-8F9A-66D90196466C}"/>
    <cellStyle name="Normal 5 2 2 2 4 9" xfId="9898" xr:uid="{1E9AD6FD-E082-4AA2-ACFA-FFA885208245}"/>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EBD0130F-3B1A-4ED1-9B83-48BBA42E6C7D}"/>
    <cellStyle name="Normal 5 2 2 2 5 2 3" xfId="12449" xr:uid="{F34F8736-EFBC-4F2B-8B82-2B0B3D57386B}"/>
    <cellStyle name="Normal 5 2 2 2 5 3" xfId="5195" xr:uid="{00000000-0005-0000-0000-000087170000}"/>
    <cellStyle name="Normal 5 2 2 2 5 3 2" xfId="14521" xr:uid="{1B1E87D7-ED93-48E9-963B-401F2A975C77}"/>
    <cellStyle name="Normal 5 2 2 2 5 4" xfId="9195" xr:uid="{A7E71EA0-2CA4-4918-870E-A32EEF45C61A}"/>
    <cellStyle name="Normal 5 2 2 2 5 4 2" xfId="18511" xr:uid="{259CD13D-E0B2-47BC-AF0E-44F6C3C65E87}"/>
    <cellStyle name="Normal 5 2 2 2 5 5" xfId="10304" xr:uid="{962A5410-8074-4C55-88F2-3BC79F2C9A13}"/>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C1EF68AF-2D9F-4AC5-810E-DBF6DDCCA169}"/>
    <cellStyle name="Normal 5 2 2 2 6 2 3" xfId="12862" xr:uid="{62FC99A2-33F8-4EE4-8866-C991D90CEE40}"/>
    <cellStyle name="Normal 5 2 2 2 6 3" xfId="5608" xr:uid="{00000000-0005-0000-0000-00008B170000}"/>
    <cellStyle name="Normal 5 2 2 2 6 3 2" xfId="14934" xr:uid="{7A2A0EA2-AA47-447B-8475-5BE673E99061}"/>
    <cellStyle name="Normal 5 2 2 2 6 4" xfId="10717" xr:uid="{C18E081E-4744-4E62-83CA-0D516DCFC397}"/>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B20FD690-FCE6-4835-85B6-F31150A19E00}"/>
    <cellStyle name="Normal 5 2 2 2 7 2 3" xfId="13275" xr:uid="{F131B0DB-1399-44F2-BB91-014282C120D2}"/>
    <cellStyle name="Normal 5 2 2 2 7 3" xfId="6021" xr:uid="{00000000-0005-0000-0000-00008F170000}"/>
    <cellStyle name="Normal 5 2 2 2 7 3 2" xfId="15347" xr:uid="{5D43E64F-FF85-47A6-B1CB-D4B004712B70}"/>
    <cellStyle name="Normal 5 2 2 2 7 4" xfId="11130" xr:uid="{A191779C-2C54-4776-9962-7BD364068802}"/>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80D78FA5-6124-4F41-AA0A-C7D7533C3E51}"/>
    <cellStyle name="Normal 5 2 2 2 8 2 3" xfId="13688" xr:uid="{3DA1A5DB-511F-48C0-99C8-37A0CA4F792F}"/>
    <cellStyle name="Normal 5 2 2 2 8 3" xfId="6434" xr:uid="{00000000-0005-0000-0000-000093170000}"/>
    <cellStyle name="Normal 5 2 2 2 8 3 2" xfId="15760" xr:uid="{96AD4768-EFC0-44FC-80D7-C425D7EF74DE}"/>
    <cellStyle name="Normal 5 2 2 2 8 4" xfId="11543" xr:uid="{0E27D6FF-8FA8-4B3E-BB34-6EA0091072B3}"/>
    <cellStyle name="Normal 5 2 2 2 9" xfId="2564" xr:uid="{00000000-0005-0000-0000-000094170000}"/>
    <cellStyle name="Normal 5 2 2 2 9 2" xfId="6847" xr:uid="{00000000-0005-0000-0000-000095170000}"/>
    <cellStyle name="Normal 5 2 2 2 9 2 2" xfId="16173" xr:uid="{56F1826E-D53D-409D-88DB-BD82B97E4750}"/>
    <cellStyle name="Normal 5 2 2 2 9 3" xfId="11956" xr:uid="{0838502C-16E6-480E-97DD-1D5B958D2512}"/>
    <cellStyle name="Normal 5 2 2 3" xfId="417" xr:uid="{00000000-0005-0000-0000-000096170000}"/>
    <cellStyle name="Normal 5 2 2 3 10" xfId="8828" xr:uid="{5CED8211-F967-469B-812B-9DF6FC250177}"/>
    <cellStyle name="Normal 5 2 2 3 10 2" xfId="18152" xr:uid="{723E8863-5611-4FE0-B762-A8C5A228EBC6}"/>
    <cellStyle name="Normal 5 2 2 3 11" xfId="9899" xr:uid="{D1181F94-0D5B-493C-92B8-8333CAB504AE}"/>
    <cellStyle name="Normal 5 2 2 3 2" xfId="418" xr:uid="{00000000-0005-0000-0000-000097170000}"/>
    <cellStyle name="Normal 5 2 2 3 2 10" xfId="9900" xr:uid="{6224F1C2-A578-4208-9D20-D50F1DB498CA}"/>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9FFB2F9E-C4D8-44C9-8C8B-D502BF0294FD}"/>
    <cellStyle name="Normal 5 2 2 3 2 2 2 2 3" xfId="12459" xr:uid="{023E3856-A878-46DA-A02F-AFB51D87CE42}"/>
    <cellStyle name="Normal 5 2 2 3 2 2 2 3" xfId="5205" xr:uid="{00000000-0005-0000-0000-00009C170000}"/>
    <cellStyle name="Normal 5 2 2 3 2 2 2 3 2" xfId="14531" xr:uid="{AB8816F4-AFA7-426D-864B-3C15E2476241}"/>
    <cellStyle name="Normal 5 2 2 3 2 2 2 4" xfId="9563" xr:uid="{804E641C-B5FA-46A3-B805-C1D4AF390C28}"/>
    <cellStyle name="Normal 5 2 2 3 2 2 2 4 2" xfId="18878" xr:uid="{425C2DA2-000A-4D98-936A-6D8DD521509E}"/>
    <cellStyle name="Normal 5 2 2 3 2 2 2 5" xfId="10314" xr:uid="{60619A84-2E7F-48F2-A074-9CAB09E993AE}"/>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D1863B16-E4C4-4258-88B5-E4A01C81105F}"/>
    <cellStyle name="Normal 5 2 2 3 2 2 3 2 3" xfId="12872" xr:uid="{45E18513-1052-4CE8-825D-61E83D5549B6}"/>
    <cellStyle name="Normal 5 2 2 3 2 2 3 3" xfId="5618" xr:uid="{00000000-0005-0000-0000-0000A0170000}"/>
    <cellStyle name="Normal 5 2 2 3 2 2 3 3 2" xfId="14944" xr:uid="{6A4A1E66-0C8D-458E-BA10-71C4E4E286A6}"/>
    <cellStyle name="Normal 5 2 2 3 2 2 3 4" xfId="10727" xr:uid="{F9493267-17AF-4908-8F21-578DF950E544}"/>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A088C838-A94B-40F8-B61D-CEA76FE18857}"/>
    <cellStyle name="Normal 5 2 2 3 2 2 4 2 3" xfId="13285" xr:uid="{1DD7344E-D99A-42B5-92B6-87241FB7EC15}"/>
    <cellStyle name="Normal 5 2 2 3 2 2 4 3" xfId="6031" xr:uid="{00000000-0005-0000-0000-0000A4170000}"/>
    <cellStyle name="Normal 5 2 2 3 2 2 4 3 2" xfId="15357" xr:uid="{4487C6C8-8819-4811-8E92-D9671106CBF9}"/>
    <cellStyle name="Normal 5 2 2 3 2 2 4 4" xfId="11140" xr:uid="{7BED5408-0AEC-4802-84E1-F2C1C62A0919}"/>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2E9C0B98-A33A-456E-AC10-21D055B4234D}"/>
    <cellStyle name="Normal 5 2 2 3 2 2 5 2 3" xfId="13698" xr:uid="{D0D69881-CCE1-46EE-B45D-391CDED374E7}"/>
    <cellStyle name="Normal 5 2 2 3 2 2 5 3" xfId="6444" xr:uid="{00000000-0005-0000-0000-0000A8170000}"/>
    <cellStyle name="Normal 5 2 2 3 2 2 5 3 2" xfId="15770" xr:uid="{C35ECF88-3BBA-4177-8A23-26B986F62804}"/>
    <cellStyle name="Normal 5 2 2 3 2 2 5 4" xfId="11553" xr:uid="{DE36A5E4-E8E7-44D5-98D7-41F279C2F755}"/>
    <cellStyle name="Normal 5 2 2 3 2 2 6" xfId="2574" xr:uid="{00000000-0005-0000-0000-0000A9170000}"/>
    <cellStyle name="Normal 5 2 2 3 2 2 6 2" xfId="6857" xr:uid="{00000000-0005-0000-0000-0000AA170000}"/>
    <cellStyle name="Normal 5 2 2 3 2 2 6 2 2" xfId="16183" xr:uid="{E393924C-9841-4355-924E-E11724B961C5}"/>
    <cellStyle name="Normal 5 2 2 3 2 2 6 3" xfId="11966" xr:uid="{D0052C4D-3653-430C-8454-41939342FCA4}"/>
    <cellStyle name="Normal 5 2 2 3 2 2 7" xfId="4792" xr:uid="{00000000-0005-0000-0000-0000AB170000}"/>
    <cellStyle name="Normal 5 2 2 3 2 2 7 2" xfId="14118" xr:uid="{17656195-1EF8-42EE-A913-71F710DFE1FE}"/>
    <cellStyle name="Normal 5 2 2 3 2 2 8" xfId="9138" xr:uid="{BE73D583-3CAB-48A9-8A6F-E88EE69D1D1D}"/>
    <cellStyle name="Normal 5 2 2 3 2 2 8 2" xfId="18462" xr:uid="{EAB010FF-A2B0-47A5-ABFF-ABE3551B6045}"/>
    <cellStyle name="Normal 5 2 2 3 2 2 9" xfId="9901" xr:uid="{196D4EDA-C79E-4012-A9D9-1C5081061BCE}"/>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D85B4331-7F99-4A01-A680-A06DFCD81E24}"/>
    <cellStyle name="Normal 5 2 2 3 2 3 2 3" xfId="12458" xr:uid="{01B6D919-EB0D-44CB-8DE1-D38DE329A634}"/>
    <cellStyle name="Normal 5 2 2 3 2 3 3" xfId="5204" xr:uid="{00000000-0005-0000-0000-0000AF170000}"/>
    <cellStyle name="Normal 5 2 2 3 2 3 3 2" xfId="14530" xr:uid="{190688BF-2114-4774-8260-6BDEE73AC9ED}"/>
    <cellStyle name="Normal 5 2 2 3 2 3 4" xfId="9356" xr:uid="{58BAA3B3-A7A2-4F6F-9929-D8BE9F0A557D}"/>
    <cellStyle name="Normal 5 2 2 3 2 3 4 2" xfId="18671" xr:uid="{F1812EA1-576B-4E24-AFAD-F136D44A8B59}"/>
    <cellStyle name="Normal 5 2 2 3 2 3 5" xfId="10313" xr:uid="{DBDD6CC0-E52B-48A0-835A-CDC6C3DE8172}"/>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AF632010-5E38-495F-AF3E-5ACB070BB458}"/>
    <cellStyle name="Normal 5 2 2 3 2 4 2 3" xfId="12871" xr:uid="{FA1C16D7-E15C-4613-87FE-16980E740F4B}"/>
    <cellStyle name="Normal 5 2 2 3 2 4 3" xfId="5617" xr:uid="{00000000-0005-0000-0000-0000B3170000}"/>
    <cellStyle name="Normal 5 2 2 3 2 4 3 2" xfId="14943" xr:uid="{8ACA67E4-7F1F-41BF-826C-F9ACFF2E5810}"/>
    <cellStyle name="Normal 5 2 2 3 2 4 4" xfId="10726" xr:uid="{38FDF360-C1FE-4198-8FF1-B41F370D68A8}"/>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670B21DD-B212-4EFC-9A4D-29D78F089885}"/>
    <cellStyle name="Normal 5 2 2 3 2 5 2 3" xfId="13284" xr:uid="{2B09E1CC-5A1E-42C3-8533-AD81A3EDC563}"/>
    <cellStyle name="Normal 5 2 2 3 2 5 3" xfId="6030" xr:uid="{00000000-0005-0000-0000-0000B7170000}"/>
    <cellStyle name="Normal 5 2 2 3 2 5 3 2" xfId="15356" xr:uid="{1B97438E-7101-4E54-AB9F-EB5BF2CCC85A}"/>
    <cellStyle name="Normal 5 2 2 3 2 5 4" xfId="11139" xr:uid="{8770E2B8-C67C-4F49-87A5-CDB1A13AEAD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6BA0B415-F91A-49D1-A439-AF7759215338}"/>
    <cellStyle name="Normal 5 2 2 3 2 6 2 3" xfId="13697" xr:uid="{0098A041-ACBC-4A7E-AA86-71B72558CE98}"/>
    <cellStyle name="Normal 5 2 2 3 2 6 3" xfId="6443" xr:uid="{00000000-0005-0000-0000-0000BB170000}"/>
    <cellStyle name="Normal 5 2 2 3 2 6 3 2" xfId="15769" xr:uid="{08314284-FAF3-4CBE-A877-E9A18925CFD1}"/>
    <cellStyle name="Normal 5 2 2 3 2 6 4" xfId="11552" xr:uid="{E6D11058-F3D8-441B-A435-63CA18EC854E}"/>
    <cellStyle name="Normal 5 2 2 3 2 7" xfId="2573" xr:uid="{00000000-0005-0000-0000-0000BC170000}"/>
    <cellStyle name="Normal 5 2 2 3 2 7 2" xfId="6856" xr:uid="{00000000-0005-0000-0000-0000BD170000}"/>
    <cellStyle name="Normal 5 2 2 3 2 7 2 2" xfId="16182" xr:uid="{A0ADCA9A-6AF4-44C7-B13F-476DA29BDFB9}"/>
    <cellStyle name="Normal 5 2 2 3 2 7 3" xfId="11965" xr:uid="{2B6AD16D-A208-47A8-868B-89968C029C17}"/>
    <cellStyle name="Normal 5 2 2 3 2 8" xfId="4791" xr:uid="{00000000-0005-0000-0000-0000BE170000}"/>
    <cellStyle name="Normal 5 2 2 3 2 8 2" xfId="14117" xr:uid="{493F3A73-8D42-4D86-9761-00124CD1C9A4}"/>
    <cellStyle name="Normal 5 2 2 3 2 9" xfId="8931" xr:uid="{E27E09D3-2564-4B82-8EA4-A27330B6B436}"/>
    <cellStyle name="Normal 5 2 2 3 2 9 2" xfId="18255" xr:uid="{C2DA4074-9FDA-4161-A383-4908C304495F}"/>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C2AEF638-8751-4B25-BB75-E72DA735E5CB}"/>
    <cellStyle name="Normal 5 2 2 3 3 2 2 3" xfId="12460" xr:uid="{DBC6853F-E979-491A-A94B-6AB9B5E20382}"/>
    <cellStyle name="Normal 5 2 2 3 3 2 3" xfId="5206" xr:uid="{00000000-0005-0000-0000-0000C3170000}"/>
    <cellStyle name="Normal 5 2 2 3 3 2 3 2" xfId="14532" xr:uid="{CADFDD81-5941-4FF6-B58A-6419425ABDC3}"/>
    <cellStyle name="Normal 5 2 2 3 3 2 4" xfId="9460" xr:uid="{423E0BE9-24F3-4EF0-8962-2565594BF831}"/>
    <cellStyle name="Normal 5 2 2 3 3 2 4 2" xfId="18775" xr:uid="{58558660-85A9-4451-B491-AE7520EEC361}"/>
    <cellStyle name="Normal 5 2 2 3 3 2 5" xfId="10315" xr:uid="{AC99F73E-2E6A-4A0D-AA46-2DE4033C83D2}"/>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4CAF7EAF-CC0A-46CD-BF4B-48BEA5E3BFC9}"/>
    <cellStyle name="Normal 5 2 2 3 3 3 2 3" xfId="12873" xr:uid="{53B05A80-8A52-4A95-BBE8-8757434719F8}"/>
    <cellStyle name="Normal 5 2 2 3 3 3 3" xfId="5619" xr:uid="{00000000-0005-0000-0000-0000C7170000}"/>
    <cellStyle name="Normal 5 2 2 3 3 3 3 2" xfId="14945" xr:uid="{BD55E1B4-EA9E-4A6E-A5C0-C75250CD6362}"/>
    <cellStyle name="Normal 5 2 2 3 3 3 4" xfId="10728" xr:uid="{424DE466-3314-4F98-A371-745AECE3F96D}"/>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77E410C4-2A89-4610-879B-8798B6FA244D}"/>
    <cellStyle name="Normal 5 2 2 3 3 4 2 3" xfId="13286" xr:uid="{07FA73FE-EC19-4155-B115-331AE3002FCB}"/>
    <cellStyle name="Normal 5 2 2 3 3 4 3" xfId="6032" xr:uid="{00000000-0005-0000-0000-0000CB170000}"/>
    <cellStyle name="Normal 5 2 2 3 3 4 3 2" xfId="15358" xr:uid="{C6479834-B08B-4888-BDDB-A89326918F5A}"/>
    <cellStyle name="Normal 5 2 2 3 3 4 4" xfId="11141" xr:uid="{7569B5F5-A989-4484-9652-B6CB5AE522B6}"/>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A639E53E-09B2-4CCC-A12F-D1FE710641CB}"/>
    <cellStyle name="Normal 5 2 2 3 3 5 2 3" xfId="13699" xr:uid="{A891191F-54F6-4E24-BD61-D50DF6A06283}"/>
    <cellStyle name="Normal 5 2 2 3 3 5 3" xfId="6445" xr:uid="{00000000-0005-0000-0000-0000CF170000}"/>
    <cellStyle name="Normal 5 2 2 3 3 5 3 2" xfId="15771" xr:uid="{BCD7508E-7A9F-49D7-B1B0-963A640CBDFD}"/>
    <cellStyle name="Normal 5 2 2 3 3 5 4" xfId="11554" xr:uid="{9D6BA9F7-ADDA-4D5B-8FF8-3798689E1B27}"/>
    <cellStyle name="Normal 5 2 2 3 3 6" xfId="2575" xr:uid="{00000000-0005-0000-0000-0000D0170000}"/>
    <cellStyle name="Normal 5 2 2 3 3 6 2" xfId="6858" xr:uid="{00000000-0005-0000-0000-0000D1170000}"/>
    <cellStyle name="Normal 5 2 2 3 3 6 2 2" xfId="16184" xr:uid="{D87A6328-8072-4FD5-812D-59D148226129}"/>
    <cellStyle name="Normal 5 2 2 3 3 6 3" xfId="11967" xr:uid="{4B669C90-4A29-47AD-AA6B-BE2F4DE033B3}"/>
    <cellStyle name="Normal 5 2 2 3 3 7" xfId="4793" xr:uid="{00000000-0005-0000-0000-0000D2170000}"/>
    <cellStyle name="Normal 5 2 2 3 3 7 2" xfId="14119" xr:uid="{A99A275E-B677-4095-B37D-72739D58E84A}"/>
    <cellStyle name="Normal 5 2 2 3 3 8" xfId="9035" xr:uid="{6AC57173-16AF-4847-A277-E4254AACDA36}"/>
    <cellStyle name="Normal 5 2 2 3 3 8 2" xfId="18359" xr:uid="{6B42E16C-147C-4F16-AC8F-BFADDAD8B53C}"/>
    <cellStyle name="Normal 5 2 2 3 3 9" xfId="9902" xr:uid="{E5E19298-37A2-4280-AFED-4F3A23D8F024}"/>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D3AE8DCE-8D36-4994-9221-6662B0D3C17B}"/>
    <cellStyle name="Normal 5 2 2 3 4 2 3" xfId="12457" xr:uid="{2535C59C-3E98-478F-8397-3A382073576F}"/>
    <cellStyle name="Normal 5 2 2 3 4 3" xfId="5203" xr:uid="{00000000-0005-0000-0000-0000D6170000}"/>
    <cellStyle name="Normal 5 2 2 3 4 3 2" xfId="14529" xr:uid="{FA05E9DF-685F-40EF-A907-92C3F2479A04}"/>
    <cellStyle name="Normal 5 2 2 3 4 4" xfId="9253" xr:uid="{A5C3AAF9-67DD-41B1-A0BF-05B69F588F71}"/>
    <cellStyle name="Normal 5 2 2 3 4 4 2" xfId="18568" xr:uid="{C6E1A677-AC3B-4351-9057-1C0D62387C6F}"/>
    <cellStyle name="Normal 5 2 2 3 4 5" xfId="10312" xr:uid="{D46FA74D-2514-40B7-BD1D-73316231EBD5}"/>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79DAA195-B015-493B-BF40-42FF34872ED1}"/>
    <cellStyle name="Normal 5 2 2 3 5 2 3" xfId="12870" xr:uid="{00139168-5DDC-4729-A2D7-725F5DEE5471}"/>
    <cellStyle name="Normal 5 2 2 3 5 3" xfId="5616" xr:uid="{00000000-0005-0000-0000-0000DA170000}"/>
    <cellStyle name="Normal 5 2 2 3 5 3 2" xfId="14942" xr:uid="{99D44464-19E7-4A08-8A58-0B162B3A69E4}"/>
    <cellStyle name="Normal 5 2 2 3 5 4" xfId="10725" xr:uid="{8F6E7E16-438E-463D-BCBF-AA5343C07A01}"/>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2A2B4343-4036-40E5-9A18-8107DCFED6B1}"/>
    <cellStyle name="Normal 5 2 2 3 6 2 3" xfId="13283" xr:uid="{83B1E1B9-9F19-47D9-851D-00D5DDECD621}"/>
    <cellStyle name="Normal 5 2 2 3 6 3" xfId="6029" xr:uid="{00000000-0005-0000-0000-0000DE170000}"/>
    <cellStyle name="Normal 5 2 2 3 6 3 2" xfId="15355" xr:uid="{D0E421E6-D2A6-436A-81D4-E995EEE7C61D}"/>
    <cellStyle name="Normal 5 2 2 3 6 4" xfId="11138" xr:uid="{30409DC1-2A71-4D6C-9303-55FFB4F8E224}"/>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0CB79DC4-3AE0-403F-AAE5-2B623839E073}"/>
    <cellStyle name="Normal 5 2 2 3 7 2 3" xfId="13696" xr:uid="{AEF2DB1C-1E99-4D92-AAA2-6D97B8B74B7A}"/>
    <cellStyle name="Normal 5 2 2 3 7 3" xfId="6442" xr:uid="{00000000-0005-0000-0000-0000E2170000}"/>
    <cellStyle name="Normal 5 2 2 3 7 3 2" xfId="15768" xr:uid="{07CCC610-C0AA-4632-9073-27AD306657BF}"/>
    <cellStyle name="Normal 5 2 2 3 7 4" xfId="11551" xr:uid="{8F7F7B7F-2F12-4AE3-A46E-963194FCD00F}"/>
    <cellStyle name="Normal 5 2 2 3 8" xfId="2572" xr:uid="{00000000-0005-0000-0000-0000E3170000}"/>
    <cellStyle name="Normal 5 2 2 3 8 2" xfId="6855" xr:uid="{00000000-0005-0000-0000-0000E4170000}"/>
    <cellStyle name="Normal 5 2 2 3 8 2 2" xfId="16181" xr:uid="{B2655D49-9B42-44D3-9FD8-09807B3464D5}"/>
    <cellStyle name="Normal 5 2 2 3 8 3" xfId="11964" xr:uid="{D1D438C4-79FB-46D7-B113-A1C9AC5D0F3C}"/>
    <cellStyle name="Normal 5 2 2 3 9" xfId="4790" xr:uid="{00000000-0005-0000-0000-0000E5170000}"/>
    <cellStyle name="Normal 5 2 2 3 9 2" xfId="14116" xr:uid="{05E1DC3E-0C7E-4829-8169-4B5EBB29EF0B}"/>
    <cellStyle name="Normal 5 2 2 4" xfId="421" xr:uid="{00000000-0005-0000-0000-0000E6170000}"/>
    <cellStyle name="Normal 5 2 2 4 10" xfId="9903" xr:uid="{490F2C8A-F73A-46D7-8DE5-3E37BBD87637}"/>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CBDA55C6-1AEA-4699-8EF9-9E7ADDBE8F42}"/>
    <cellStyle name="Normal 5 2 2 4 2 2 2 3" xfId="12462" xr:uid="{D48988A2-7F00-4F92-952F-A0994DE021CD}"/>
    <cellStyle name="Normal 5 2 2 4 2 2 3" xfId="5208" xr:uid="{00000000-0005-0000-0000-0000EB170000}"/>
    <cellStyle name="Normal 5 2 2 4 2 2 3 2" xfId="14534" xr:uid="{A8DC3D77-B7CC-48EF-AC83-CF2938784A52}"/>
    <cellStyle name="Normal 5 2 2 4 2 2 4" xfId="9488" xr:uid="{2997B11D-E810-48A4-BD3C-4498479B295E}"/>
    <cellStyle name="Normal 5 2 2 4 2 2 4 2" xfId="18803" xr:uid="{96C67174-0345-44AF-8325-E36F5CF1FF26}"/>
    <cellStyle name="Normal 5 2 2 4 2 2 5" xfId="10317" xr:uid="{77E51899-971E-4BD7-AB2E-902430F08533}"/>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EC6FF803-503C-464C-963D-F8BA390CA800}"/>
    <cellStyle name="Normal 5 2 2 4 2 3 2 3" xfId="12875" xr:uid="{9F906014-3703-409E-8D9A-7F0D88FC83D5}"/>
    <cellStyle name="Normal 5 2 2 4 2 3 3" xfId="5621" xr:uid="{00000000-0005-0000-0000-0000EF170000}"/>
    <cellStyle name="Normal 5 2 2 4 2 3 3 2" xfId="14947" xr:uid="{A1A3FC9F-8ADE-4B77-B843-4842F7CAC682}"/>
    <cellStyle name="Normal 5 2 2 4 2 3 4" xfId="10730" xr:uid="{D873A905-5B06-4248-9C13-EB620F726E9F}"/>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0275BDE7-CC8D-48B2-AC99-5824E535470B}"/>
    <cellStyle name="Normal 5 2 2 4 2 4 2 3" xfId="13288" xr:uid="{06766144-1AEE-45B4-A1E8-7838C7177B91}"/>
    <cellStyle name="Normal 5 2 2 4 2 4 3" xfId="6034" xr:uid="{00000000-0005-0000-0000-0000F3170000}"/>
    <cellStyle name="Normal 5 2 2 4 2 4 3 2" xfId="15360" xr:uid="{EB450C4F-A36F-4685-89AE-32A9EEB07A9B}"/>
    <cellStyle name="Normal 5 2 2 4 2 4 4" xfId="11143" xr:uid="{A0C861A3-BF39-4845-BB16-4785F7FCB5BF}"/>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2643C43C-BA97-4C38-B434-E5B5CBD09128}"/>
    <cellStyle name="Normal 5 2 2 4 2 5 2 3" xfId="13701" xr:uid="{C537726C-4C32-4581-AB40-F3A317B863A6}"/>
    <cellStyle name="Normal 5 2 2 4 2 5 3" xfId="6447" xr:uid="{00000000-0005-0000-0000-0000F7170000}"/>
    <cellStyle name="Normal 5 2 2 4 2 5 3 2" xfId="15773" xr:uid="{EC8C3161-A181-4975-A168-437E35430A1A}"/>
    <cellStyle name="Normal 5 2 2 4 2 5 4" xfId="11556" xr:uid="{6A99A0F4-8BF0-4E00-85E7-FC83777E062F}"/>
    <cellStyle name="Normal 5 2 2 4 2 6" xfId="2577" xr:uid="{00000000-0005-0000-0000-0000F8170000}"/>
    <cellStyle name="Normal 5 2 2 4 2 6 2" xfId="6860" xr:uid="{00000000-0005-0000-0000-0000F9170000}"/>
    <cellStyle name="Normal 5 2 2 4 2 6 2 2" xfId="16186" xr:uid="{7008A9B8-220E-45C7-A428-9F48AEFCB82D}"/>
    <cellStyle name="Normal 5 2 2 4 2 6 3" xfId="11969" xr:uid="{98254678-4852-4BC6-881D-369294DFEA6C}"/>
    <cellStyle name="Normal 5 2 2 4 2 7" xfId="4795" xr:uid="{00000000-0005-0000-0000-0000FA170000}"/>
    <cellStyle name="Normal 5 2 2 4 2 7 2" xfId="14121" xr:uid="{94D17B15-E480-44A4-BFC6-42739609203A}"/>
    <cellStyle name="Normal 5 2 2 4 2 8" xfId="9063" xr:uid="{3B1AA107-8D7F-4938-A60C-EED41E9B9A2A}"/>
    <cellStyle name="Normal 5 2 2 4 2 8 2" xfId="18387" xr:uid="{2DB5D9E7-6758-48A1-BC8D-1E691C39E7F2}"/>
    <cellStyle name="Normal 5 2 2 4 2 9" xfId="9904" xr:uid="{6C3DBA9F-78F5-4353-B3C6-A3015F72A0EC}"/>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ACC54FD4-C6FB-4B84-8909-E1784155E706}"/>
    <cellStyle name="Normal 5 2 2 4 3 2 3" xfId="12461" xr:uid="{B8C54871-57B4-4C9A-8932-38993346AEC8}"/>
    <cellStyle name="Normal 5 2 2 4 3 3" xfId="5207" xr:uid="{00000000-0005-0000-0000-0000FE170000}"/>
    <cellStyle name="Normal 5 2 2 4 3 3 2" xfId="14533" xr:uid="{3CA7099C-2FB3-473A-A49A-4FD036415907}"/>
    <cellStyle name="Normal 5 2 2 4 3 4" xfId="9281" xr:uid="{9304050F-95A7-4BE3-AD21-FEBB7D0875B2}"/>
    <cellStyle name="Normal 5 2 2 4 3 4 2" xfId="18596" xr:uid="{DB9E24C1-144C-4ACD-ABEF-6B546E272B15}"/>
    <cellStyle name="Normal 5 2 2 4 3 5" xfId="10316" xr:uid="{3AA10806-3151-4717-B18F-CBA9BA669EFA}"/>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40B6AE76-0E68-46D1-B831-AAEDFC94716B}"/>
    <cellStyle name="Normal 5 2 2 4 4 2 3" xfId="12874" xr:uid="{E61773D3-CE31-485F-A538-16DBC59ABE51}"/>
    <cellStyle name="Normal 5 2 2 4 4 3" xfId="5620" xr:uid="{00000000-0005-0000-0000-000002180000}"/>
    <cellStyle name="Normal 5 2 2 4 4 3 2" xfId="14946" xr:uid="{31FA311E-C5D0-4445-ABED-D99D47064A02}"/>
    <cellStyle name="Normal 5 2 2 4 4 4" xfId="10729" xr:uid="{CAE92EA1-D8A6-49C1-A7C8-6303098DCFC1}"/>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BD861611-7A6B-41E3-8B63-C35B22B20266}"/>
    <cellStyle name="Normal 5 2 2 4 5 2 3" xfId="13287" xr:uid="{C77F71F5-3E1C-4BA5-B07C-A01000DD0DB0}"/>
    <cellStyle name="Normal 5 2 2 4 5 3" xfId="6033" xr:uid="{00000000-0005-0000-0000-000006180000}"/>
    <cellStyle name="Normal 5 2 2 4 5 3 2" xfId="15359" xr:uid="{7E40DD43-812E-4529-BADE-D11891135F91}"/>
    <cellStyle name="Normal 5 2 2 4 5 4" xfId="11142" xr:uid="{6451FB2E-120D-4634-B4B7-DCB2BFF10103}"/>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7366C2AD-20E0-4253-9C73-E698F7AD5E38}"/>
    <cellStyle name="Normal 5 2 2 4 6 2 3" xfId="13700" xr:uid="{659E4459-F69E-438E-8CAA-7545FF1FF307}"/>
    <cellStyle name="Normal 5 2 2 4 6 3" xfId="6446" xr:uid="{00000000-0005-0000-0000-00000A180000}"/>
    <cellStyle name="Normal 5 2 2 4 6 3 2" xfId="15772" xr:uid="{9A8326D5-6EFF-4CED-8234-14A65F6F1B43}"/>
    <cellStyle name="Normal 5 2 2 4 6 4" xfId="11555" xr:uid="{1A07ECC3-7F3E-435C-AC7E-0CECCDB86957}"/>
    <cellStyle name="Normal 5 2 2 4 7" xfId="2576" xr:uid="{00000000-0005-0000-0000-00000B180000}"/>
    <cellStyle name="Normal 5 2 2 4 7 2" xfId="6859" xr:uid="{00000000-0005-0000-0000-00000C180000}"/>
    <cellStyle name="Normal 5 2 2 4 7 2 2" xfId="16185" xr:uid="{D6F35472-D26E-4248-8A0D-F142FB072D9B}"/>
    <cellStyle name="Normal 5 2 2 4 7 3" xfId="11968" xr:uid="{19D87009-12AD-46A1-A196-C0DAF365BCA7}"/>
    <cellStyle name="Normal 5 2 2 4 8" xfId="4794" xr:uid="{00000000-0005-0000-0000-00000D180000}"/>
    <cellStyle name="Normal 5 2 2 4 8 2" xfId="14120" xr:uid="{F55509A3-5065-4C8E-AC6E-E0B8ED2416F2}"/>
    <cellStyle name="Normal 5 2 2 4 9" xfId="8856" xr:uid="{8A537EF5-BE1D-4B82-9546-B2DC1F74308F}"/>
    <cellStyle name="Normal 5 2 2 4 9 2" xfId="18180" xr:uid="{5EBA0E62-8DBD-451A-A7FA-CF9C0A8C6274}"/>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396E3942-8442-4171-AD42-0632712A2660}"/>
    <cellStyle name="Normal 5 2 2 5 2 2 3" xfId="12463" xr:uid="{D9E6373A-0085-4492-84C1-72486E485F73}"/>
    <cellStyle name="Normal 5 2 2 5 2 3" xfId="5209" xr:uid="{00000000-0005-0000-0000-000012180000}"/>
    <cellStyle name="Normal 5 2 2 5 2 3 2" xfId="14535" xr:uid="{F10B0DAB-5E3E-44BB-B35C-5A802A67AC5C}"/>
    <cellStyle name="Normal 5 2 2 5 2 4" xfId="9397" xr:uid="{3CB0B9A4-F907-4F52-ACFC-7970F7AF9B13}"/>
    <cellStyle name="Normal 5 2 2 5 2 4 2" xfId="18712" xr:uid="{DA2766B3-719B-4F69-AD32-F02E908438EC}"/>
    <cellStyle name="Normal 5 2 2 5 2 5" xfId="10318" xr:uid="{F8E04AD2-EB66-45FA-8363-C2DCA554FCFD}"/>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EAD5B18D-4F15-468B-AF57-A8D36F66B00C}"/>
    <cellStyle name="Normal 5 2 2 5 3 2 3" xfId="12876" xr:uid="{453555E3-D8F9-4770-8A41-741E5C6B56CF}"/>
    <cellStyle name="Normal 5 2 2 5 3 3" xfId="5622" xr:uid="{00000000-0005-0000-0000-000016180000}"/>
    <cellStyle name="Normal 5 2 2 5 3 3 2" xfId="14948" xr:uid="{364FFC44-D284-4CFC-9115-7B13A94D687D}"/>
    <cellStyle name="Normal 5 2 2 5 3 4" xfId="10731" xr:uid="{BAE48F2A-1259-4DAB-8015-50F42D93D72A}"/>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28D072A6-1094-4651-9946-0C94BE030EF1}"/>
    <cellStyle name="Normal 5 2 2 5 4 2 3" xfId="13289" xr:uid="{A8F82B71-8416-436B-A47F-74C83CB87D09}"/>
    <cellStyle name="Normal 5 2 2 5 4 3" xfId="6035" xr:uid="{00000000-0005-0000-0000-00001A180000}"/>
    <cellStyle name="Normal 5 2 2 5 4 3 2" xfId="15361" xr:uid="{F0AC90EC-929E-438E-B134-59A6196969B7}"/>
    <cellStyle name="Normal 5 2 2 5 4 4" xfId="11144" xr:uid="{25F2481A-6D6C-4585-81E0-2AC6F1B31304}"/>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BBC850A1-D960-4AC3-8A1A-8E8D67F39EB6}"/>
    <cellStyle name="Normal 5 2 2 5 5 2 3" xfId="13702" xr:uid="{0D498ADF-660E-4AC0-A326-456B1C5EB9D7}"/>
    <cellStyle name="Normal 5 2 2 5 5 3" xfId="6448" xr:uid="{00000000-0005-0000-0000-00001E180000}"/>
    <cellStyle name="Normal 5 2 2 5 5 3 2" xfId="15774" xr:uid="{43ADCC15-0763-4A3D-B151-B4445974251C}"/>
    <cellStyle name="Normal 5 2 2 5 5 4" xfId="11557" xr:uid="{A34A302B-11FA-47E8-BE01-1AB9EFC031B0}"/>
    <cellStyle name="Normal 5 2 2 5 6" xfId="2578" xr:uid="{00000000-0005-0000-0000-00001F180000}"/>
    <cellStyle name="Normal 5 2 2 5 6 2" xfId="6861" xr:uid="{00000000-0005-0000-0000-000020180000}"/>
    <cellStyle name="Normal 5 2 2 5 6 2 2" xfId="16187" xr:uid="{A14CDD3D-E149-4B60-8FC7-F5181F17D875}"/>
    <cellStyle name="Normal 5 2 2 5 6 3" xfId="11970" xr:uid="{355F53AB-6F77-4FC7-8CBF-678B5E9DEC78}"/>
    <cellStyle name="Normal 5 2 2 5 7" xfId="4796" xr:uid="{00000000-0005-0000-0000-000021180000}"/>
    <cellStyle name="Normal 5 2 2 5 7 2" xfId="14122" xr:uid="{C6A5B596-FE54-4BA6-800B-C013A8E83704}"/>
    <cellStyle name="Normal 5 2 2 5 8" xfId="8972" xr:uid="{3CCC8856-6464-4309-A4F9-43F74A48C503}"/>
    <cellStyle name="Normal 5 2 2 5 8 2" xfId="18296" xr:uid="{41EA32D7-5CE2-44E6-9D66-E67BF3CCCB7D}"/>
    <cellStyle name="Normal 5 2 2 5 9" xfId="9905" xr:uid="{E51B2FF3-1CE8-4E34-8AB0-102C6314ED97}"/>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914CF99E-F5AE-405C-AE5D-BDCC29673C0F}"/>
    <cellStyle name="Normal 5 2 2 6 2 3" xfId="12448" xr:uid="{4F71E77E-89A4-4C4C-A712-5E8E8AEC8385}"/>
    <cellStyle name="Normal 5 2 2 6 3" xfId="5194" xr:uid="{00000000-0005-0000-0000-000025180000}"/>
    <cellStyle name="Normal 5 2 2 6 3 2" xfId="14520" xr:uid="{2BF3F929-20CF-4704-9277-A5BA2DB0D7EA}"/>
    <cellStyle name="Normal 5 2 2 6 4" xfId="9175" xr:uid="{A0BC076A-DB75-4963-A17E-57836FA6391D}"/>
    <cellStyle name="Normal 5 2 2 6 4 2" xfId="18493" xr:uid="{B6307313-F7D9-4012-A45B-1D4CAA245A94}"/>
    <cellStyle name="Normal 5 2 2 6 5" xfId="10303" xr:uid="{7D384D21-F0D0-452B-9D4C-C87CA4975EC8}"/>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10F35295-02B0-41BA-9DCC-FF508DA41E4B}"/>
    <cellStyle name="Normal 5 2 2 7 2 3" xfId="12861" xr:uid="{C32B07CA-E450-464C-8B5B-616906AB30D4}"/>
    <cellStyle name="Normal 5 2 2 7 3" xfId="5607" xr:uid="{00000000-0005-0000-0000-000029180000}"/>
    <cellStyle name="Normal 5 2 2 7 3 2" xfId="14933" xr:uid="{7810BE9A-81E0-4548-B724-C9FAA03755A4}"/>
    <cellStyle name="Normal 5 2 2 7 4" xfId="10716" xr:uid="{10C14C26-B890-4993-894E-5A33E242D966}"/>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246821BF-9240-45DE-B70A-4E3CA033F9B1}"/>
    <cellStyle name="Normal 5 2 2 8 2 3" xfId="13274" xr:uid="{4F3A75FF-89BE-4E07-95B6-07050DBDC068}"/>
    <cellStyle name="Normal 5 2 2 8 3" xfId="6020" xr:uid="{00000000-0005-0000-0000-00002D180000}"/>
    <cellStyle name="Normal 5 2 2 8 3 2" xfId="15346" xr:uid="{3F15901D-5241-4C22-8579-D3F65C66D629}"/>
    <cellStyle name="Normal 5 2 2 8 4" xfId="11129" xr:uid="{42A39D73-C2FF-4B99-8012-DA6FFC497A55}"/>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8DF985A2-E6D1-4061-BE6B-2902F70E0D20}"/>
    <cellStyle name="Normal 5 2 2 9 2 3" xfId="13687" xr:uid="{A6242055-824A-4803-8F07-2EAE6AE6FBB0}"/>
    <cellStyle name="Normal 5 2 2 9 3" xfId="6433" xr:uid="{00000000-0005-0000-0000-000031180000}"/>
    <cellStyle name="Normal 5 2 2 9 3 2" xfId="15759" xr:uid="{6516487E-E497-4A9E-B90C-DFB137CEE642}"/>
    <cellStyle name="Normal 5 2 2 9 4" xfId="11542" xr:uid="{A3E8CC82-ACFC-4456-9E04-092658994F07}"/>
    <cellStyle name="Normal 5 2 3" xfId="424" xr:uid="{00000000-0005-0000-0000-000032180000}"/>
    <cellStyle name="Normal 5 2 3 10" xfId="4797" xr:uid="{00000000-0005-0000-0000-000033180000}"/>
    <cellStyle name="Normal 5 2 3 10 2" xfId="14123" xr:uid="{56DAF7CC-96F0-4EA3-BE48-1B9B03DD0F35}"/>
    <cellStyle name="Normal 5 2 3 11" xfId="8776" xr:uid="{883173D2-CE3E-48F3-8E13-32EAEF7B08C3}"/>
    <cellStyle name="Normal 5 2 3 11 2" xfId="18100" xr:uid="{4DD4D555-6742-4420-9CE1-84F89CC5EEAD}"/>
    <cellStyle name="Normal 5 2 3 12" xfId="9906" xr:uid="{9F627440-3CDB-4375-A65A-A527AEFE56E4}"/>
    <cellStyle name="Normal 5 2 3 2" xfId="425" xr:uid="{00000000-0005-0000-0000-000034180000}"/>
    <cellStyle name="Normal 5 2 3 2 10" xfId="8830" xr:uid="{287E15F2-6F23-4B3E-B8AA-9DE92D950FBA}"/>
    <cellStyle name="Normal 5 2 3 2 10 2" xfId="18154" xr:uid="{FA4233D7-885F-4CA6-BE73-D73E0947623C}"/>
    <cellStyle name="Normal 5 2 3 2 11" xfId="9907" xr:uid="{E2C536C8-A983-4387-AD3F-6F52DA1EE792}"/>
    <cellStyle name="Normal 5 2 3 2 2" xfId="426" xr:uid="{00000000-0005-0000-0000-000035180000}"/>
    <cellStyle name="Normal 5 2 3 2 2 10" xfId="9908" xr:uid="{1E276502-76C6-420C-BDC1-8DE471D4FAB6}"/>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6C7D2F96-1CC3-4021-819B-4CC969AA2499}"/>
    <cellStyle name="Normal 5 2 3 2 2 2 2 2 3" xfId="12467" xr:uid="{4C12BFBF-1E25-41F8-8C51-62D7B620EB8F}"/>
    <cellStyle name="Normal 5 2 3 2 2 2 2 3" xfId="5213" xr:uid="{00000000-0005-0000-0000-00003A180000}"/>
    <cellStyle name="Normal 5 2 3 2 2 2 2 3 2" xfId="14539" xr:uid="{F87E8E86-2D17-483D-B002-DDCE505CD46F}"/>
    <cellStyle name="Normal 5 2 3 2 2 2 2 4" xfId="9565" xr:uid="{B33C5ECB-02D9-4BAF-B467-F38E8EEB7F6E}"/>
    <cellStyle name="Normal 5 2 3 2 2 2 2 4 2" xfId="18880" xr:uid="{1047A086-19A7-41FD-A76F-2D8E256C220B}"/>
    <cellStyle name="Normal 5 2 3 2 2 2 2 5" xfId="10322" xr:uid="{5341BDE8-E0F4-47F4-B464-D2C35FB7058C}"/>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F0F7A777-3EBD-480C-98B2-882C6A466F26}"/>
    <cellStyle name="Normal 5 2 3 2 2 2 3 2 3" xfId="12880" xr:uid="{3EE37BA1-1980-4407-B038-397C77E8A4C2}"/>
    <cellStyle name="Normal 5 2 3 2 2 2 3 3" xfId="5626" xr:uid="{00000000-0005-0000-0000-00003E180000}"/>
    <cellStyle name="Normal 5 2 3 2 2 2 3 3 2" xfId="14952" xr:uid="{72CD8C81-6640-4111-9448-B56EC4DD6DA9}"/>
    <cellStyle name="Normal 5 2 3 2 2 2 3 4" xfId="10735" xr:uid="{9D4CBBE4-C337-4FC4-9562-01CE95C34B32}"/>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9DD1F351-0C8F-4B36-98C4-0CBDAADF5483}"/>
    <cellStyle name="Normal 5 2 3 2 2 2 4 2 3" xfId="13293" xr:uid="{DBC14483-BE8E-4C58-91DE-E478716896AC}"/>
    <cellStyle name="Normal 5 2 3 2 2 2 4 3" xfId="6039" xr:uid="{00000000-0005-0000-0000-000042180000}"/>
    <cellStyle name="Normal 5 2 3 2 2 2 4 3 2" xfId="15365" xr:uid="{DC74CFD7-34D6-4A6C-8D48-D7875CCD6A08}"/>
    <cellStyle name="Normal 5 2 3 2 2 2 4 4" xfId="11148" xr:uid="{2C885B9B-B1CF-493A-BBF4-1742476C239C}"/>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B8C45F33-BB69-4910-92B7-5D9B47B80424}"/>
    <cellStyle name="Normal 5 2 3 2 2 2 5 2 3" xfId="13706" xr:uid="{C4C4E32F-786B-4B21-8C20-9A267440E4BF}"/>
    <cellStyle name="Normal 5 2 3 2 2 2 5 3" xfId="6452" xr:uid="{00000000-0005-0000-0000-000046180000}"/>
    <cellStyle name="Normal 5 2 3 2 2 2 5 3 2" xfId="15778" xr:uid="{255AEAA9-4B60-45EF-9971-406EA97A6825}"/>
    <cellStyle name="Normal 5 2 3 2 2 2 5 4" xfId="11561" xr:uid="{88F63100-9EB8-4FB7-A22B-A69312024297}"/>
    <cellStyle name="Normal 5 2 3 2 2 2 6" xfId="2582" xr:uid="{00000000-0005-0000-0000-000047180000}"/>
    <cellStyle name="Normal 5 2 3 2 2 2 6 2" xfId="6865" xr:uid="{00000000-0005-0000-0000-000048180000}"/>
    <cellStyle name="Normal 5 2 3 2 2 2 6 2 2" xfId="16191" xr:uid="{1887B4BD-DBF2-4DB4-B10D-97FBAAF1DB1D}"/>
    <cellStyle name="Normal 5 2 3 2 2 2 6 3" xfId="11974" xr:uid="{D858B2A9-8CC0-4E84-9C51-41D7685717B9}"/>
    <cellStyle name="Normal 5 2 3 2 2 2 7" xfId="4800" xr:uid="{00000000-0005-0000-0000-000049180000}"/>
    <cellStyle name="Normal 5 2 3 2 2 2 7 2" xfId="14126" xr:uid="{A64AE3BA-5B88-4CA9-AAFE-A3F0A1E19C84}"/>
    <cellStyle name="Normal 5 2 3 2 2 2 8" xfId="9140" xr:uid="{175A16DB-BA54-4083-AB68-1FA46DB27A86}"/>
    <cellStyle name="Normal 5 2 3 2 2 2 8 2" xfId="18464" xr:uid="{E14674E6-7DC0-4391-9FDD-8513277A2090}"/>
    <cellStyle name="Normal 5 2 3 2 2 2 9" xfId="9909" xr:uid="{99FEBEBE-D5E8-47A8-A899-837631A7E09A}"/>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2180C02B-EDA2-4919-A795-AAFAD665A418}"/>
    <cellStyle name="Normal 5 2 3 2 2 3 2 3" xfId="12466" xr:uid="{9F8D3531-7BBF-4C87-9EF6-0B738CF1C201}"/>
    <cellStyle name="Normal 5 2 3 2 2 3 3" xfId="5212" xr:uid="{00000000-0005-0000-0000-00004D180000}"/>
    <cellStyle name="Normal 5 2 3 2 2 3 3 2" xfId="14538" xr:uid="{A6725D26-A5E8-4CB2-938B-372553FEF4C6}"/>
    <cellStyle name="Normal 5 2 3 2 2 3 4" xfId="9358" xr:uid="{5B196E7D-8DD9-4C59-A83C-7626B0E60040}"/>
    <cellStyle name="Normal 5 2 3 2 2 3 4 2" xfId="18673" xr:uid="{C18F690F-B7EE-48D4-82D5-93E8844ECCA9}"/>
    <cellStyle name="Normal 5 2 3 2 2 3 5" xfId="10321" xr:uid="{16347E3D-7531-415A-B8EB-6E8B41F8882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88C56280-C436-48A7-BE0E-CE947285E8C9}"/>
    <cellStyle name="Normal 5 2 3 2 2 4 2 3" xfId="12879" xr:uid="{0CDB3030-8619-46ED-8D94-B9F7E0A4B178}"/>
    <cellStyle name="Normal 5 2 3 2 2 4 3" xfId="5625" xr:uid="{00000000-0005-0000-0000-000051180000}"/>
    <cellStyle name="Normal 5 2 3 2 2 4 3 2" xfId="14951" xr:uid="{1FB6C04C-42AF-4F59-9810-4B6CFCDF6996}"/>
    <cellStyle name="Normal 5 2 3 2 2 4 4" xfId="10734" xr:uid="{86370E27-DE54-44A5-A325-BE2E110EA63E}"/>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D009E676-DF71-463B-93C7-2478275E5918}"/>
    <cellStyle name="Normal 5 2 3 2 2 5 2 3" xfId="13292" xr:uid="{1A2EB38E-934D-492C-BA21-B236EF844211}"/>
    <cellStyle name="Normal 5 2 3 2 2 5 3" xfId="6038" xr:uid="{00000000-0005-0000-0000-000055180000}"/>
    <cellStyle name="Normal 5 2 3 2 2 5 3 2" xfId="15364" xr:uid="{BB24A15F-2B03-4D2B-86F6-6175F62605D5}"/>
    <cellStyle name="Normal 5 2 3 2 2 5 4" xfId="11147" xr:uid="{D45A32BA-C4B8-4DD9-98FE-ED28D08DE885}"/>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22B129D9-92F7-416D-88B8-5D1E1E4C32CD}"/>
    <cellStyle name="Normal 5 2 3 2 2 6 2 3" xfId="13705" xr:uid="{01755E1A-9E3D-49E5-B376-5880AE1F7F6D}"/>
    <cellStyle name="Normal 5 2 3 2 2 6 3" xfId="6451" xr:uid="{00000000-0005-0000-0000-000059180000}"/>
    <cellStyle name="Normal 5 2 3 2 2 6 3 2" xfId="15777" xr:uid="{4A039916-8B8F-4D3E-ABBD-40FC8A496753}"/>
    <cellStyle name="Normal 5 2 3 2 2 6 4" xfId="11560" xr:uid="{69A4DD7A-E5EE-4564-B357-6C49189047EA}"/>
    <cellStyle name="Normal 5 2 3 2 2 7" xfId="2581" xr:uid="{00000000-0005-0000-0000-00005A180000}"/>
    <cellStyle name="Normal 5 2 3 2 2 7 2" xfId="6864" xr:uid="{00000000-0005-0000-0000-00005B180000}"/>
    <cellStyle name="Normal 5 2 3 2 2 7 2 2" xfId="16190" xr:uid="{2459423C-7A75-42ED-BED0-FF9FC9A6DC77}"/>
    <cellStyle name="Normal 5 2 3 2 2 7 3" xfId="11973" xr:uid="{AA8A6A76-33E0-4553-B750-CE4241030876}"/>
    <cellStyle name="Normal 5 2 3 2 2 8" xfId="4799" xr:uid="{00000000-0005-0000-0000-00005C180000}"/>
    <cellStyle name="Normal 5 2 3 2 2 8 2" xfId="14125" xr:uid="{B2AD9049-3F99-4F75-8C1D-33ABDF78C592}"/>
    <cellStyle name="Normal 5 2 3 2 2 9" xfId="8933" xr:uid="{2228AC18-CB51-4AF4-A227-403A8409C6C2}"/>
    <cellStyle name="Normal 5 2 3 2 2 9 2" xfId="18257" xr:uid="{0B18B121-2537-447C-9DA9-CAB7365E8E31}"/>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AA04B258-4590-4AB1-8385-A1B65CB12C84}"/>
    <cellStyle name="Normal 5 2 3 2 3 2 2 3" xfId="12468" xr:uid="{CDCD71E6-AE5A-4E3F-92C8-C85E28EEB0DC}"/>
    <cellStyle name="Normal 5 2 3 2 3 2 3" xfId="5214" xr:uid="{00000000-0005-0000-0000-000061180000}"/>
    <cellStyle name="Normal 5 2 3 2 3 2 3 2" xfId="14540" xr:uid="{73A84230-2109-46E6-934B-C8D84594F534}"/>
    <cellStyle name="Normal 5 2 3 2 3 2 4" xfId="9462" xr:uid="{B4C14F1A-A88A-428F-A7F8-BAFD7E5CD045}"/>
    <cellStyle name="Normal 5 2 3 2 3 2 4 2" xfId="18777" xr:uid="{87F58E6C-F78F-413D-97AB-14BF5AF37988}"/>
    <cellStyle name="Normal 5 2 3 2 3 2 5" xfId="10323" xr:uid="{C6FCFEF3-65A1-43A9-86E2-E728EBFCA241}"/>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ABA2B5D7-12E4-4B5A-B579-38A4FFC6342C}"/>
    <cellStyle name="Normal 5 2 3 2 3 3 2 3" xfId="12881" xr:uid="{E1D847AE-5976-4100-AACC-A3D462C6E8BC}"/>
    <cellStyle name="Normal 5 2 3 2 3 3 3" xfId="5627" xr:uid="{00000000-0005-0000-0000-000065180000}"/>
    <cellStyle name="Normal 5 2 3 2 3 3 3 2" xfId="14953" xr:uid="{88D79A0C-E551-4FC1-AA02-7ACA98EEF81B}"/>
    <cellStyle name="Normal 5 2 3 2 3 3 4" xfId="10736" xr:uid="{282316E6-5A51-4969-8303-27FE14394C39}"/>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0797DF52-780C-4B1E-B901-E100EB2820DE}"/>
    <cellStyle name="Normal 5 2 3 2 3 4 2 3" xfId="13294" xr:uid="{D904FCC6-B496-41B3-BA0E-6F24117A2071}"/>
    <cellStyle name="Normal 5 2 3 2 3 4 3" xfId="6040" xr:uid="{00000000-0005-0000-0000-000069180000}"/>
    <cellStyle name="Normal 5 2 3 2 3 4 3 2" xfId="15366" xr:uid="{B4AA02A7-8CF7-435F-8E1B-AEFF832062EE}"/>
    <cellStyle name="Normal 5 2 3 2 3 4 4" xfId="11149" xr:uid="{75490823-1E00-460D-9F95-81422FD36497}"/>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C2B9956D-AF16-4704-839C-6061FEE06F4F}"/>
    <cellStyle name="Normal 5 2 3 2 3 5 2 3" xfId="13707" xr:uid="{DA8EF83A-BF9F-43B5-BF75-1B1F10C371C1}"/>
    <cellStyle name="Normal 5 2 3 2 3 5 3" xfId="6453" xr:uid="{00000000-0005-0000-0000-00006D180000}"/>
    <cellStyle name="Normal 5 2 3 2 3 5 3 2" xfId="15779" xr:uid="{9041FF7D-C508-46B8-A39D-112EE1510454}"/>
    <cellStyle name="Normal 5 2 3 2 3 5 4" xfId="11562" xr:uid="{A0E97354-DD4A-454A-BE5B-9BA5A20C810C}"/>
    <cellStyle name="Normal 5 2 3 2 3 6" xfId="2583" xr:uid="{00000000-0005-0000-0000-00006E180000}"/>
    <cellStyle name="Normal 5 2 3 2 3 6 2" xfId="6866" xr:uid="{00000000-0005-0000-0000-00006F180000}"/>
    <cellStyle name="Normal 5 2 3 2 3 6 2 2" xfId="16192" xr:uid="{D63574C2-6974-4E36-A4E1-7E66E61BE940}"/>
    <cellStyle name="Normal 5 2 3 2 3 6 3" xfId="11975" xr:uid="{BD065A24-1EBA-40FF-AF61-B62CA0F50399}"/>
    <cellStyle name="Normal 5 2 3 2 3 7" xfId="4801" xr:uid="{00000000-0005-0000-0000-000070180000}"/>
    <cellStyle name="Normal 5 2 3 2 3 7 2" xfId="14127" xr:uid="{C14E6BD9-4EA9-4D52-ADF0-6D45B8CACAB1}"/>
    <cellStyle name="Normal 5 2 3 2 3 8" xfId="9037" xr:uid="{EED46D7F-EFCD-4AC1-931D-AB06B694E7BE}"/>
    <cellStyle name="Normal 5 2 3 2 3 8 2" xfId="18361" xr:uid="{CB61335C-15C9-4122-A027-C1A630959381}"/>
    <cellStyle name="Normal 5 2 3 2 3 9" xfId="9910" xr:uid="{2D5C4172-36F9-4C85-A85D-80B84F2BD2B1}"/>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8D485D0D-6B6F-41F4-99E7-D38384DC1DB9}"/>
    <cellStyle name="Normal 5 2 3 2 4 2 3" xfId="12465" xr:uid="{1E8EA431-F446-4DAF-93DA-6B41ACC8C9B1}"/>
    <cellStyle name="Normal 5 2 3 2 4 3" xfId="5211" xr:uid="{00000000-0005-0000-0000-000074180000}"/>
    <cellStyle name="Normal 5 2 3 2 4 3 2" xfId="14537" xr:uid="{DA1F6FCF-327A-4887-B9FA-8B893F01F3F8}"/>
    <cellStyle name="Normal 5 2 3 2 4 4" xfId="9255" xr:uid="{C5A161BB-6C4F-4A9D-BBA7-7500B0B26A70}"/>
    <cellStyle name="Normal 5 2 3 2 4 4 2" xfId="18570" xr:uid="{99CA90BD-972E-4E9E-85B2-B6A6F2EDD69F}"/>
    <cellStyle name="Normal 5 2 3 2 4 5" xfId="10320" xr:uid="{D8350781-7B31-47FE-A802-73D892846698}"/>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90CBD47D-AA99-4096-B6BB-6EE8FA089B7A}"/>
    <cellStyle name="Normal 5 2 3 2 5 2 3" xfId="12878" xr:uid="{37F7ECBF-69F5-4469-BFD5-0C662C56B595}"/>
    <cellStyle name="Normal 5 2 3 2 5 3" xfId="5624" xr:uid="{00000000-0005-0000-0000-000078180000}"/>
    <cellStyle name="Normal 5 2 3 2 5 3 2" xfId="14950" xr:uid="{7415C5FA-6FAC-40B2-BF13-2509BB39E04C}"/>
    <cellStyle name="Normal 5 2 3 2 5 4" xfId="10733" xr:uid="{A2B15C16-4409-4CE0-8DCA-E2AAD8A9D3ED}"/>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FD9C8DD8-9672-42A2-9756-0AD4922DA07C}"/>
    <cellStyle name="Normal 5 2 3 2 6 2 3" xfId="13291" xr:uid="{E7641D56-CDDF-4584-A048-3E2D56D000EC}"/>
    <cellStyle name="Normal 5 2 3 2 6 3" xfId="6037" xr:uid="{00000000-0005-0000-0000-00007C180000}"/>
    <cellStyle name="Normal 5 2 3 2 6 3 2" xfId="15363" xr:uid="{83B4ECFF-ED89-4AE5-879B-483FF4ABA6B6}"/>
    <cellStyle name="Normal 5 2 3 2 6 4" xfId="11146" xr:uid="{C4589247-7819-4EF8-AE2A-C39E0920E57F}"/>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C96A2107-E024-4B10-97AB-1BECA5058C35}"/>
    <cellStyle name="Normal 5 2 3 2 7 2 3" xfId="13704" xr:uid="{8B2893D9-F6AF-4067-B087-5273719AFADB}"/>
    <cellStyle name="Normal 5 2 3 2 7 3" xfId="6450" xr:uid="{00000000-0005-0000-0000-000080180000}"/>
    <cellStyle name="Normal 5 2 3 2 7 3 2" xfId="15776" xr:uid="{6F25C3C8-DE43-4CD4-8ED1-C241453E4884}"/>
    <cellStyle name="Normal 5 2 3 2 7 4" xfId="11559" xr:uid="{9829D575-B08D-4097-B4B1-0D7DD29D484D}"/>
    <cellStyle name="Normal 5 2 3 2 8" xfId="2580" xr:uid="{00000000-0005-0000-0000-000081180000}"/>
    <cellStyle name="Normal 5 2 3 2 8 2" xfId="6863" xr:uid="{00000000-0005-0000-0000-000082180000}"/>
    <cellStyle name="Normal 5 2 3 2 8 2 2" xfId="16189" xr:uid="{B1A60C88-228B-43B0-838F-309449F7F51E}"/>
    <cellStyle name="Normal 5 2 3 2 8 3" xfId="11972" xr:uid="{3F6EF733-E4F4-4CCC-824A-774F543F0F61}"/>
    <cellStyle name="Normal 5 2 3 2 9" xfId="4798" xr:uid="{00000000-0005-0000-0000-000083180000}"/>
    <cellStyle name="Normal 5 2 3 2 9 2" xfId="14124" xr:uid="{B0D6234E-992A-4423-998F-BBAD84AF7DBF}"/>
    <cellStyle name="Normal 5 2 3 3" xfId="429" xr:uid="{00000000-0005-0000-0000-000084180000}"/>
    <cellStyle name="Normal 5 2 3 3 10" xfId="9911" xr:uid="{4E2620EC-08FF-4F89-92F1-7ADF5A3465C5}"/>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6A063D05-CBF2-47CD-8995-1C45FE249C1B}"/>
    <cellStyle name="Normal 5 2 3 3 2 2 2 3" xfId="12470" xr:uid="{A102F7F9-CC4E-4F49-86DE-9E485305E0AD}"/>
    <cellStyle name="Normal 5 2 3 3 2 2 3" xfId="5216" xr:uid="{00000000-0005-0000-0000-000089180000}"/>
    <cellStyle name="Normal 5 2 3 3 2 2 3 2" xfId="14542" xr:uid="{CFECDFA0-16C9-4976-8B7F-0661D80FFF5A}"/>
    <cellStyle name="Normal 5 2 3 3 2 2 4" xfId="9511" xr:uid="{75EF02F8-0397-4B30-A858-343ADCA7C08D}"/>
    <cellStyle name="Normal 5 2 3 3 2 2 4 2" xfId="18826" xr:uid="{EA7FB40D-9A09-4234-B7DB-47048A41E673}"/>
    <cellStyle name="Normal 5 2 3 3 2 2 5" xfId="10325" xr:uid="{669CFD94-8160-4D50-B4C2-0C5139F9CF9E}"/>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C066CFBD-14A1-4840-8980-A3FED9A6F039}"/>
    <cellStyle name="Normal 5 2 3 3 2 3 2 3" xfId="12883" xr:uid="{E0C18B74-B19C-4C42-8D94-81C6570ED590}"/>
    <cellStyle name="Normal 5 2 3 3 2 3 3" xfId="5629" xr:uid="{00000000-0005-0000-0000-00008D180000}"/>
    <cellStyle name="Normal 5 2 3 3 2 3 3 2" xfId="14955" xr:uid="{AFE7B3D2-9D59-4F90-93B9-6BD19689EE4F}"/>
    <cellStyle name="Normal 5 2 3 3 2 3 4" xfId="10738" xr:uid="{D8B6B40A-1457-4E39-82DE-B15DCF47E03B}"/>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4C3FCF24-80D0-4A77-93E4-088377A87CB4}"/>
    <cellStyle name="Normal 5 2 3 3 2 4 2 3" xfId="13296" xr:uid="{6F2BC6B6-8376-425A-BE38-E17B72E037CB}"/>
    <cellStyle name="Normal 5 2 3 3 2 4 3" xfId="6042" xr:uid="{00000000-0005-0000-0000-000091180000}"/>
    <cellStyle name="Normal 5 2 3 3 2 4 3 2" xfId="15368" xr:uid="{3C4883B9-B1A6-41B1-9601-4431BCBF164C}"/>
    <cellStyle name="Normal 5 2 3 3 2 4 4" xfId="11151" xr:uid="{7E19B162-B8D9-42BC-B96E-E49C2B9FB1D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5BF5F2D4-F00F-4108-B060-A9FB3B2A2B8A}"/>
    <cellStyle name="Normal 5 2 3 3 2 5 2 3" xfId="13709" xr:uid="{0068E79A-19CF-449C-AF43-D6B4B5872F60}"/>
    <cellStyle name="Normal 5 2 3 3 2 5 3" xfId="6455" xr:uid="{00000000-0005-0000-0000-000095180000}"/>
    <cellStyle name="Normal 5 2 3 3 2 5 3 2" xfId="15781" xr:uid="{2A37F7B5-3982-45EC-A211-ED73086BC60E}"/>
    <cellStyle name="Normal 5 2 3 3 2 5 4" xfId="11564" xr:uid="{B1015AE5-DC9A-494D-BB61-F9DCCB380F05}"/>
    <cellStyle name="Normal 5 2 3 3 2 6" xfId="2585" xr:uid="{00000000-0005-0000-0000-000096180000}"/>
    <cellStyle name="Normal 5 2 3 3 2 6 2" xfId="6868" xr:uid="{00000000-0005-0000-0000-000097180000}"/>
    <cellStyle name="Normal 5 2 3 3 2 6 2 2" xfId="16194" xr:uid="{54BAFEC0-0755-4EF2-B2B6-31778CE4CA82}"/>
    <cellStyle name="Normal 5 2 3 3 2 6 3" xfId="11977" xr:uid="{429C3074-105C-4C63-A33A-7BC11C2B4D04}"/>
    <cellStyle name="Normal 5 2 3 3 2 7" xfId="4803" xr:uid="{00000000-0005-0000-0000-000098180000}"/>
    <cellStyle name="Normal 5 2 3 3 2 7 2" xfId="14129" xr:uid="{3220438F-3A2B-4A07-8D60-0191F9862174}"/>
    <cellStyle name="Normal 5 2 3 3 2 8" xfId="9086" xr:uid="{442E5F61-F00C-4774-822F-4985AB3E1CB7}"/>
    <cellStyle name="Normal 5 2 3 3 2 8 2" xfId="18410" xr:uid="{D762DF89-2D01-42BB-A425-14B1FE7F4CFE}"/>
    <cellStyle name="Normal 5 2 3 3 2 9" xfId="9912" xr:uid="{4D9FFDBC-BB7D-4388-8579-79AD9D48EA9A}"/>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82CFEB5E-AE87-4B62-9044-C3EBBD7DC218}"/>
    <cellStyle name="Normal 5 2 3 3 3 2 3" xfId="12469" xr:uid="{CC102B65-2A18-4654-B448-0DD9AD46B79D}"/>
    <cellStyle name="Normal 5 2 3 3 3 3" xfId="5215" xr:uid="{00000000-0005-0000-0000-00009C180000}"/>
    <cellStyle name="Normal 5 2 3 3 3 3 2" xfId="14541" xr:uid="{6C861B50-E462-4143-8E02-66C182214598}"/>
    <cellStyle name="Normal 5 2 3 3 3 4" xfId="9304" xr:uid="{2C783A77-F32A-4E64-807E-062B95DB0310}"/>
    <cellStyle name="Normal 5 2 3 3 3 4 2" xfId="18619" xr:uid="{FAFE5228-90C4-43D8-B906-5E6BFB45E8C1}"/>
    <cellStyle name="Normal 5 2 3 3 3 5" xfId="10324" xr:uid="{BE88B317-3EB5-4C2C-B9DF-5F2ADF5C2F49}"/>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F0B706A3-EDCD-4A20-8B3C-28C1D190282D}"/>
    <cellStyle name="Normal 5 2 3 3 4 2 3" xfId="12882" xr:uid="{6F4F9B81-3A3B-4560-B8BE-2B41D69CD438}"/>
    <cellStyle name="Normal 5 2 3 3 4 3" xfId="5628" xr:uid="{00000000-0005-0000-0000-0000A0180000}"/>
    <cellStyle name="Normal 5 2 3 3 4 3 2" xfId="14954" xr:uid="{915C5806-8B9B-447F-8D16-7FC26BEE54AB}"/>
    <cellStyle name="Normal 5 2 3 3 4 4" xfId="10737" xr:uid="{9627DCAD-C19F-45BE-BAC2-24798A2A73FE}"/>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A6C6E35D-FA86-48DA-B7CD-7394FA8C0740}"/>
    <cellStyle name="Normal 5 2 3 3 5 2 3" xfId="13295" xr:uid="{8486B37F-01FB-43A1-B6D0-F025A53E2BFA}"/>
    <cellStyle name="Normal 5 2 3 3 5 3" xfId="6041" xr:uid="{00000000-0005-0000-0000-0000A4180000}"/>
    <cellStyle name="Normal 5 2 3 3 5 3 2" xfId="15367" xr:uid="{980FB94F-F9AE-4F01-81B4-CE4CACFD0F2F}"/>
    <cellStyle name="Normal 5 2 3 3 5 4" xfId="11150" xr:uid="{D68ECF27-0C01-4E4E-A5E0-2F14F5EBD5A3}"/>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183E5881-8154-47BD-A853-8DCBD6924F4F}"/>
    <cellStyle name="Normal 5 2 3 3 6 2 3" xfId="13708" xr:uid="{303EF80B-7565-412F-83B7-C1E37BBBB760}"/>
    <cellStyle name="Normal 5 2 3 3 6 3" xfId="6454" xr:uid="{00000000-0005-0000-0000-0000A8180000}"/>
    <cellStyle name="Normal 5 2 3 3 6 3 2" xfId="15780" xr:uid="{C67B012A-5AFF-48EA-858E-01F07BE16242}"/>
    <cellStyle name="Normal 5 2 3 3 6 4" xfId="11563" xr:uid="{3D232869-8DF4-48C9-A220-9CE062C27C88}"/>
    <cellStyle name="Normal 5 2 3 3 7" xfId="2584" xr:uid="{00000000-0005-0000-0000-0000A9180000}"/>
    <cellStyle name="Normal 5 2 3 3 7 2" xfId="6867" xr:uid="{00000000-0005-0000-0000-0000AA180000}"/>
    <cellStyle name="Normal 5 2 3 3 7 2 2" xfId="16193" xr:uid="{63D906EC-5A49-4B12-BC64-90C3B917D63E}"/>
    <cellStyle name="Normal 5 2 3 3 7 3" xfId="11976" xr:uid="{80C3FFE1-2EC1-460D-AD52-089FDA4DE1A0}"/>
    <cellStyle name="Normal 5 2 3 3 8" xfId="4802" xr:uid="{00000000-0005-0000-0000-0000AB180000}"/>
    <cellStyle name="Normal 5 2 3 3 8 2" xfId="14128" xr:uid="{4D74AE30-8232-4230-BBAB-90AE69CD22F3}"/>
    <cellStyle name="Normal 5 2 3 3 9" xfId="8879" xr:uid="{F521005C-E3E0-4B64-9C0A-0C510FB9AAB2}"/>
    <cellStyle name="Normal 5 2 3 3 9 2" xfId="18203" xr:uid="{68202916-7AD0-4584-9EEB-0E8F00063FA6}"/>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80FD6AD7-13DA-4E68-B99D-178969026B4A}"/>
    <cellStyle name="Normal 5 2 3 4 2 2 3" xfId="12471" xr:uid="{C7987632-DF8F-4BAE-95E9-A46649D33C74}"/>
    <cellStyle name="Normal 5 2 3 4 2 3" xfId="5217" xr:uid="{00000000-0005-0000-0000-0000B0180000}"/>
    <cellStyle name="Normal 5 2 3 4 2 3 2" xfId="14543" xr:uid="{62F959EE-D6D8-4EB7-B535-DB9C14780130}"/>
    <cellStyle name="Normal 5 2 3 4 2 4" xfId="9408" xr:uid="{3B6F9C6F-3D7C-45F8-99FE-451C0F8CED36}"/>
    <cellStyle name="Normal 5 2 3 4 2 4 2" xfId="18723" xr:uid="{76A1DF55-FB1F-4650-9131-DD0D103506DB}"/>
    <cellStyle name="Normal 5 2 3 4 2 5" xfId="10326" xr:uid="{490F9C74-14D7-466C-85CE-284C8FAD9486}"/>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A45E58E2-9898-4C7E-A31C-C2911F76E2D0}"/>
    <cellStyle name="Normal 5 2 3 4 3 2 3" xfId="12884" xr:uid="{EAA728C8-7361-4C5F-9581-6EBA62840191}"/>
    <cellStyle name="Normal 5 2 3 4 3 3" xfId="5630" xr:uid="{00000000-0005-0000-0000-0000B4180000}"/>
    <cellStyle name="Normal 5 2 3 4 3 3 2" xfId="14956" xr:uid="{25C87528-0DEF-490D-AB91-AB34E193D695}"/>
    <cellStyle name="Normal 5 2 3 4 3 4" xfId="10739" xr:uid="{131CC22E-5BCE-4BC1-BC00-546BAB549A4F}"/>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0A99ED5F-1A70-4ED2-9188-F36371E6B6DA}"/>
    <cellStyle name="Normal 5 2 3 4 4 2 3" xfId="13297" xr:uid="{48DC310E-0770-4203-BFCF-F8DC4F9151C3}"/>
    <cellStyle name="Normal 5 2 3 4 4 3" xfId="6043" xr:uid="{00000000-0005-0000-0000-0000B8180000}"/>
    <cellStyle name="Normal 5 2 3 4 4 3 2" xfId="15369" xr:uid="{B23A2422-F81D-4469-A086-4D06F52E17FF}"/>
    <cellStyle name="Normal 5 2 3 4 4 4" xfId="11152" xr:uid="{4F0DC3BE-5885-4B12-B78A-32B6AD726B12}"/>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E9312C9C-CFD1-401D-B91E-DDB0EEA52831}"/>
    <cellStyle name="Normal 5 2 3 4 5 2 3" xfId="13710" xr:uid="{8E8B8CE3-538E-49B3-A2EB-9E5B1531803F}"/>
    <cellStyle name="Normal 5 2 3 4 5 3" xfId="6456" xr:uid="{00000000-0005-0000-0000-0000BC180000}"/>
    <cellStyle name="Normal 5 2 3 4 5 3 2" xfId="15782" xr:uid="{2486DEE4-4B24-4271-A408-691E3EAE8050}"/>
    <cellStyle name="Normal 5 2 3 4 5 4" xfId="11565" xr:uid="{E6268399-A033-4529-BF7F-3B908C6894EF}"/>
    <cellStyle name="Normal 5 2 3 4 6" xfId="2586" xr:uid="{00000000-0005-0000-0000-0000BD180000}"/>
    <cellStyle name="Normal 5 2 3 4 6 2" xfId="6869" xr:uid="{00000000-0005-0000-0000-0000BE180000}"/>
    <cellStyle name="Normal 5 2 3 4 6 2 2" xfId="16195" xr:uid="{E88A83A0-5B59-446A-9203-1B4FDCEDE32B}"/>
    <cellStyle name="Normal 5 2 3 4 6 3" xfId="11978" xr:uid="{AE07EC43-DB51-4E22-8EE5-7B92AE805010}"/>
    <cellStyle name="Normal 5 2 3 4 7" xfId="4804" xr:uid="{00000000-0005-0000-0000-0000BF180000}"/>
    <cellStyle name="Normal 5 2 3 4 7 2" xfId="14130" xr:uid="{AC633963-DC44-4122-A165-F98714CA740A}"/>
    <cellStyle name="Normal 5 2 3 4 8" xfId="8983" xr:uid="{07388FCC-03DE-4CE8-89CB-9C92F8174E24}"/>
    <cellStyle name="Normal 5 2 3 4 8 2" xfId="18307" xr:uid="{E127E98F-2DC3-4B83-8FBC-CA857A2F93CF}"/>
    <cellStyle name="Normal 5 2 3 4 9" xfId="9913" xr:uid="{E1EA8C07-A9FA-4F51-8C37-C4C8F091BF16}"/>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1614255A-2EAE-4268-8DF8-64CEDACAC58B}"/>
    <cellStyle name="Normal 5 2 3 5 2 3" xfId="12464" xr:uid="{1866A344-6735-49D8-9B28-CCA6FA4281BF}"/>
    <cellStyle name="Normal 5 2 3 5 3" xfId="5210" xr:uid="{00000000-0005-0000-0000-0000C3180000}"/>
    <cellStyle name="Normal 5 2 3 5 3 2" xfId="14536" xr:uid="{08BDEF90-113B-49E9-B296-F6E05CA6E207}"/>
    <cellStyle name="Normal 5 2 3 5 4" xfId="9200" xr:uid="{13DE827A-4007-427A-9869-ADBBE6B70993}"/>
    <cellStyle name="Normal 5 2 3 5 4 2" xfId="18516" xr:uid="{C650E476-F3DA-4286-AB91-B00DF5B718A8}"/>
    <cellStyle name="Normal 5 2 3 5 5" xfId="10319" xr:uid="{B62F9A65-E605-4564-A70B-B2FFD2D803D5}"/>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A765EFC2-2342-4D5D-B19D-3FC592DBCB95}"/>
    <cellStyle name="Normal 5 2 3 6 2 3" xfId="12877" xr:uid="{E371CD47-39E6-47D8-9B3D-18A7F7F9DFA1}"/>
    <cellStyle name="Normal 5 2 3 6 3" xfId="5623" xr:uid="{00000000-0005-0000-0000-0000C7180000}"/>
    <cellStyle name="Normal 5 2 3 6 3 2" xfId="14949" xr:uid="{C523C6F5-3125-4B63-B4DE-8E2E7EABE849}"/>
    <cellStyle name="Normal 5 2 3 6 4" xfId="10732" xr:uid="{A71C426E-3B44-4B0A-9FD8-7C20C6991F63}"/>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DF07D6FC-BFB0-4C25-8DE1-79A0FE792AF7}"/>
    <cellStyle name="Normal 5 2 3 7 2 3" xfId="13290" xr:uid="{3661241A-1FE1-4816-B67B-2A17D51429E2}"/>
    <cellStyle name="Normal 5 2 3 7 3" xfId="6036" xr:uid="{00000000-0005-0000-0000-0000CB180000}"/>
    <cellStyle name="Normal 5 2 3 7 3 2" xfId="15362" xr:uid="{EBBEFF93-AE50-40A5-9502-5E1979BE75F6}"/>
    <cellStyle name="Normal 5 2 3 7 4" xfId="11145" xr:uid="{655362F4-22CF-4DCE-97C7-67986F92F172}"/>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7D8B445C-9357-4B43-A241-B15A636BEEDB}"/>
    <cellStyle name="Normal 5 2 3 8 2 3" xfId="13703" xr:uid="{97B19BBC-199C-480A-9EEE-213148CEACFC}"/>
    <cellStyle name="Normal 5 2 3 8 3" xfId="6449" xr:uid="{00000000-0005-0000-0000-0000CF180000}"/>
    <cellStyle name="Normal 5 2 3 8 3 2" xfId="15775" xr:uid="{31BE167E-88B1-4835-8680-03147A75725E}"/>
    <cellStyle name="Normal 5 2 3 8 4" xfId="11558" xr:uid="{E9BB727E-17F3-4465-9CC3-D3588E13E9BE}"/>
    <cellStyle name="Normal 5 2 3 9" xfId="2579" xr:uid="{00000000-0005-0000-0000-0000D0180000}"/>
    <cellStyle name="Normal 5 2 3 9 2" xfId="6862" xr:uid="{00000000-0005-0000-0000-0000D1180000}"/>
    <cellStyle name="Normal 5 2 3 9 2 2" xfId="16188" xr:uid="{C1A6C8CC-1E9E-42DB-BA1B-043FC585E324}"/>
    <cellStyle name="Normal 5 2 3 9 3" xfId="11971" xr:uid="{35A37567-B17A-4D51-9F3C-37056BC1F74F}"/>
    <cellStyle name="Normal 5 2 4" xfId="432" xr:uid="{00000000-0005-0000-0000-0000D2180000}"/>
    <cellStyle name="Normal 5 2 4 10" xfId="8827" xr:uid="{1EC4F605-F0BA-487E-A3C0-2CBAE7C22D8A}"/>
    <cellStyle name="Normal 5 2 4 10 2" xfId="18151" xr:uid="{406F70B5-0ED9-4C36-86A2-EE7CFA2FBC66}"/>
    <cellStyle name="Normal 5 2 4 11" xfId="9914" xr:uid="{EBEC63A9-CCF7-4476-96BF-E6376DF321DE}"/>
    <cellStyle name="Normal 5 2 4 2" xfId="433" xr:uid="{00000000-0005-0000-0000-0000D3180000}"/>
    <cellStyle name="Normal 5 2 4 2 10" xfId="9915" xr:uid="{DC5AA031-6950-473F-BE1B-651936B8635C}"/>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75BCE451-2775-4120-9A93-0463C189E910}"/>
    <cellStyle name="Normal 5 2 4 2 2 2 2 3" xfId="12474" xr:uid="{4EEEF51F-602F-4378-B285-146809DC8DED}"/>
    <cellStyle name="Normal 5 2 4 2 2 2 3" xfId="5220" xr:uid="{00000000-0005-0000-0000-0000D8180000}"/>
    <cellStyle name="Normal 5 2 4 2 2 2 3 2" xfId="14546" xr:uid="{67EAD053-2244-41E7-92AD-9494C06ED58E}"/>
    <cellStyle name="Normal 5 2 4 2 2 2 4" xfId="9562" xr:uid="{5E243FB4-F3B1-4B34-B377-1444454AD19E}"/>
    <cellStyle name="Normal 5 2 4 2 2 2 4 2" xfId="18877" xr:uid="{1750CDD6-0575-4EB4-AA67-08851C5E6FA8}"/>
    <cellStyle name="Normal 5 2 4 2 2 2 5" xfId="10329" xr:uid="{B89DC471-C84A-4FC6-983E-8A16B0A4F94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F6A90028-A2DD-4828-B811-5E1B9670A887}"/>
    <cellStyle name="Normal 5 2 4 2 2 3 2 3" xfId="12887" xr:uid="{1B859BC5-9605-4F83-855F-0CD0E12295E9}"/>
    <cellStyle name="Normal 5 2 4 2 2 3 3" xfId="5633" xr:uid="{00000000-0005-0000-0000-0000DC180000}"/>
    <cellStyle name="Normal 5 2 4 2 2 3 3 2" xfId="14959" xr:uid="{94C19644-B422-41AD-8892-AB72F9C6FC0A}"/>
    <cellStyle name="Normal 5 2 4 2 2 3 4" xfId="10742" xr:uid="{21E6AD81-D2F0-4268-A9FB-384C992F5ECA}"/>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F31E45AE-CCB2-4578-ADA1-100B8C9CA7C5}"/>
    <cellStyle name="Normal 5 2 4 2 2 4 2 3" xfId="13300" xr:uid="{6CD4C14C-D367-448B-AEDE-B4D22A06ECEF}"/>
    <cellStyle name="Normal 5 2 4 2 2 4 3" xfId="6046" xr:uid="{00000000-0005-0000-0000-0000E0180000}"/>
    <cellStyle name="Normal 5 2 4 2 2 4 3 2" xfId="15372" xr:uid="{FF4BE8A8-0A64-4B0C-9769-F778C61882D0}"/>
    <cellStyle name="Normal 5 2 4 2 2 4 4" xfId="11155" xr:uid="{D6B1CF68-C55F-4FFF-AE65-2F0E5B61B141}"/>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47A1EB69-E486-4CC8-B6E2-561A1F0FC8A7}"/>
    <cellStyle name="Normal 5 2 4 2 2 5 2 3" xfId="13713" xr:uid="{CD52B4D5-EE4C-4ACF-BABE-91CBCC22998C}"/>
    <cellStyle name="Normal 5 2 4 2 2 5 3" xfId="6459" xr:uid="{00000000-0005-0000-0000-0000E4180000}"/>
    <cellStyle name="Normal 5 2 4 2 2 5 3 2" xfId="15785" xr:uid="{74D38072-5718-4412-953C-E8D00494D559}"/>
    <cellStyle name="Normal 5 2 4 2 2 5 4" xfId="11568" xr:uid="{5D08CEB0-5F41-4889-86E7-551BC316D724}"/>
    <cellStyle name="Normal 5 2 4 2 2 6" xfId="2589" xr:uid="{00000000-0005-0000-0000-0000E5180000}"/>
    <cellStyle name="Normal 5 2 4 2 2 6 2" xfId="6872" xr:uid="{00000000-0005-0000-0000-0000E6180000}"/>
    <cellStyle name="Normal 5 2 4 2 2 6 2 2" xfId="16198" xr:uid="{13E71CCF-7C75-4AA0-A721-48D919CBC09F}"/>
    <cellStyle name="Normal 5 2 4 2 2 6 3" xfId="11981" xr:uid="{8A1201C1-8385-431C-9B9E-D4119C9763D8}"/>
    <cellStyle name="Normal 5 2 4 2 2 7" xfId="4807" xr:uid="{00000000-0005-0000-0000-0000E7180000}"/>
    <cellStyle name="Normal 5 2 4 2 2 7 2" xfId="14133" xr:uid="{33100A4D-DF41-4BCF-BAF6-F0BE4A0FC108}"/>
    <cellStyle name="Normal 5 2 4 2 2 8" xfId="9137" xr:uid="{C80E4B27-40CA-4953-ABB8-99E2C575F775}"/>
    <cellStyle name="Normal 5 2 4 2 2 8 2" xfId="18461" xr:uid="{642FDBAE-C70F-4095-ADF6-BDDC4EDDB710}"/>
    <cellStyle name="Normal 5 2 4 2 2 9" xfId="9916" xr:uid="{0B75CAE7-B585-4247-BFE6-3AEAB0005135}"/>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787E4BB4-7457-4BBC-9ED8-4065DEB2321A}"/>
    <cellStyle name="Normal 5 2 4 2 3 2 3" xfId="12473" xr:uid="{D9D99D93-9BD3-45EB-8B86-5C959F8420DB}"/>
    <cellStyle name="Normal 5 2 4 2 3 3" xfId="5219" xr:uid="{00000000-0005-0000-0000-0000EB180000}"/>
    <cellStyle name="Normal 5 2 4 2 3 3 2" xfId="14545" xr:uid="{14FE8B54-DD8D-415C-97A0-B9C2CACAB71F}"/>
    <cellStyle name="Normal 5 2 4 2 3 4" xfId="9355" xr:uid="{9D38A6AA-2F63-4275-9FB8-F86A15F6A4D3}"/>
    <cellStyle name="Normal 5 2 4 2 3 4 2" xfId="18670" xr:uid="{3237D3EA-0F4C-4AD8-B9DF-73BF0A49D9CE}"/>
    <cellStyle name="Normal 5 2 4 2 3 5" xfId="10328" xr:uid="{46DDA8CB-D8A6-4945-A6F5-DB2298785C62}"/>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17B337EC-62B6-4A9B-9F75-D562DA04F353}"/>
    <cellStyle name="Normal 5 2 4 2 4 2 3" xfId="12886" xr:uid="{8D6637BE-667F-4D9D-949C-709199784ED2}"/>
    <cellStyle name="Normal 5 2 4 2 4 3" xfId="5632" xr:uid="{00000000-0005-0000-0000-0000EF180000}"/>
    <cellStyle name="Normal 5 2 4 2 4 3 2" xfId="14958" xr:uid="{8ECD2EC7-F233-4CF2-A60E-8CBA297CD8AA}"/>
    <cellStyle name="Normal 5 2 4 2 4 4" xfId="10741" xr:uid="{8117089E-FFAD-4565-A9AB-EF0E6C7D3E0B}"/>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B5865370-CDA5-4755-9D48-BC9A1283DD1C}"/>
    <cellStyle name="Normal 5 2 4 2 5 2 3" xfId="13299" xr:uid="{3630F597-8928-4157-905C-9110834A82BF}"/>
    <cellStyle name="Normal 5 2 4 2 5 3" xfId="6045" xr:uid="{00000000-0005-0000-0000-0000F3180000}"/>
    <cellStyle name="Normal 5 2 4 2 5 3 2" xfId="15371" xr:uid="{8137EC8B-FEF3-4947-B5C5-BF818CD6211B}"/>
    <cellStyle name="Normal 5 2 4 2 5 4" xfId="11154" xr:uid="{B854C37C-865F-433D-9902-9DA0D4ED3D96}"/>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88E8F233-5128-4D75-8467-8650FED8E166}"/>
    <cellStyle name="Normal 5 2 4 2 6 2 3" xfId="13712" xr:uid="{6FC55090-E4CB-46C2-A7F1-2831D2BF91B7}"/>
    <cellStyle name="Normal 5 2 4 2 6 3" xfId="6458" xr:uid="{00000000-0005-0000-0000-0000F7180000}"/>
    <cellStyle name="Normal 5 2 4 2 6 3 2" xfId="15784" xr:uid="{B18FC367-A758-4E7D-8DB0-7FC80F8A3943}"/>
    <cellStyle name="Normal 5 2 4 2 6 4" xfId="11567" xr:uid="{8BF2AA9C-D483-476D-A54A-9BB31BF148D2}"/>
    <cellStyle name="Normal 5 2 4 2 7" xfId="2588" xr:uid="{00000000-0005-0000-0000-0000F8180000}"/>
    <cellStyle name="Normal 5 2 4 2 7 2" xfId="6871" xr:uid="{00000000-0005-0000-0000-0000F9180000}"/>
    <cellStyle name="Normal 5 2 4 2 7 2 2" xfId="16197" xr:uid="{B967EEAD-8A23-42D1-B912-E7980355225C}"/>
    <cellStyle name="Normal 5 2 4 2 7 3" xfId="11980" xr:uid="{87E62CE1-E478-49BB-A86B-219F5A17C54B}"/>
    <cellStyle name="Normal 5 2 4 2 8" xfId="4806" xr:uid="{00000000-0005-0000-0000-0000FA180000}"/>
    <cellStyle name="Normal 5 2 4 2 8 2" xfId="14132" xr:uid="{5CA1BA40-9905-4A14-BC31-EE78A1D1E12F}"/>
    <cellStyle name="Normal 5 2 4 2 9" xfId="8930" xr:uid="{66B84ABA-CAF3-4BBE-9026-E7A47CB6006F}"/>
    <cellStyle name="Normal 5 2 4 2 9 2" xfId="18254" xr:uid="{F66538E3-EDB9-4F11-912E-0B5065F907A8}"/>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DC194F8B-4610-4A5D-B49B-8BF4F0CA819B}"/>
    <cellStyle name="Normal 5 2 4 3 2 2 3" xfId="12475" xr:uid="{B03246BD-0BE3-4A4B-9DAB-88D7D3A14D76}"/>
    <cellStyle name="Normal 5 2 4 3 2 3" xfId="5221" xr:uid="{00000000-0005-0000-0000-0000FF180000}"/>
    <cellStyle name="Normal 5 2 4 3 2 3 2" xfId="14547" xr:uid="{76E76990-3C47-4182-9B0D-3275FECABFF5}"/>
    <cellStyle name="Normal 5 2 4 3 2 4" xfId="9459" xr:uid="{ED2A936E-5624-4B26-A175-3FCE68E1BF5A}"/>
    <cellStyle name="Normal 5 2 4 3 2 4 2" xfId="18774" xr:uid="{8D28B571-F6B7-4BA1-B0DC-00CFE972FAA0}"/>
    <cellStyle name="Normal 5 2 4 3 2 5" xfId="10330" xr:uid="{6BA4F6C9-AF2D-4C73-9947-38AA33673456}"/>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182CC197-4CC4-4C62-A572-1C1F8E6D776B}"/>
    <cellStyle name="Normal 5 2 4 3 3 2 3" xfId="12888" xr:uid="{FC93B585-C465-476B-8778-E26A164C1100}"/>
    <cellStyle name="Normal 5 2 4 3 3 3" xfId="5634" xr:uid="{00000000-0005-0000-0000-000003190000}"/>
    <cellStyle name="Normal 5 2 4 3 3 3 2" xfId="14960" xr:uid="{90966FD6-9082-499B-BE56-CB81D0065BDA}"/>
    <cellStyle name="Normal 5 2 4 3 3 4" xfId="10743" xr:uid="{069D2A0E-6533-477C-89DB-E77C9E07222D}"/>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36C74C3B-5166-406F-B72F-9B08E72F4AEA}"/>
    <cellStyle name="Normal 5 2 4 3 4 2 3" xfId="13301" xr:uid="{4ACC0F64-13F6-417C-B925-364FD93D53DA}"/>
    <cellStyle name="Normal 5 2 4 3 4 3" xfId="6047" xr:uid="{00000000-0005-0000-0000-000007190000}"/>
    <cellStyle name="Normal 5 2 4 3 4 3 2" xfId="15373" xr:uid="{92916B0E-A81B-46DE-A1D9-889DE115D531}"/>
    <cellStyle name="Normal 5 2 4 3 4 4" xfId="11156" xr:uid="{0712F1D2-CD6D-4D38-B713-E594A7113ECB}"/>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3E92C366-D6C4-429B-A847-A80965C1FE76}"/>
    <cellStyle name="Normal 5 2 4 3 5 2 3" xfId="13714" xr:uid="{B7781A3F-E82B-4FFF-81A2-891D99973058}"/>
    <cellStyle name="Normal 5 2 4 3 5 3" xfId="6460" xr:uid="{00000000-0005-0000-0000-00000B190000}"/>
    <cellStyle name="Normal 5 2 4 3 5 3 2" xfId="15786" xr:uid="{F5ADF50C-2EED-4C5D-B0EC-F34EB9665E39}"/>
    <cellStyle name="Normal 5 2 4 3 5 4" xfId="11569" xr:uid="{AD52228B-56D0-4C5C-AF9E-985320A49380}"/>
    <cellStyle name="Normal 5 2 4 3 6" xfId="2590" xr:uid="{00000000-0005-0000-0000-00000C190000}"/>
    <cellStyle name="Normal 5 2 4 3 6 2" xfId="6873" xr:uid="{00000000-0005-0000-0000-00000D190000}"/>
    <cellStyle name="Normal 5 2 4 3 6 2 2" xfId="16199" xr:uid="{015CCD71-E11D-46A0-9F81-FDEEF14CC157}"/>
    <cellStyle name="Normal 5 2 4 3 6 3" xfId="11982" xr:uid="{868F75A1-E1FF-482F-8240-E77993BCF5C9}"/>
    <cellStyle name="Normal 5 2 4 3 7" xfId="4808" xr:uid="{00000000-0005-0000-0000-00000E190000}"/>
    <cellStyle name="Normal 5 2 4 3 7 2" xfId="14134" xr:uid="{A16D4069-D385-4051-A2DD-A787390400B2}"/>
    <cellStyle name="Normal 5 2 4 3 8" xfId="9034" xr:uid="{82D3DE5B-E868-4CF9-BA07-6E197DA4FAA5}"/>
    <cellStyle name="Normal 5 2 4 3 8 2" xfId="18358" xr:uid="{F27B616B-3ADE-4F8C-BAFF-16B03F763D73}"/>
    <cellStyle name="Normal 5 2 4 3 9" xfId="9917" xr:uid="{2E05BE41-2711-48F2-B044-1015A6A40012}"/>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12557FEF-8128-463C-B869-58948B6EE134}"/>
    <cellStyle name="Normal 5 2 4 4 2 3" xfId="12472" xr:uid="{38BDC31A-5784-468C-838E-1F5A7F919B04}"/>
    <cellStyle name="Normal 5 2 4 4 3" xfId="5218" xr:uid="{00000000-0005-0000-0000-000012190000}"/>
    <cellStyle name="Normal 5 2 4 4 3 2" xfId="14544" xr:uid="{6C76CFD3-52A4-4D3F-AF5D-119A5F51DAA8}"/>
    <cellStyle name="Normal 5 2 4 4 4" xfId="9252" xr:uid="{1D1A8EC4-7286-46A1-B40C-E987F273E760}"/>
    <cellStyle name="Normal 5 2 4 4 4 2" xfId="18567" xr:uid="{5E4D9B9C-C524-4BC1-8BDB-283424885D45}"/>
    <cellStyle name="Normal 5 2 4 4 5" xfId="10327" xr:uid="{C15129E4-A91F-425E-9A99-7471D0913D91}"/>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C924961D-101A-4AFE-AD0A-488111EE5571}"/>
    <cellStyle name="Normal 5 2 4 5 2 3" xfId="12885" xr:uid="{9C01D1EA-2258-4AFE-8467-A49E274DB753}"/>
    <cellStyle name="Normal 5 2 4 5 3" xfId="5631" xr:uid="{00000000-0005-0000-0000-000016190000}"/>
    <cellStyle name="Normal 5 2 4 5 3 2" xfId="14957" xr:uid="{A22FE750-6AA9-4E3C-A3C6-7A90EC301739}"/>
    <cellStyle name="Normal 5 2 4 5 4" xfId="10740" xr:uid="{CE61BCA6-86AE-4113-9DEB-70A849A37396}"/>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22EA1D07-82A2-4BDD-952F-341318D21865}"/>
    <cellStyle name="Normal 5 2 4 6 2 3" xfId="13298" xr:uid="{7FB9DB67-52F7-4385-9D24-C5413857640A}"/>
    <cellStyle name="Normal 5 2 4 6 3" xfId="6044" xr:uid="{00000000-0005-0000-0000-00001A190000}"/>
    <cellStyle name="Normal 5 2 4 6 3 2" xfId="15370" xr:uid="{71E90FBA-D337-4012-AD6A-BE5198237B2F}"/>
    <cellStyle name="Normal 5 2 4 6 4" xfId="11153" xr:uid="{D74E19FB-35F4-4DCB-A762-B64AE7B674EA}"/>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D930EC67-F1FC-4276-A78D-6E7133A3D663}"/>
    <cellStyle name="Normal 5 2 4 7 2 3" xfId="13711" xr:uid="{444CE052-E1D6-4B9E-9044-EA68601CFCFF}"/>
    <cellStyle name="Normal 5 2 4 7 3" xfId="6457" xr:uid="{00000000-0005-0000-0000-00001E190000}"/>
    <cellStyle name="Normal 5 2 4 7 3 2" xfId="15783" xr:uid="{69A33C35-0DA4-4ED6-A77B-46A2366CB157}"/>
    <cellStyle name="Normal 5 2 4 7 4" xfId="11566" xr:uid="{8B3A4F92-826D-4014-AD19-68A939885993}"/>
    <cellStyle name="Normal 5 2 4 8" xfId="2587" xr:uid="{00000000-0005-0000-0000-00001F190000}"/>
    <cellStyle name="Normal 5 2 4 8 2" xfId="6870" xr:uid="{00000000-0005-0000-0000-000020190000}"/>
    <cellStyle name="Normal 5 2 4 8 2 2" xfId="16196" xr:uid="{85004FB5-DF06-4312-B98C-ABD8594C7C51}"/>
    <cellStyle name="Normal 5 2 4 8 3" xfId="11979" xr:uid="{68C2815C-2112-44E4-B65C-281ED072478A}"/>
    <cellStyle name="Normal 5 2 4 9" xfId="4805" xr:uid="{00000000-0005-0000-0000-000021190000}"/>
    <cellStyle name="Normal 5 2 4 9 2" xfId="14131" xr:uid="{E4E48143-F0E3-4677-925C-C61E2B9592FE}"/>
    <cellStyle name="Normal 5 2 5" xfId="436" xr:uid="{00000000-0005-0000-0000-000022190000}"/>
    <cellStyle name="Normal 5 2 5 10" xfId="9918" xr:uid="{E117AC82-FFB2-4D06-9C33-FFF14DFF6245}"/>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5B41FF29-56FB-479E-8180-3B62A1054980}"/>
    <cellStyle name="Normal 5 2 5 2 2 2 3" xfId="12477" xr:uid="{3398588D-E8D9-4B6D-AE48-BA7FB032DBE8}"/>
    <cellStyle name="Normal 5 2 5 2 2 3" xfId="5223" xr:uid="{00000000-0005-0000-0000-000027190000}"/>
    <cellStyle name="Normal 5 2 5 2 2 3 2" xfId="14549" xr:uid="{4E8DC461-C89C-4CC7-AAA9-BA5D077B7C1A}"/>
    <cellStyle name="Normal 5 2 5 2 2 4" xfId="9479" xr:uid="{0DDFFFD4-5D62-4038-B6D4-9E9BD7CBA380}"/>
    <cellStyle name="Normal 5 2 5 2 2 4 2" xfId="18794" xr:uid="{3BDAC1CC-7ADD-4479-B874-E00BF702F6A6}"/>
    <cellStyle name="Normal 5 2 5 2 2 5" xfId="10332" xr:uid="{E38954EC-E967-4936-9765-F6B2565D837A}"/>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8B335EEC-DCC0-4B8F-826C-26DEBFCB2111}"/>
    <cellStyle name="Normal 5 2 5 2 3 2 3" xfId="12890" xr:uid="{A7975EAD-692D-44FE-92C7-EE40970DDD6E}"/>
    <cellStyle name="Normal 5 2 5 2 3 3" xfId="5636" xr:uid="{00000000-0005-0000-0000-00002B190000}"/>
    <cellStyle name="Normal 5 2 5 2 3 3 2" xfId="14962" xr:uid="{51AA509F-81DC-4B22-8ABF-C28D1A8F1F05}"/>
    <cellStyle name="Normal 5 2 5 2 3 4" xfId="10745" xr:uid="{41C3F86B-AFF3-4614-B6FE-94F5502A7B39}"/>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D0BD08AA-940B-4E30-858F-5B064366477F}"/>
    <cellStyle name="Normal 5 2 5 2 4 2 3" xfId="13303" xr:uid="{F30FEABB-6CE2-4C77-AD7F-213F15451E32}"/>
    <cellStyle name="Normal 5 2 5 2 4 3" xfId="6049" xr:uid="{00000000-0005-0000-0000-00002F190000}"/>
    <cellStyle name="Normal 5 2 5 2 4 3 2" xfId="15375" xr:uid="{227A66CF-336E-48A6-909B-6C1DF4F83576}"/>
    <cellStyle name="Normal 5 2 5 2 4 4" xfId="11158" xr:uid="{E8313CF3-95FC-4877-AD32-E50085AC84D3}"/>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B6B40603-62DC-4FB2-949A-D9F19DF7BDA4}"/>
    <cellStyle name="Normal 5 2 5 2 5 2 3" xfId="13716" xr:uid="{E43A8951-0C27-4FAD-8AE9-581C311D7D42}"/>
    <cellStyle name="Normal 5 2 5 2 5 3" xfId="6462" xr:uid="{00000000-0005-0000-0000-000033190000}"/>
    <cellStyle name="Normal 5 2 5 2 5 3 2" xfId="15788" xr:uid="{C71917A3-55E9-4405-9445-521990D82E78}"/>
    <cellStyle name="Normal 5 2 5 2 5 4" xfId="11571" xr:uid="{72C53350-D027-4511-A3B1-5A6FC90F39A1}"/>
    <cellStyle name="Normal 5 2 5 2 6" xfId="2592" xr:uid="{00000000-0005-0000-0000-000034190000}"/>
    <cellStyle name="Normal 5 2 5 2 6 2" xfId="6875" xr:uid="{00000000-0005-0000-0000-000035190000}"/>
    <cellStyle name="Normal 5 2 5 2 6 2 2" xfId="16201" xr:uid="{B64CB5FC-2B77-4F77-B47C-FC06C57D6C03}"/>
    <cellStyle name="Normal 5 2 5 2 6 3" xfId="11984" xr:uid="{A1AB5B18-64AD-4564-88EF-4E58E56BAA1B}"/>
    <cellStyle name="Normal 5 2 5 2 7" xfId="4810" xr:uid="{00000000-0005-0000-0000-000036190000}"/>
    <cellStyle name="Normal 5 2 5 2 7 2" xfId="14136" xr:uid="{7EEB0AAD-55D6-4E6F-B4DC-C65AAB063737}"/>
    <cellStyle name="Normal 5 2 5 2 8" xfId="9054" xr:uid="{844F6476-DDB9-4C38-A2B2-83AB0DCF1773}"/>
    <cellStyle name="Normal 5 2 5 2 8 2" xfId="18378" xr:uid="{FD938099-82DF-404A-8B1E-44141EDF2A1D}"/>
    <cellStyle name="Normal 5 2 5 2 9" xfId="9919" xr:uid="{39E8F974-7C0D-4C1A-8DCF-05997F7BFB4B}"/>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45BA1D14-0D3D-4DF5-B5C0-EBC5014143E9}"/>
    <cellStyle name="Normal 5 2 5 3 2 3" xfId="12476" xr:uid="{990F73B2-BDB9-4542-A221-67BBCECE6D19}"/>
    <cellStyle name="Normal 5 2 5 3 3" xfId="5222" xr:uid="{00000000-0005-0000-0000-00003A190000}"/>
    <cellStyle name="Normal 5 2 5 3 3 2" xfId="14548" xr:uid="{D31B5894-FA8B-410A-A082-6C0E02E8A788}"/>
    <cellStyle name="Normal 5 2 5 3 4" xfId="9272" xr:uid="{8865498C-CC61-4C5F-A1F4-57A1D301E1CE}"/>
    <cellStyle name="Normal 5 2 5 3 4 2" xfId="18587" xr:uid="{AFFF0492-D58B-48B1-AF4F-BF343B2DFADB}"/>
    <cellStyle name="Normal 5 2 5 3 5" xfId="10331" xr:uid="{849AA7E1-D74A-4E47-A66A-7E2CB4ADF978}"/>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FE064B32-6C6A-463D-A544-82132A5327F0}"/>
    <cellStyle name="Normal 5 2 5 4 2 3" xfId="12889" xr:uid="{8B550274-EBCB-4781-80F1-68575434C96C}"/>
    <cellStyle name="Normal 5 2 5 4 3" xfId="5635" xr:uid="{00000000-0005-0000-0000-00003E190000}"/>
    <cellStyle name="Normal 5 2 5 4 3 2" xfId="14961" xr:uid="{3F3B741D-CB9F-4A4D-90D5-B399D32F23CA}"/>
    <cellStyle name="Normal 5 2 5 4 4" xfId="10744" xr:uid="{C8FB536E-3D88-4765-BAB3-72E9DC13BC0A}"/>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55A3BBE8-FC3C-43B0-B140-8D2586A0D06A}"/>
    <cellStyle name="Normal 5 2 5 5 2 3" xfId="13302" xr:uid="{7EDFB95F-6FD3-4E7A-AE17-6D1156BFCA54}"/>
    <cellStyle name="Normal 5 2 5 5 3" xfId="6048" xr:uid="{00000000-0005-0000-0000-000042190000}"/>
    <cellStyle name="Normal 5 2 5 5 3 2" xfId="15374" xr:uid="{8CF93AD5-1559-4A57-B719-10FD3B5A3353}"/>
    <cellStyle name="Normal 5 2 5 5 4" xfId="11157" xr:uid="{93E4D707-98C6-44C2-A09B-82668027C948}"/>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828184BC-DF1C-4E4B-A81F-755063BE9D0B}"/>
    <cellStyle name="Normal 5 2 5 6 2 3" xfId="13715" xr:uid="{ED5819B5-296D-4A3E-9433-CDC1674C126C}"/>
    <cellStyle name="Normal 5 2 5 6 3" xfId="6461" xr:uid="{00000000-0005-0000-0000-000046190000}"/>
    <cellStyle name="Normal 5 2 5 6 3 2" xfId="15787" xr:uid="{FB5BC847-FDF6-4F26-B681-781F24BBF758}"/>
    <cellStyle name="Normal 5 2 5 6 4" xfId="11570" xr:uid="{188C44E7-0D3F-4E6C-8957-87914974FA0B}"/>
    <cellStyle name="Normal 5 2 5 7" xfId="2591" xr:uid="{00000000-0005-0000-0000-000047190000}"/>
    <cellStyle name="Normal 5 2 5 7 2" xfId="6874" xr:uid="{00000000-0005-0000-0000-000048190000}"/>
    <cellStyle name="Normal 5 2 5 7 2 2" xfId="16200" xr:uid="{0A4913DD-8062-48DF-BBB9-90E761A5CD82}"/>
    <cellStyle name="Normal 5 2 5 7 3" xfId="11983" xr:uid="{B85BB803-15AF-4071-A250-9BEB605B52D4}"/>
    <cellStyle name="Normal 5 2 5 8" xfId="4809" xr:uid="{00000000-0005-0000-0000-000049190000}"/>
    <cellStyle name="Normal 5 2 5 8 2" xfId="14135" xr:uid="{6CA58273-6B0A-42D2-9C18-134F043F5591}"/>
    <cellStyle name="Normal 5 2 5 9" xfId="8847" xr:uid="{504334B5-BB84-4906-81A5-68746D711AC3}"/>
    <cellStyle name="Normal 5 2 5 9 2" xfId="18171" xr:uid="{132195D6-81CE-4634-8D1F-BE389AEAA234}"/>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AAD563CE-E4D5-450D-BF77-67D76A60DBE3}"/>
    <cellStyle name="Normal 5 2 6 2 2 3" xfId="12478" xr:uid="{F341DDBC-BCB3-4FFE-B5D0-BE9D9A64C55B}"/>
    <cellStyle name="Normal 5 2 6 2 3" xfId="5224" xr:uid="{00000000-0005-0000-0000-00004E190000}"/>
    <cellStyle name="Normal 5 2 6 2 3 2" xfId="14550" xr:uid="{D7D77E1C-7BB4-4D94-94AB-AFA671146AB2}"/>
    <cellStyle name="Normal 5 2 6 2 4" xfId="9388" xr:uid="{38BE55A5-085B-499D-8766-DF826B77D03C}"/>
    <cellStyle name="Normal 5 2 6 2 4 2" xfId="18703" xr:uid="{90BE294A-AC70-4A27-A023-1237425D166F}"/>
    <cellStyle name="Normal 5 2 6 2 5" xfId="10333" xr:uid="{642BE9F1-C862-4A03-B772-ABDE4B90C904}"/>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FD970B66-CFEA-402D-BF92-288DAF734A36}"/>
    <cellStyle name="Normal 5 2 6 3 2 3" xfId="12891" xr:uid="{3032C7AD-3D04-4C67-80A4-DE93C8CABDCC}"/>
    <cellStyle name="Normal 5 2 6 3 3" xfId="5637" xr:uid="{00000000-0005-0000-0000-000052190000}"/>
    <cellStyle name="Normal 5 2 6 3 3 2" xfId="14963" xr:uid="{84B35F5D-18FF-4FCB-B507-6A142E52CB72}"/>
    <cellStyle name="Normal 5 2 6 3 4" xfId="10746" xr:uid="{1FC3AC92-3250-4704-9F38-5B3A22DD9956}"/>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226B6C89-AC9B-4EFE-A5C5-D691DCBCD690}"/>
    <cellStyle name="Normal 5 2 6 4 2 3" xfId="13304" xr:uid="{2A94F3C2-0E36-49F3-B968-FE4C3CDE4509}"/>
    <cellStyle name="Normal 5 2 6 4 3" xfId="6050" xr:uid="{00000000-0005-0000-0000-000056190000}"/>
    <cellStyle name="Normal 5 2 6 4 3 2" xfId="15376" xr:uid="{78335F3D-C471-43A5-94AA-BF656219765A}"/>
    <cellStyle name="Normal 5 2 6 4 4" xfId="11159" xr:uid="{7C019B34-7173-4461-B597-DA12F88F83EB}"/>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7063587D-13B9-4A9F-803E-1AF5A9093257}"/>
    <cellStyle name="Normal 5 2 6 5 2 3" xfId="13717" xr:uid="{D03D5A12-E533-40F7-B11F-CA8C169A684F}"/>
    <cellStyle name="Normal 5 2 6 5 3" xfId="6463" xr:uid="{00000000-0005-0000-0000-00005A190000}"/>
    <cellStyle name="Normal 5 2 6 5 3 2" xfId="15789" xr:uid="{7B5503D8-F9FA-459E-AA0B-C731F3D873EB}"/>
    <cellStyle name="Normal 5 2 6 5 4" xfId="11572" xr:uid="{DEF5B06F-6B2A-45BB-8269-A871E0641DC8}"/>
    <cellStyle name="Normal 5 2 6 6" xfId="2593" xr:uid="{00000000-0005-0000-0000-00005B190000}"/>
    <cellStyle name="Normal 5 2 6 6 2" xfId="6876" xr:uid="{00000000-0005-0000-0000-00005C190000}"/>
    <cellStyle name="Normal 5 2 6 6 2 2" xfId="16202" xr:uid="{46CD09C0-2C7C-4DEF-A434-0A44882399E0}"/>
    <cellStyle name="Normal 5 2 6 6 3" xfId="11985" xr:uid="{B98232D0-5251-46CC-B7D9-C0F68A2818A5}"/>
    <cellStyle name="Normal 5 2 6 7" xfId="4811" xr:uid="{00000000-0005-0000-0000-00005D190000}"/>
    <cellStyle name="Normal 5 2 6 7 2" xfId="14137" xr:uid="{0D34E05D-6408-493C-9D09-B47C814B6483}"/>
    <cellStyle name="Normal 5 2 6 8" xfId="8963" xr:uid="{01BDB756-0B70-4C0D-AC32-9959EE0C8F11}"/>
    <cellStyle name="Normal 5 2 6 8 2" xfId="18287" xr:uid="{0B873A3B-37CF-4F8A-8503-997945D8D555}"/>
    <cellStyle name="Normal 5 2 6 9" xfId="9920" xr:uid="{891BC252-74FD-4D27-BA39-CB9ACF84116A}"/>
    <cellStyle name="Normal 5 2 7" xfId="881" xr:uid="{00000000-0005-0000-0000-00005E190000}"/>
    <cellStyle name="Normal 5 2 7 2" xfId="3116" xr:uid="{00000000-0005-0000-0000-00005F190000}"/>
    <cellStyle name="Normal 5 2 7 2 2" xfId="7338" xr:uid="{00000000-0005-0000-0000-000060190000}"/>
    <cellStyle name="Normal 5 2 7 2 2 2" xfId="16664" xr:uid="{A9A30EF5-CB0B-4829-A1C5-E864681C092A}"/>
    <cellStyle name="Normal 5 2 7 2 3" xfId="12447" xr:uid="{A4F59852-85C7-4313-9EC7-B3B6FA8A9604}"/>
    <cellStyle name="Normal 5 2 7 3" xfId="5193" xr:uid="{00000000-0005-0000-0000-000061190000}"/>
    <cellStyle name="Normal 5 2 7 3 2" xfId="14519" xr:uid="{C0888A15-A247-40A2-9789-376D1CFAC3CE}"/>
    <cellStyle name="Normal 5 2 7 4" xfId="9166" xr:uid="{903BB692-5043-4803-B109-F7C532EB2A09}"/>
    <cellStyle name="Normal 5 2 7 4 2" xfId="18484" xr:uid="{8C4C6C0F-6AF9-4060-A1EC-C6E6BA2B5C2B}"/>
    <cellStyle name="Normal 5 2 7 5" xfId="10302" xr:uid="{6A82B2F4-9786-4BD1-AF19-317FB32793F6}"/>
    <cellStyle name="Normal 5 2 8" xfId="1299" xr:uid="{00000000-0005-0000-0000-000062190000}"/>
    <cellStyle name="Normal 5 2 8 2" xfId="3529" xr:uid="{00000000-0005-0000-0000-000063190000}"/>
    <cellStyle name="Normal 5 2 8 2 2" xfId="7751" xr:uid="{00000000-0005-0000-0000-000064190000}"/>
    <cellStyle name="Normal 5 2 8 2 2 2" xfId="17077" xr:uid="{0DD4A2EF-12A3-42E7-991F-BC349AF520A2}"/>
    <cellStyle name="Normal 5 2 8 2 3" xfId="12860" xr:uid="{DB7B6FC8-826F-442D-AA7C-0CCA93EA4C8F}"/>
    <cellStyle name="Normal 5 2 8 3" xfId="5606" xr:uid="{00000000-0005-0000-0000-000065190000}"/>
    <cellStyle name="Normal 5 2 8 3 2" xfId="14932" xr:uid="{03BDA0AF-A5BD-4EE2-8C38-71358464CCEB}"/>
    <cellStyle name="Normal 5 2 8 4" xfId="10715" xr:uid="{8A74DA1F-60D9-4F09-AEA1-84FBB5AF2582}"/>
    <cellStyle name="Normal 5 2 9" xfId="1712" xr:uid="{00000000-0005-0000-0000-000066190000}"/>
    <cellStyle name="Normal 5 2 9 2" xfId="3942" xr:uid="{00000000-0005-0000-0000-000067190000}"/>
    <cellStyle name="Normal 5 2 9 2 2" xfId="8164" xr:uid="{00000000-0005-0000-0000-000068190000}"/>
    <cellStyle name="Normal 5 2 9 2 2 2" xfId="17490" xr:uid="{AD5DEDBF-185E-41B0-A5A2-A89E70982095}"/>
    <cellStyle name="Normal 5 2 9 2 3" xfId="13273" xr:uid="{71711C30-AAF6-4680-B37C-FFC43FD309F6}"/>
    <cellStyle name="Normal 5 2 9 3" xfId="6019" xr:uid="{00000000-0005-0000-0000-000069190000}"/>
    <cellStyle name="Normal 5 2 9 3 2" xfId="15345" xr:uid="{2F91B94F-6A66-42C6-941B-60316E824ADB}"/>
    <cellStyle name="Normal 5 2 9 4" xfId="11128" xr:uid="{3706B1AB-5CCC-48F3-ADAC-B4B410EF48AF}"/>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9150E36B-E361-4736-9B78-ECE58B0DDB55}"/>
    <cellStyle name="Normal 5 3 10 2 3" xfId="13718" xr:uid="{5CC75981-B3A1-4625-AC2D-D004CDDDC3D2}"/>
    <cellStyle name="Normal 5 3 10 3" xfId="6464" xr:uid="{00000000-0005-0000-0000-00006E190000}"/>
    <cellStyle name="Normal 5 3 10 3 2" xfId="15790" xr:uid="{69524363-BA30-4A26-8BFF-8ED74B5B2F56}"/>
    <cellStyle name="Normal 5 3 10 4" xfId="11573" xr:uid="{1152EA7D-32A8-4507-9EF8-92D03C09440B}"/>
    <cellStyle name="Normal 5 3 11" xfId="2594" xr:uid="{00000000-0005-0000-0000-00006F190000}"/>
    <cellStyle name="Normal 5 3 11 2" xfId="6877" xr:uid="{00000000-0005-0000-0000-000070190000}"/>
    <cellStyle name="Normal 5 3 11 2 2" xfId="16203" xr:uid="{93EBCB9E-2634-4EF6-99FA-726B77C93581}"/>
    <cellStyle name="Normal 5 3 11 3" xfId="11986" xr:uid="{7A7339C7-0B64-4568-B535-2810CFD32BF5}"/>
    <cellStyle name="Normal 5 3 12" xfId="4812" xr:uid="{00000000-0005-0000-0000-000071190000}"/>
    <cellStyle name="Normal 5 3 12 2" xfId="14138" xr:uid="{05835D96-64EC-41FB-8DCF-C43F3B120BF8}"/>
    <cellStyle name="Normal 5 3 13" xfId="8750" xr:uid="{36957AEF-D081-4A23-AEE3-073A5901863C}"/>
    <cellStyle name="Normal 5 3 13 2" xfId="18074" xr:uid="{9185AFFD-E249-46A0-A94B-2B786900A09A}"/>
    <cellStyle name="Normal 5 3 14" xfId="9921" xr:uid="{A3D84C4D-1D4C-436A-B3B2-7D3DFBEEA123}"/>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4DB3FC17-CBAA-41A2-AE41-42580FB9A411}"/>
    <cellStyle name="Normal 5 3 3 11" xfId="8782" xr:uid="{4219AD28-469A-4693-BD0B-B0536AC433E5}"/>
    <cellStyle name="Normal 5 3 3 11 2" xfId="18106" xr:uid="{FF5DC6C3-B206-49B2-938F-DA648377C477}"/>
    <cellStyle name="Normal 5 3 3 12" xfId="9922" xr:uid="{46025C22-624C-4D12-BBA8-2FC716FACD36}"/>
    <cellStyle name="Normal 5 3 3 2" xfId="442" xr:uid="{00000000-0005-0000-0000-000076190000}"/>
    <cellStyle name="Normal 5 3 3 2 10" xfId="8832" xr:uid="{03323DDB-E4E1-4078-8BBE-EA3DD4471E1B}"/>
    <cellStyle name="Normal 5 3 3 2 10 2" xfId="18156" xr:uid="{1CDF1515-11B5-41BC-B130-ADFD48FD33F5}"/>
    <cellStyle name="Normal 5 3 3 2 11" xfId="9923" xr:uid="{21BFF840-3718-4F5B-B92E-5984F720F379}"/>
    <cellStyle name="Normal 5 3 3 2 2" xfId="443" xr:uid="{00000000-0005-0000-0000-000077190000}"/>
    <cellStyle name="Normal 5 3 3 2 2 10" xfId="9924" xr:uid="{C692D11A-1FAC-469A-A89B-A1A14AB5C826}"/>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CEF8E336-940D-43C8-A3E1-E96676240309}"/>
    <cellStyle name="Normal 5 3 3 2 2 2 2 2 3" xfId="12483" xr:uid="{CFC9C3C4-EE2A-4AA6-A73D-EFDEA95AB470}"/>
    <cellStyle name="Normal 5 3 3 2 2 2 2 3" xfId="5229" xr:uid="{00000000-0005-0000-0000-00007C190000}"/>
    <cellStyle name="Normal 5 3 3 2 2 2 2 3 2" xfId="14555" xr:uid="{31409CDD-A553-428F-930D-3F0ED5C47775}"/>
    <cellStyle name="Normal 5 3 3 2 2 2 2 4" xfId="9567" xr:uid="{C2519486-6BC5-47D1-879F-EC6040BC9E9D}"/>
    <cellStyle name="Normal 5 3 3 2 2 2 2 4 2" xfId="18882" xr:uid="{2D50A885-6730-4747-B063-494B8917FBD3}"/>
    <cellStyle name="Normal 5 3 3 2 2 2 2 5" xfId="10338" xr:uid="{05B182CC-424A-45C8-89E1-2913ABEB6785}"/>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EC634C42-3229-43E6-8C79-DE456AF8DB56}"/>
    <cellStyle name="Normal 5 3 3 2 2 2 3 2 3" xfId="12896" xr:uid="{5FC8B048-0E41-4D21-8414-40C89F513552}"/>
    <cellStyle name="Normal 5 3 3 2 2 2 3 3" xfId="5642" xr:uid="{00000000-0005-0000-0000-000080190000}"/>
    <cellStyle name="Normal 5 3 3 2 2 2 3 3 2" xfId="14968" xr:uid="{50606B19-F14E-4B7F-82FB-D55F98E79297}"/>
    <cellStyle name="Normal 5 3 3 2 2 2 3 4" xfId="10751" xr:uid="{BE44439B-3FAA-4ACE-9A89-C83F978335ED}"/>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9E41BA5D-5B5F-407A-857E-2D4656E414E4}"/>
    <cellStyle name="Normal 5 3 3 2 2 2 4 2 3" xfId="13309" xr:uid="{EDC9767F-BCCE-4334-AA07-A8AE7701470E}"/>
    <cellStyle name="Normal 5 3 3 2 2 2 4 3" xfId="6055" xr:uid="{00000000-0005-0000-0000-000084190000}"/>
    <cellStyle name="Normal 5 3 3 2 2 2 4 3 2" xfId="15381" xr:uid="{CDCE98C9-3488-4604-A279-048A8B750D1A}"/>
    <cellStyle name="Normal 5 3 3 2 2 2 4 4" xfId="11164" xr:uid="{1EF40D73-CDF5-4CF0-AA58-CE643EF05A66}"/>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611574B9-561C-40C1-B279-8A3415D83338}"/>
    <cellStyle name="Normal 5 3 3 2 2 2 5 2 3" xfId="13722" xr:uid="{C711C723-48E1-4369-BA90-B6E24BBAA078}"/>
    <cellStyle name="Normal 5 3 3 2 2 2 5 3" xfId="6468" xr:uid="{00000000-0005-0000-0000-000088190000}"/>
    <cellStyle name="Normal 5 3 3 2 2 2 5 3 2" xfId="15794" xr:uid="{2FA7EC38-FEEA-4A02-B95F-3B2D0F6B9C8C}"/>
    <cellStyle name="Normal 5 3 3 2 2 2 5 4" xfId="11577" xr:uid="{0B82C89F-EDDC-4F59-BD95-662B53B6FAF2}"/>
    <cellStyle name="Normal 5 3 3 2 2 2 6" xfId="2598" xr:uid="{00000000-0005-0000-0000-000089190000}"/>
    <cellStyle name="Normal 5 3 3 2 2 2 6 2" xfId="6881" xr:uid="{00000000-0005-0000-0000-00008A190000}"/>
    <cellStyle name="Normal 5 3 3 2 2 2 6 2 2" xfId="16207" xr:uid="{D5381138-A82E-47C2-9A1D-07F18D653B06}"/>
    <cellStyle name="Normal 5 3 3 2 2 2 6 3" xfId="11990" xr:uid="{4AEEEDDA-9576-4B79-8902-D339A03C3CA1}"/>
    <cellStyle name="Normal 5 3 3 2 2 2 7" xfId="4816" xr:uid="{00000000-0005-0000-0000-00008B190000}"/>
    <cellStyle name="Normal 5 3 3 2 2 2 7 2" xfId="14142" xr:uid="{EDD6124B-0D3D-4DEF-B156-A1F511395364}"/>
    <cellStyle name="Normal 5 3 3 2 2 2 8" xfId="9142" xr:uid="{81CF9711-3A0B-4712-8E8F-033C974AA9E3}"/>
    <cellStyle name="Normal 5 3 3 2 2 2 8 2" xfId="18466" xr:uid="{EFA5C211-55E4-4316-AD5A-93BCDE459B70}"/>
    <cellStyle name="Normal 5 3 3 2 2 2 9" xfId="9925" xr:uid="{AC7CDD36-44DB-461C-BBA2-0C96CD5C4A85}"/>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C1E1219D-294C-496D-9577-F16C9FC50A5F}"/>
    <cellStyle name="Normal 5 3 3 2 2 3 2 3" xfId="12482" xr:uid="{0DCC5E1F-0A46-4B09-A345-FAA0EF3C510F}"/>
    <cellStyle name="Normal 5 3 3 2 2 3 3" xfId="5228" xr:uid="{00000000-0005-0000-0000-00008F190000}"/>
    <cellStyle name="Normal 5 3 3 2 2 3 3 2" xfId="14554" xr:uid="{DD1D90E9-DEB2-49B9-BBD0-337A44FFB8D1}"/>
    <cellStyle name="Normal 5 3 3 2 2 3 4" xfId="9360" xr:uid="{07447062-3C9B-4A41-BE9D-50DE495FF588}"/>
    <cellStyle name="Normal 5 3 3 2 2 3 4 2" xfId="18675" xr:uid="{B0953860-9CE4-45CA-93CE-F6E9E17024DB}"/>
    <cellStyle name="Normal 5 3 3 2 2 3 5" xfId="10337" xr:uid="{61ED7428-3DCC-4864-BC12-1E5E550D3DB2}"/>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70A19446-6F52-4499-BD8B-562303192DAB}"/>
    <cellStyle name="Normal 5 3 3 2 2 4 2 3" xfId="12895" xr:uid="{8FC7E288-C0A1-46AF-A11B-E1A592D373DC}"/>
    <cellStyle name="Normal 5 3 3 2 2 4 3" xfId="5641" xr:uid="{00000000-0005-0000-0000-000093190000}"/>
    <cellStyle name="Normal 5 3 3 2 2 4 3 2" xfId="14967" xr:uid="{E155DEBA-0342-47B6-A7C0-8EA111BAB861}"/>
    <cellStyle name="Normal 5 3 3 2 2 4 4" xfId="10750" xr:uid="{6584108F-BC34-4A42-9D7F-04ABAE70A8A8}"/>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FD688E38-F61E-41AC-BDB4-9F342A4C66E7}"/>
    <cellStyle name="Normal 5 3 3 2 2 5 2 3" xfId="13308" xr:uid="{9F71AFF2-9E26-4E89-919F-5E8EF1431596}"/>
    <cellStyle name="Normal 5 3 3 2 2 5 3" xfId="6054" xr:uid="{00000000-0005-0000-0000-000097190000}"/>
    <cellStyle name="Normal 5 3 3 2 2 5 3 2" xfId="15380" xr:uid="{E34A0A3C-3B0C-48DF-9F73-36BF5D344A9A}"/>
    <cellStyle name="Normal 5 3 3 2 2 5 4" xfId="11163" xr:uid="{7969FF99-E8C2-4564-AF06-3F50AB8A5CBE}"/>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5F8074B0-57AE-4C75-BB45-28578B592486}"/>
    <cellStyle name="Normal 5 3 3 2 2 6 2 3" xfId="13721" xr:uid="{357E1D0A-111A-47CD-B8F9-F0948C446AA0}"/>
    <cellStyle name="Normal 5 3 3 2 2 6 3" xfId="6467" xr:uid="{00000000-0005-0000-0000-00009B190000}"/>
    <cellStyle name="Normal 5 3 3 2 2 6 3 2" xfId="15793" xr:uid="{7D070588-684E-40C7-A963-ADE15039C309}"/>
    <cellStyle name="Normal 5 3 3 2 2 6 4" xfId="11576" xr:uid="{A1E5CF9C-19DF-4B96-B80D-27EA77A6432B}"/>
    <cellStyle name="Normal 5 3 3 2 2 7" xfId="2597" xr:uid="{00000000-0005-0000-0000-00009C190000}"/>
    <cellStyle name="Normal 5 3 3 2 2 7 2" xfId="6880" xr:uid="{00000000-0005-0000-0000-00009D190000}"/>
    <cellStyle name="Normal 5 3 3 2 2 7 2 2" xfId="16206" xr:uid="{42B2C39F-BF2D-4777-A5BC-A29956DD02C2}"/>
    <cellStyle name="Normal 5 3 3 2 2 7 3" xfId="11989" xr:uid="{5BBF30AC-D681-445A-9643-018B08744C2B}"/>
    <cellStyle name="Normal 5 3 3 2 2 8" xfId="4815" xr:uid="{00000000-0005-0000-0000-00009E190000}"/>
    <cellStyle name="Normal 5 3 3 2 2 8 2" xfId="14141" xr:uid="{4693E51C-50EC-4A16-9330-CEEEB3CD8C42}"/>
    <cellStyle name="Normal 5 3 3 2 2 9" xfId="8935" xr:uid="{94B8766B-0DD5-4CC7-9403-D37FC711344B}"/>
    <cellStyle name="Normal 5 3 3 2 2 9 2" xfId="18259" xr:uid="{08ED703A-6A9F-4BFC-B6B5-C003602B0AB9}"/>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3CBF4325-3A41-42BA-91AF-CE76A5A9500D}"/>
    <cellStyle name="Normal 5 3 3 2 3 2 2 3" xfId="12484" xr:uid="{E7B1584E-E380-4274-B375-4BB56D8F2929}"/>
    <cellStyle name="Normal 5 3 3 2 3 2 3" xfId="5230" xr:uid="{00000000-0005-0000-0000-0000A3190000}"/>
    <cellStyle name="Normal 5 3 3 2 3 2 3 2" xfId="14556" xr:uid="{F5D479D7-9657-4545-A8EF-84952FF43550}"/>
    <cellStyle name="Normal 5 3 3 2 3 2 4" xfId="9464" xr:uid="{6A182EEF-0879-47AD-839A-17D560B4AF3D}"/>
    <cellStyle name="Normal 5 3 3 2 3 2 4 2" xfId="18779" xr:uid="{8294A440-0917-40DD-808A-73193AB48850}"/>
    <cellStyle name="Normal 5 3 3 2 3 2 5" xfId="10339" xr:uid="{564438D3-614C-4FEA-9CBE-61A5BC98F4E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A453A696-F0D2-48D4-8B2A-32BFC5FA458D}"/>
    <cellStyle name="Normal 5 3 3 2 3 3 2 3" xfId="12897" xr:uid="{EA8C9541-2612-4870-BAFF-2681CD9D8E6A}"/>
    <cellStyle name="Normal 5 3 3 2 3 3 3" xfId="5643" xr:uid="{00000000-0005-0000-0000-0000A7190000}"/>
    <cellStyle name="Normal 5 3 3 2 3 3 3 2" xfId="14969" xr:uid="{A492BE8A-5E6A-4ACC-A631-DC84ED9B4740}"/>
    <cellStyle name="Normal 5 3 3 2 3 3 4" xfId="10752" xr:uid="{3E571308-6154-4A56-B147-B0129AD0DA16}"/>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73FF34A0-1758-49F7-996B-34F5AC5D545F}"/>
    <cellStyle name="Normal 5 3 3 2 3 4 2 3" xfId="13310" xr:uid="{8D4F6151-F598-47EF-9D08-F9337EC29B3B}"/>
    <cellStyle name="Normal 5 3 3 2 3 4 3" xfId="6056" xr:uid="{00000000-0005-0000-0000-0000AB190000}"/>
    <cellStyle name="Normal 5 3 3 2 3 4 3 2" xfId="15382" xr:uid="{F78C6FA7-95BE-427C-8471-BC5F567DC7B6}"/>
    <cellStyle name="Normal 5 3 3 2 3 4 4" xfId="11165" xr:uid="{A72B7B38-99B0-4AA9-8678-67E2C1579356}"/>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31B01A9E-9DD7-4976-90CF-AEA37E32A927}"/>
    <cellStyle name="Normal 5 3 3 2 3 5 2 3" xfId="13723" xr:uid="{D5B8642B-867D-43F4-B1E1-D5252E9DAD7C}"/>
    <cellStyle name="Normal 5 3 3 2 3 5 3" xfId="6469" xr:uid="{00000000-0005-0000-0000-0000AF190000}"/>
    <cellStyle name="Normal 5 3 3 2 3 5 3 2" xfId="15795" xr:uid="{12C8201D-2731-4ECD-93DA-AE8F42574DF4}"/>
    <cellStyle name="Normal 5 3 3 2 3 5 4" xfId="11578" xr:uid="{053AFF89-52D7-4264-B06C-F1F94EA17F44}"/>
    <cellStyle name="Normal 5 3 3 2 3 6" xfId="2599" xr:uid="{00000000-0005-0000-0000-0000B0190000}"/>
    <cellStyle name="Normal 5 3 3 2 3 6 2" xfId="6882" xr:uid="{00000000-0005-0000-0000-0000B1190000}"/>
    <cellStyle name="Normal 5 3 3 2 3 6 2 2" xfId="16208" xr:uid="{F829DFEF-EA21-4CF8-8268-B0FA73073E30}"/>
    <cellStyle name="Normal 5 3 3 2 3 6 3" xfId="11991" xr:uid="{BFEC27B7-59FE-49C2-8A99-910BFB630C89}"/>
    <cellStyle name="Normal 5 3 3 2 3 7" xfId="4817" xr:uid="{00000000-0005-0000-0000-0000B2190000}"/>
    <cellStyle name="Normal 5 3 3 2 3 7 2" xfId="14143" xr:uid="{B8FCD31F-569C-4FA9-969E-F1AAEC34084D}"/>
    <cellStyle name="Normal 5 3 3 2 3 8" xfId="9039" xr:uid="{84D80CE6-A0CA-4841-8673-26EA7EC6806D}"/>
    <cellStyle name="Normal 5 3 3 2 3 8 2" xfId="18363" xr:uid="{1FDC7BA1-38E9-4ACF-9C6D-0FC1BD331BE2}"/>
    <cellStyle name="Normal 5 3 3 2 3 9" xfId="9926" xr:uid="{1E32D7B9-BBBE-4A0B-8CD0-34625EEF6187}"/>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FC1FD352-F295-42EE-B372-CBF4DCAADFA6}"/>
    <cellStyle name="Normal 5 3 3 2 4 2 3" xfId="12481" xr:uid="{6F4B61E7-BD71-46E3-9626-6A2D2CF043C9}"/>
    <cellStyle name="Normal 5 3 3 2 4 3" xfId="5227" xr:uid="{00000000-0005-0000-0000-0000B6190000}"/>
    <cellStyle name="Normal 5 3 3 2 4 3 2" xfId="14553" xr:uid="{97E9D2A5-2E7C-42CD-B9AB-8914C69E7497}"/>
    <cellStyle name="Normal 5 3 3 2 4 4" xfId="9257" xr:uid="{E6656214-6E5B-491F-B1E3-227CB6568726}"/>
    <cellStyle name="Normal 5 3 3 2 4 4 2" xfId="18572" xr:uid="{581E2DDF-1715-4EE3-B42A-85FB0DDCF5B8}"/>
    <cellStyle name="Normal 5 3 3 2 4 5" xfId="10336" xr:uid="{460FD7B1-8E74-408F-AB5D-31C3804B1BBA}"/>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90BE45F4-AAE4-447A-A8C8-ACFC0BE2393E}"/>
    <cellStyle name="Normal 5 3 3 2 5 2 3" xfId="12894" xr:uid="{2E09D684-3014-4FD9-AF43-DDD8B423CE9E}"/>
    <cellStyle name="Normal 5 3 3 2 5 3" xfId="5640" xr:uid="{00000000-0005-0000-0000-0000BA190000}"/>
    <cellStyle name="Normal 5 3 3 2 5 3 2" xfId="14966" xr:uid="{A6364CB9-003C-402E-9B55-67B6F0999B9A}"/>
    <cellStyle name="Normal 5 3 3 2 5 4" xfId="10749" xr:uid="{79BF95D4-2DC2-4025-8945-EE5EA2754190}"/>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F4FA475D-98BD-4E6A-9B01-6EDED99D786A}"/>
    <cellStyle name="Normal 5 3 3 2 6 2 3" xfId="13307" xr:uid="{70E38932-6349-417C-AEE6-23B1EF5071A0}"/>
    <cellStyle name="Normal 5 3 3 2 6 3" xfId="6053" xr:uid="{00000000-0005-0000-0000-0000BE190000}"/>
    <cellStyle name="Normal 5 3 3 2 6 3 2" xfId="15379" xr:uid="{D7464F08-5833-41E0-88EA-BAC1A6ECC240}"/>
    <cellStyle name="Normal 5 3 3 2 6 4" xfId="11162" xr:uid="{2E7FCB44-4A25-4AC7-93C0-864BAE1CFF78}"/>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B0CB980F-F6A3-4812-A401-2DCA9CFC54E5}"/>
    <cellStyle name="Normal 5 3 3 2 7 2 3" xfId="13720" xr:uid="{28ACE9DF-8C67-4EE6-BD2E-50547A5163CA}"/>
    <cellStyle name="Normal 5 3 3 2 7 3" xfId="6466" xr:uid="{00000000-0005-0000-0000-0000C2190000}"/>
    <cellStyle name="Normal 5 3 3 2 7 3 2" xfId="15792" xr:uid="{5CF3CE78-2041-4C8B-B7FB-5E2D2364F9D4}"/>
    <cellStyle name="Normal 5 3 3 2 7 4" xfId="11575" xr:uid="{9B0ED601-E5AD-4C21-ADED-859F6E7A4427}"/>
    <cellStyle name="Normal 5 3 3 2 8" xfId="2596" xr:uid="{00000000-0005-0000-0000-0000C3190000}"/>
    <cellStyle name="Normal 5 3 3 2 8 2" xfId="6879" xr:uid="{00000000-0005-0000-0000-0000C4190000}"/>
    <cellStyle name="Normal 5 3 3 2 8 2 2" xfId="16205" xr:uid="{B7DE6B94-6FE9-4D6D-83EC-630792BE59B4}"/>
    <cellStyle name="Normal 5 3 3 2 8 3" xfId="11988" xr:uid="{B857E05E-6BAC-44BA-88C1-B818BEDD71D3}"/>
    <cellStyle name="Normal 5 3 3 2 9" xfId="4814" xr:uid="{00000000-0005-0000-0000-0000C5190000}"/>
    <cellStyle name="Normal 5 3 3 2 9 2" xfId="14140" xr:uid="{85D4DDB8-1B46-4057-BB6D-665B9208A296}"/>
    <cellStyle name="Normal 5 3 3 3" xfId="446" xr:uid="{00000000-0005-0000-0000-0000C6190000}"/>
    <cellStyle name="Normal 5 3 3 3 10" xfId="9927" xr:uid="{A0CD81BA-8E90-4184-A79E-955FD43C9424}"/>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7A20F49F-6516-445D-BEE6-FF7FD7EB1D66}"/>
    <cellStyle name="Normal 5 3 3 3 2 2 2 3" xfId="12486" xr:uid="{9EB8E649-FC81-4C08-A1FA-E3B77E6075DD}"/>
    <cellStyle name="Normal 5 3 3 3 2 2 3" xfId="5232" xr:uid="{00000000-0005-0000-0000-0000CB190000}"/>
    <cellStyle name="Normal 5 3 3 3 2 2 3 2" xfId="14558" xr:uid="{A90645A4-FFCE-4640-9C73-07BA9BB85D5D}"/>
    <cellStyle name="Normal 5 3 3 3 2 2 4" xfId="9517" xr:uid="{EA62A3B1-8ED5-4A6F-ACE0-B924BC16AA9E}"/>
    <cellStyle name="Normal 5 3 3 3 2 2 4 2" xfId="18832" xr:uid="{427AC38E-2AAF-4CA4-A594-00A5AD6EAB16}"/>
    <cellStyle name="Normal 5 3 3 3 2 2 5" xfId="10341" xr:uid="{57672027-FBE6-4544-82C6-1B1C4141A42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82A469BB-E5BE-4154-8789-8A99BFA5C192}"/>
    <cellStyle name="Normal 5 3 3 3 2 3 2 3" xfId="12899" xr:uid="{A894B34E-4E7D-43A5-AC77-9767F6330BF7}"/>
    <cellStyle name="Normal 5 3 3 3 2 3 3" xfId="5645" xr:uid="{00000000-0005-0000-0000-0000CF190000}"/>
    <cellStyle name="Normal 5 3 3 3 2 3 3 2" xfId="14971" xr:uid="{14C4351C-7C2C-4E87-A896-8D3F61955B37}"/>
    <cellStyle name="Normal 5 3 3 3 2 3 4" xfId="10754" xr:uid="{65817025-EA31-4809-8445-AAF188CF0139}"/>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D7064897-4942-404D-8DA9-EC6DAC68237F}"/>
    <cellStyle name="Normal 5 3 3 3 2 4 2 3" xfId="13312" xr:uid="{158C5BEF-809E-4F55-85C1-627954035943}"/>
    <cellStyle name="Normal 5 3 3 3 2 4 3" xfId="6058" xr:uid="{00000000-0005-0000-0000-0000D3190000}"/>
    <cellStyle name="Normal 5 3 3 3 2 4 3 2" xfId="15384" xr:uid="{EBC55FBA-EF58-47EB-A48D-356FF4AFDF0F}"/>
    <cellStyle name="Normal 5 3 3 3 2 4 4" xfId="11167" xr:uid="{1DA83D1B-B54E-45DD-9325-CB0E1BFDA385}"/>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66309621-BD21-4C4E-BF12-EDEB80FA8A71}"/>
    <cellStyle name="Normal 5 3 3 3 2 5 2 3" xfId="13725" xr:uid="{C254CA2B-B613-45F7-BF8F-B45C8B61871F}"/>
    <cellStyle name="Normal 5 3 3 3 2 5 3" xfId="6471" xr:uid="{00000000-0005-0000-0000-0000D7190000}"/>
    <cellStyle name="Normal 5 3 3 3 2 5 3 2" xfId="15797" xr:uid="{18EF2794-F0A9-4DB9-9E68-35713D060F75}"/>
    <cellStyle name="Normal 5 3 3 3 2 5 4" xfId="11580" xr:uid="{3B03CB92-EC80-408A-88BD-4B3C52AF98AA}"/>
    <cellStyle name="Normal 5 3 3 3 2 6" xfId="2601" xr:uid="{00000000-0005-0000-0000-0000D8190000}"/>
    <cellStyle name="Normal 5 3 3 3 2 6 2" xfId="6884" xr:uid="{00000000-0005-0000-0000-0000D9190000}"/>
    <cellStyle name="Normal 5 3 3 3 2 6 2 2" xfId="16210" xr:uid="{03B0F20D-7733-46BB-9547-85ED62F37AC0}"/>
    <cellStyle name="Normal 5 3 3 3 2 6 3" xfId="11993" xr:uid="{E3EDD912-04C0-4160-9A73-3350F8898ECE}"/>
    <cellStyle name="Normal 5 3 3 3 2 7" xfId="4819" xr:uid="{00000000-0005-0000-0000-0000DA190000}"/>
    <cellStyle name="Normal 5 3 3 3 2 7 2" xfId="14145" xr:uid="{A8B699C5-5380-41E5-A60B-D8A5C47D01AC}"/>
    <cellStyle name="Normal 5 3 3 3 2 8" xfId="9092" xr:uid="{A018BC5E-3880-4BA4-8CFB-322C89A13B5F}"/>
    <cellStyle name="Normal 5 3 3 3 2 8 2" xfId="18416" xr:uid="{0A7E3FCF-FBB7-4BB2-BFBF-355F5506E966}"/>
    <cellStyle name="Normal 5 3 3 3 2 9" xfId="9928" xr:uid="{FE702ED8-2B25-4B1F-A5CA-EDA8740D75F1}"/>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A7DC3B4C-04C6-4D6A-923F-77AA0D0B1561}"/>
    <cellStyle name="Normal 5 3 3 3 3 2 3" xfId="12485" xr:uid="{DD5FA435-8D30-4D1B-8005-36D5A5D41277}"/>
    <cellStyle name="Normal 5 3 3 3 3 3" xfId="5231" xr:uid="{00000000-0005-0000-0000-0000DE190000}"/>
    <cellStyle name="Normal 5 3 3 3 3 3 2" xfId="14557" xr:uid="{5889AF65-241F-4B55-9E79-1D3979B8C339}"/>
    <cellStyle name="Normal 5 3 3 3 3 4" xfId="9310" xr:uid="{D169C31A-17C5-4934-97DF-D90479FD2654}"/>
    <cellStyle name="Normal 5 3 3 3 3 4 2" xfId="18625" xr:uid="{3E867F5C-9259-4B46-A488-E88012E261E5}"/>
    <cellStyle name="Normal 5 3 3 3 3 5" xfId="10340" xr:uid="{FF70BEE9-F604-48EF-87AC-A2E0376619DB}"/>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9E3F6631-3226-458B-A473-A936FEA5036B}"/>
    <cellStyle name="Normal 5 3 3 3 4 2 3" xfId="12898" xr:uid="{33D0798D-CBD4-47E6-B116-97C41DBA5FAC}"/>
    <cellStyle name="Normal 5 3 3 3 4 3" xfId="5644" xr:uid="{00000000-0005-0000-0000-0000E2190000}"/>
    <cellStyle name="Normal 5 3 3 3 4 3 2" xfId="14970" xr:uid="{85CC6D55-9286-44BE-B16A-64BB9D13173D}"/>
    <cellStyle name="Normal 5 3 3 3 4 4" xfId="10753" xr:uid="{D2CDC961-D1AE-4052-9BEF-7F77A5BB8BA5}"/>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2444862F-451E-4329-B247-43DA9A97BA26}"/>
    <cellStyle name="Normal 5 3 3 3 5 2 3" xfId="13311" xr:uid="{3B3F2AF0-9C86-4E45-9F7B-019A52FEA613}"/>
    <cellStyle name="Normal 5 3 3 3 5 3" xfId="6057" xr:uid="{00000000-0005-0000-0000-0000E6190000}"/>
    <cellStyle name="Normal 5 3 3 3 5 3 2" xfId="15383" xr:uid="{B97419F4-E9F0-4ABC-B367-34A1324034FB}"/>
    <cellStyle name="Normal 5 3 3 3 5 4" xfId="11166" xr:uid="{EF629479-B761-4924-8F23-41F9ACDC75A9}"/>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72A64F2E-9461-4CFD-BE02-5834A2B14009}"/>
    <cellStyle name="Normal 5 3 3 3 6 2 3" xfId="13724" xr:uid="{008670EE-AD3D-47C9-ABAC-FB07308E64C2}"/>
    <cellStyle name="Normal 5 3 3 3 6 3" xfId="6470" xr:uid="{00000000-0005-0000-0000-0000EA190000}"/>
    <cellStyle name="Normal 5 3 3 3 6 3 2" xfId="15796" xr:uid="{26DE020E-3D5F-4FFC-886E-7E151D54DA9B}"/>
    <cellStyle name="Normal 5 3 3 3 6 4" xfId="11579" xr:uid="{F4BF86D2-2F31-42A9-97E6-A9168AE567C3}"/>
    <cellStyle name="Normal 5 3 3 3 7" xfId="2600" xr:uid="{00000000-0005-0000-0000-0000EB190000}"/>
    <cellStyle name="Normal 5 3 3 3 7 2" xfId="6883" xr:uid="{00000000-0005-0000-0000-0000EC190000}"/>
    <cellStyle name="Normal 5 3 3 3 7 2 2" xfId="16209" xr:uid="{4DFBB22C-0EE2-4418-A47B-C9BAAC4B28BD}"/>
    <cellStyle name="Normal 5 3 3 3 7 3" xfId="11992" xr:uid="{2EC6FD34-E096-49A5-AF31-8AD9E38E87B1}"/>
    <cellStyle name="Normal 5 3 3 3 8" xfId="4818" xr:uid="{00000000-0005-0000-0000-0000ED190000}"/>
    <cellStyle name="Normal 5 3 3 3 8 2" xfId="14144" xr:uid="{7F3167FF-04A3-4836-B80E-50537B9FE03F}"/>
    <cellStyle name="Normal 5 3 3 3 9" xfId="8885" xr:uid="{BFA59703-C126-4DE9-A819-9190501D5C5B}"/>
    <cellStyle name="Normal 5 3 3 3 9 2" xfId="18209" xr:uid="{713E8D3C-8A9E-47EE-88C1-09F3C5241F76}"/>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8709CE67-6D88-44E0-A947-21760485753B}"/>
    <cellStyle name="Normal 5 3 3 4 2 2 3" xfId="12487" xr:uid="{20102C3E-C1B3-45E1-A01B-52FDD3696827}"/>
    <cellStyle name="Normal 5 3 3 4 2 3" xfId="5233" xr:uid="{00000000-0005-0000-0000-0000F2190000}"/>
    <cellStyle name="Normal 5 3 3 4 2 3 2" xfId="14559" xr:uid="{EB188B28-DE06-49EC-8837-CB2417D79F89}"/>
    <cellStyle name="Normal 5 3 3 4 2 4" xfId="9414" xr:uid="{BD781A4C-FDA7-4D11-87F3-3D38EC19B37A}"/>
    <cellStyle name="Normal 5 3 3 4 2 4 2" xfId="18729" xr:uid="{37BA82F1-1372-4315-BE30-F44D8525F897}"/>
    <cellStyle name="Normal 5 3 3 4 2 5" xfId="10342" xr:uid="{5CB78A1F-6885-451C-A883-F51B89EE9929}"/>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4EA47D2E-D7DF-49DD-883F-50BC2A86007A}"/>
    <cellStyle name="Normal 5 3 3 4 3 2 3" xfId="12900" xr:uid="{E0A8CB94-5A8D-4B95-9126-F45731AFD48C}"/>
    <cellStyle name="Normal 5 3 3 4 3 3" xfId="5646" xr:uid="{00000000-0005-0000-0000-0000F6190000}"/>
    <cellStyle name="Normal 5 3 3 4 3 3 2" xfId="14972" xr:uid="{92183C36-8302-472A-B4C3-EB93BF1352C3}"/>
    <cellStyle name="Normal 5 3 3 4 3 4" xfId="10755" xr:uid="{7C114B41-AB4B-40D2-8BF7-0A2381370A51}"/>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28748DBB-F7F7-4E3B-95CE-71F02046D400}"/>
    <cellStyle name="Normal 5 3 3 4 4 2 3" xfId="13313" xr:uid="{5993BE02-7C71-4029-AA60-5AC10E38D14E}"/>
    <cellStyle name="Normal 5 3 3 4 4 3" xfId="6059" xr:uid="{00000000-0005-0000-0000-0000FA190000}"/>
    <cellStyle name="Normal 5 3 3 4 4 3 2" xfId="15385" xr:uid="{7DB26B70-9655-41EC-B492-C85BC35F41D8}"/>
    <cellStyle name="Normal 5 3 3 4 4 4" xfId="11168" xr:uid="{96A97E94-88F2-4DC2-B0EF-AED92F7DE930}"/>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3CF13891-2C1E-40DF-A4E0-98605EC70ACA}"/>
    <cellStyle name="Normal 5 3 3 4 5 2 3" xfId="13726" xr:uid="{BC7D1806-0396-43B8-A057-DDE592AFBADB}"/>
    <cellStyle name="Normal 5 3 3 4 5 3" xfId="6472" xr:uid="{00000000-0005-0000-0000-0000FE190000}"/>
    <cellStyle name="Normal 5 3 3 4 5 3 2" xfId="15798" xr:uid="{C24983F3-F9AA-4AD2-886E-1595DCF363ED}"/>
    <cellStyle name="Normal 5 3 3 4 5 4" xfId="11581" xr:uid="{71A68BA1-A8B3-4E21-975A-DC20DA1F4C50}"/>
    <cellStyle name="Normal 5 3 3 4 6" xfId="2602" xr:uid="{00000000-0005-0000-0000-0000FF190000}"/>
    <cellStyle name="Normal 5 3 3 4 6 2" xfId="6885" xr:uid="{00000000-0005-0000-0000-0000001A0000}"/>
    <cellStyle name="Normal 5 3 3 4 6 2 2" xfId="16211" xr:uid="{82D6DBA3-1A3B-4E1B-A77C-DADD1EED26AB}"/>
    <cellStyle name="Normal 5 3 3 4 6 3" xfId="11994" xr:uid="{809106F0-223C-4166-8DD0-028E5EA97674}"/>
    <cellStyle name="Normal 5 3 3 4 7" xfId="4820" xr:uid="{00000000-0005-0000-0000-0000011A0000}"/>
    <cellStyle name="Normal 5 3 3 4 7 2" xfId="14146" xr:uid="{D01B53B4-129F-49F3-8097-B2F90C9A0943}"/>
    <cellStyle name="Normal 5 3 3 4 8" xfId="8989" xr:uid="{20FA1483-98E6-46C4-B00B-4EAF7957981D}"/>
    <cellStyle name="Normal 5 3 3 4 8 2" xfId="18313" xr:uid="{FC429C4A-D313-4561-95B4-944FDD62564F}"/>
    <cellStyle name="Normal 5 3 3 4 9" xfId="9929" xr:uid="{4CD60B7B-147B-4E06-8122-51362224FF55}"/>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2B7941DA-026F-4CA5-A390-320ED23A33C0}"/>
    <cellStyle name="Normal 5 3 3 5 2 3" xfId="12480" xr:uid="{A128548F-B369-469D-B30C-56E6C4C7EE34}"/>
    <cellStyle name="Normal 5 3 3 5 3" xfId="5226" xr:uid="{00000000-0005-0000-0000-0000051A0000}"/>
    <cellStyle name="Normal 5 3 3 5 3 2" xfId="14552" xr:uid="{F82C5FF3-DC50-4D5C-B093-CF1691817A40}"/>
    <cellStyle name="Normal 5 3 3 5 4" xfId="9206" xr:uid="{CA749CBB-EAB5-483B-862D-D7B95A23D45C}"/>
    <cellStyle name="Normal 5 3 3 5 4 2" xfId="18522" xr:uid="{DA11B5AE-6FDA-4759-8395-9E893EE44CAF}"/>
    <cellStyle name="Normal 5 3 3 5 5" xfId="10335" xr:uid="{4D153B92-F7E2-4188-9111-0833879026FE}"/>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9470ADFF-F4B5-49C3-B3E8-07CBB317E1F1}"/>
    <cellStyle name="Normal 5 3 3 6 2 3" xfId="12893" xr:uid="{73E4EE4E-0943-4C74-BDB4-15785D7B8250}"/>
    <cellStyle name="Normal 5 3 3 6 3" xfId="5639" xr:uid="{00000000-0005-0000-0000-0000091A0000}"/>
    <cellStyle name="Normal 5 3 3 6 3 2" xfId="14965" xr:uid="{0C108619-050B-4779-9B7B-0DFF06C444BE}"/>
    <cellStyle name="Normal 5 3 3 6 4" xfId="10748" xr:uid="{D8B813DF-B3E8-40BA-B387-535B571E6A12}"/>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6B70D581-1032-43C7-BFC1-C59C7D8C82A7}"/>
    <cellStyle name="Normal 5 3 3 7 2 3" xfId="13306" xr:uid="{3AA088FF-A1E9-4076-8FF7-EAEB5F674AC7}"/>
    <cellStyle name="Normal 5 3 3 7 3" xfId="6052" xr:uid="{00000000-0005-0000-0000-00000D1A0000}"/>
    <cellStyle name="Normal 5 3 3 7 3 2" xfId="15378" xr:uid="{FF406A2D-B2EB-4136-A366-15C7521641C4}"/>
    <cellStyle name="Normal 5 3 3 7 4" xfId="11161" xr:uid="{ABE36986-D78B-44F6-8087-AD0877C519D7}"/>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2B79BF8F-B820-4981-A6AF-0F6A43EFB1BB}"/>
    <cellStyle name="Normal 5 3 3 8 2 3" xfId="13719" xr:uid="{4B636332-806A-40AF-94DE-40B6789A4750}"/>
    <cellStyle name="Normal 5 3 3 8 3" xfId="6465" xr:uid="{00000000-0005-0000-0000-0000111A0000}"/>
    <cellStyle name="Normal 5 3 3 8 3 2" xfId="15791" xr:uid="{02B1AFB4-2F3C-4ED4-80FE-DBA73BF8729C}"/>
    <cellStyle name="Normal 5 3 3 8 4" xfId="11574" xr:uid="{F1DAD2A8-53AD-43DF-AC37-C45CCC134770}"/>
    <cellStyle name="Normal 5 3 3 9" xfId="2595" xr:uid="{00000000-0005-0000-0000-0000121A0000}"/>
    <cellStyle name="Normal 5 3 3 9 2" xfId="6878" xr:uid="{00000000-0005-0000-0000-0000131A0000}"/>
    <cellStyle name="Normal 5 3 3 9 2 2" xfId="16204" xr:uid="{6E58B5C7-F3E1-48E7-857A-7921569ADDC8}"/>
    <cellStyle name="Normal 5 3 3 9 3" xfId="11987" xr:uid="{51C8DA4B-21E4-4F50-BF89-1996B8154AD9}"/>
    <cellStyle name="Normal 5 3 4" xfId="449" xr:uid="{00000000-0005-0000-0000-0000141A0000}"/>
    <cellStyle name="Normal 5 3 4 10" xfId="8831" xr:uid="{39AD872D-FBC2-4C4A-B537-79F8014E4247}"/>
    <cellStyle name="Normal 5 3 4 10 2" xfId="18155" xr:uid="{83FD7441-1579-4CF8-A447-A4FCEDCB7D27}"/>
    <cellStyle name="Normal 5 3 4 11" xfId="9930" xr:uid="{BF9C7268-4A4E-4861-BFD0-2277531B6360}"/>
    <cellStyle name="Normal 5 3 4 2" xfId="450" xr:uid="{00000000-0005-0000-0000-0000151A0000}"/>
    <cellStyle name="Normal 5 3 4 2 10" xfId="9931" xr:uid="{2C54A093-DF69-4C34-84E1-5693CA4EE967}"/>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38C09C7C-55B8-49DF-AFAE-3A480435E0C0}"/>
    <cellStyle name="Normal 5 3 4 2 2 2 2 3" xfId="12490" xr:uid="{CEDC0AF6-7580-4587-9ADA-F3F274ADF6FB}"/>
    <cellStyle name="Normal 5 3 4 2 2 2 3" xfId="5236" xr:uid="{00000000-0005-0000-0000-00001A1A0000}"/>
    <cellStyle name="Normal 5 3 4 2 2 2 3 2" xfId="14562" xr:uid="{729E9BC0-B103-4D16-BC14-A03547F7B96E}"/>
    <cellStyle name="Normal 5 3 4 2 2 2 4" xfId="9566" xr:uid="{D483C248-9680-462F-989C-42C712CD6EB7}"/>
    <cellStyle name="Normal 5 3 4 2 2 2 4 2" xfId="18881" xr:uid="{2E891D1B-44CA-43FE-A65E-A5C7D66C7145}"/>
    <cellStyle name="Normal 5 3 4 2 2 2 5" xfId="10345" xr:uid="{2A4A4098-5CAC-4B77-B890-B60A249E057E}"/>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A5BCA8EB-E4D2-4A68-88C3-0030FCB73CFD}"/>
    <cellStyle name="Normal 5 3 4 2 2 3 2 3" xfId="12903" xr:uid="{609573F9-4488-49BD-8BF0-8DF620A7B4DC}"/>
    <cellStyle name="Normal 5 3 4 2 2 3 3" xfId="5649" xr:uid="{00000000-0005-0000-0000-00001E1A0000}"/>
    <cellStyle name="Normal 5 3 4 2 2 3 3 2" xfId="14975" xr:uid="{BED4A94B-0A84-4D68-9EA8-624B3E5A0AAB}"/>
    <cellStyle name="Normal 5 3 4 2 2 3 4" xfId="10758" xr:uid="{5C3200DC-1915-429C-A4BB-CFD13A4592FC}"/>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68E21343-390B-4C6A-B434-B6B5DD0F43C2}"/>
    <cellStyle name="Normal 5 3 4 2 2 4 2 3" xfId="13316" xr:uid="{1CCDE80D-4CF5-4A52-9B24-57FFCF345843}"/>
    <cellStyle name="Normal 5 3 4 2 2 4 3" xfId="6062" xr:uid="{00000000-0005-0000-0000-0000221A0000}"/>
    <cellStyle name="Normal 5 3 4 2 2 4 3 2" xfId="15388" xr:uid="{73F5FDB5-C64A-4617-9FF1-11BAFC0DE9DA}"/>
    <cellStyle name="Normal 5 3 4 2 2 4 4" xfId="11171" xr:uid="{9B2FB393-A5A1-45F3-803A-2CCA40454B52}"/>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7EFB3C74-0DFA-470D-A564-F8CA728C617C}"/>
    <cellStyle name="Normal 5 3 4 2 2 5 2 3" xfId="13729" xr:uid="{5B1643B0-024C-4AB0-A2D7-70626739E605}"/>
    <cellStyle name="Normal 5 3 4 2 2 5 3" xfId="6475" xr:uid="{00000000-0005-0000-0000-0000261A0000}"/>
    <cellStyle name="Normal 5 3 4 2 2 5 3 2" xfId="15801" xr:uid="{502E355F-8AA0-4570-9CC9-BDA3127829A9}"/>
    <cellStyle name="Normal 5 3 4 2 2 5 4" xfId="11584" xr:uid="{1ED86C07-4D7A-49D2-8F51-C426FEF9257F}"/>
    <cellStyle name="Normal 5 3 4 2 2 6" xfId="2605" xr:uid="{00000000-0005-0000-0000-0000271A0000}"/>
    <cellStyle name="Normal 5 3 4 2 2 6 2" xfId="6888" xr:uid="{00000000-0005-0000-0000-0000281A0000}"/>
    <cellStyle name="Normal 5 3 4 2 2 6 2 2" xfId="16214" xr:uid="{1E32EC48-3BF1-47CB-B23D-5CD6B9F733FB}"/>
    <cellStyle name="Normal 5 3 4 2 2 6 3" xfId="11997" xr:uid="{6017941C-B786-4FC0-B69A-9625EA57B1BC}"/>
    <cellStyle name="Normal 5 3 4 2 2 7" xfId="4823" xr:uid="{00000000-0005-0000-0000-0000291A0000}"/>
    <cellStyle name="Normal 5 3 4 2 2 7 2" xfId="14149" xr:uid="{D9BA8C04-0E0B-47CC-A784-BB3207F426AD}"/>
    <cellStyle name="Normal 5 3 4 2 2 8" xfId="9141" xr:uid="{6B63A6D0-0E60-498B-8E53-451D5144533A}"/>
    <cellStyle name="Normal 5 3 4 2 2 8 2" xfId="18465" xr:uid="{54597EF7-F1D4-4722-8BEC-4D8BB76142DD}"/>
    <cellStyle name="Normal 5 3 4 2 2 9" xfId="9932" xr:uid="{E4960356-4B9E-40DB-8E52-74A1C3FB7379}"/>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B2245C98-B4DB-4398-B82D-E363D6D37F64}"/>
    <cellStyle name="Normal 5 3 4 2 3 2 3" xfId="12489" xr:uid="{727C396D-5D0B-4D78-AECD-C7C5C99F0608}"/>
    <cellStyle name="Normal 5 3 4 2 3 3" xfId="5235" xr:uid="{00000000-0005-0000-0000-00002D1A0000}"/>
    <cellStyle name="Normal 5 3 4 2 3 3 2" xfId="14561" xr:uid="{F19B0AB3-B02C-4803-AB39-E63722D01C87}"/>
    <cellStyle name="Normal 5 3 4 2 3 4" xfId="9359" xr:uid="{FAC41203-2BC4-411F-9296-10781BA4F1AB}"/>
    <cellStyle name="Normal 5 3 4 2 3 4 2" xfId="18674" xr:uid="{40B25ACD-7757-4895-BE82-D6D9422F28FB}"/>
    <cellStyle name="Normal 5 3 4 2 3 5" xfId="10344" xr:uid="{B8C4DBF0-1CD1-49D5-B085-E83B5A18E695}"/>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9EAFD6AE-1912-407B-AD0E-6A5C78BB8CD1}"/>
    <cellStyle name="Normal 5 3 4 2 4 2 3" xfId="12902" xr:uid="{019EFB15-EE36-4E92-B193-501AAF6DF02D}"/>
    <cellStyle name="Normal 5 3 4 2 4 3" xfId="5648" xr:uid="{00000000-0005-0000-0000-0000311A0000}"/>
    <cellStyle name="Normal 5 3 4 2 4 3 2" xfId="14974" xr:uid="{E1813FC1-92B7-4A5E-B5F3-511B6F1AE9AA}"/>
    <cellStyle name="Normal 5 3 4 2 4 4" xfId="10757" xr:uid="{AAEA5D1B-1741-48F8-9EDA-938FC54DD17D}"/>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C3A3A69A-7677-46FD-9B8E-A0E6F9961866}"/>
    <cellStyle name="Normal 5 3 4 2 5 2 3" xfId="13315" xr:uid="{EE4A2747-5256-4381-98FC-0F0FACDC2496}"/>
    <cellStyle name="Normal 5 3 4 2 5 3" xfId="6061" xr:uid="{00000000-0005-0000-0000-0000351A0000}"/>
    <cellStyle name="Normal 5 3 4 2 5 3 2" xfId="15387" xr:uid="{A8F5D84C-A3C9-484D-B93C-675512CCCF90}"/>
    <cellStyle name="Normal 5 3 4 2 5 4" xfId="11170" xr:uid="{822AC94A-B1F4-4B3D-AB30-53ED610442E7}"/>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8E3A2D33-12CB-46DB-BB18-515C3DB71C04}"/>
    <cellStyle name="Normal 5 3 4 2 6 2 3" xfId="13728" xr:uid="{10E72ACB-A883-4F18-B2A2-042EA8633257}"/>
    <cellStyle name="Normal 5 3 4 2 6 3" xfId="6474" xr:uid="{00000000-0005-0000-0000-0000391A0000}"/>
    <cellStyle name="Normal 5 3 4 2 6 3 2" xfId="15800" xr:uid="{627363A1-2893-47CC-9E7C-D36AE88EF236}"/>
    <cellStyle name="Normal 5 3 4 2 6 4" xfId="11583" xr:uid="{B049C6B9-8A62-4C7D-85C9-0975B93D64D7}"/>
    <cellStyle name="Normal 5 3 4 2 7" xfId="2604" xr:uid="{00000000-0005-0000-0000-00003A1A0000}"/>
    <cellStyle name="Normal 5 3 4 2 7 2" xfId="6887" xr:uid="{00000000-0005-0000-0000-00003B1A0000}"/>
    <cellStyle name="Normal 5 3 4 2 7 2 2" xfId="16213" xr:uid="{37FFACA2-D950-47A3-959B-B07B8337181E}"/>
    <cellStyle name="Normal 5 3 4 2 7 3" xfId="11996" xr:uid="{07A5D5F0-5A3B-43A7-A3B3-AB249C8C968D}"/>
    <cellStyle name="Normal 5 3 4 2 8" xfId="4822" xr:uid="{00000000-0005-0000-0000-00003C1A0000}"/>
    <cellStyle name="Normal 5 3 4 2 8 2" xfId="14148" xr:uid="{C8B04F37-2022-4E7F-9765-093E8E58DED3}"/>
    <cellStyle name="Normal 5 3 4 2 9" xfId="8934" xr:uid="{D16D0DF9-4576-4200-8972-8AAD50545E0D}"/>
    <cellStyle name="Normal 5 3 4 2 9 2" xfId="18258" xr:uid="{F29638A5-AF78-4099-B7B0-EBA2DF232944}"/>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FC5C6711-67DB-4727-A29A-6E63BC57EC7E}"/>
    <cellStyle name="Normal 5 3 4 3 2 2 3" xfId="12491" xr:uid="{64A966A1-12A1-47A6-BAD4-C3E381F9B942}"/>
    <cellStyle name="Normal 5 3 4 3 2 3" xfId="5237" xr:uid="{00000000-0005-0000-0000-0000411A0000}"/>
    <cellStyle name="Normal 5 3 4 3 2 3 2" xfId="14563" xr:uid="{706B7CD2-D780-4501-A76C-C65F594F963C}"/>
    <cellStyle name="Normal 5 3 4 3 2 4" xfId="9463" xr:uid="{1CC38E89-013B-404F-9F3E-11BABC37F656}"/>
    <cellStyle name="Normal 5 3 4 3 2 4 2" xfId="18778" xr:uid="{CE37CDD7-1F71-4F3C-9B7C-6C9412A5AB05}"/>
    <cellStyle name="Normal 5 3 4 3 2 5" xfId="10346" xr:uid="{B19C9800-11A2-4D19-A9AC-7642FAE7BC35}"/>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EBFEC9B5-A541-412B-9971-6D8E3F1F16D4}"/>
    <cellStyle name="Normal 5 3 4 3 3 2 3" xfId="12904" xr:uid="{1E2F2F37-6722-4B2F-858A-58D7C1268D38}"/>
    <cellStyle name="Normal 5 3 4 3 3 3" xfId="5650" xr:uid="{00000000-0005-0000-0000-0000451A0000}"/>
    <cellStyle name="Normal 5 3 4 3 3 3 2" xfId="14976" xr:uid="{C2731F46-EB15-4026-91D4-B5D3E87FC97B}"/>
    <cellStyle name="Normal 5 3 4 3 3 4" xfId="10759" xr:uid="{2D7BCE81-CC23-4D2C-8E44-B0902641D7E1}"/>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174F6271-7899-4764-B663-D141C64907AC}"/>
    <cellStyle name="Normal 5 3 4 3 4 2 3" xfId="13317" xr:uid="{C9166BEE-9E9D-417F-907C-4B6A4E910D0E}"/>
    <cellStyle name="Normal 5 3 4 3 4 3" xfId="6063" xr:uid="{00000000-0005-0000-0000-0000491A0000}"/>
    <cellStyle name="Normal 5 3 4 3 4 3 2" xfId="15389" xr:uid="{F91163E2-F37B-4A20-A65D-0A140807E806}"/>
    <cellStyle name="Normal 5 3 4 3 4 4" xfId="11172" xr:uid="{4521EB80-44A1-4A41-A2AD-0E25B50DA0F0}"/>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A38896FA-219F-430B-8FFD-48FFC8CC559E}"/>
    <cellStyle name="Normal 5 3 4 3 5 2 3" xfId="13730" xr:uid="{BA9D5CDB-1391-4C3B-B8AC-7EC39E1AA127}"/>
    <cellStyle name="Normal 5 3 4 3 5 3" xfId="6476" xr:uid="{00000000-0005-0000-0000-00004D1A0000}"/>
    <cellStyle name="Normal 5 3 4 3 5 3 2" xfId="15802" xr:uid="{0126DC64-350D-4861-B688-76B24E6ED6BF}"/>
    <cellStyle name="Normal 5 3 4 3 5 4" xfId="11585" xr:uid="{AB576FB3-49C8-4700-A9C7-713D67DBDF77}"/>
    <cellStyle name="Normal 5 3 4 3 6" xfId="2606" xr:uid="{00000000-0005-0000-0000-00004E1A0000}"/>
    <cellStyle name="Normal 5 3 4 3 6 2" xfId="6889" xr:uid="{00000000-0005-0000-0000-00004F1A0000}"/>
    <cellStyle name="Normal 5 3 4 3 6 2 2" xfId="16215" xr:uid="{FC256A64-F286-426D-9614-102191A05434}"/>
    <cellStyle name="Normal 5 3 4 3 6 3" xfId="11998" xr:uid="{1B080F96-608E-4D52-B60D-37C78CEDCE10}"/>
    <cellStyle name="Normal 5 3 4 3 7" xfId="4824" xr:uid="{00000000-0005-0000-0000-0000501A0000}"/>
    <cellStyle name="Normal 5 3 4 3 7 2" xfId="14150" xr:uid="{ADE352A6-298C-452C-95AC-C0FE247F9294}"/>
    <cellStyle name="Normal 5 3 4 3 8" xfId="9038" xr:uid="{15024032-E3C2-4FDD-B674-481D39A836C5}"/>
    <cellStyle name="Normal 5 3 4 3 8 2" xfId="18362" xr:uid="{1D396410-1BA7-4348-930F-D450573FBD15}"/>
    <cellStyle name="Normal 5 3 4 3 9" xfId="9933" xr:uid="{8E518074-A813-4046-A539-2AFB0DF403DF}"/>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FAD5064B-C22A-4993-A7AA-29407261F65F}"/>
    <cellStyle name="Normal 5 3 4 4 2 3" xfId="12488" xr:uid="{A00E0690-AE09-4D75-961D-37866D78DDB6}"/>
    <cellStyle name="Normal 5 3 4 4 3" xfId="5234" xr:uid="{00000000-0005-0000-0000-0000541A0000}"/>
    <cellStyle name="Normal 5 3 4 4 3 2" xfId="14560" xr:uid="{EBBC3B8F-084E-4C31-AC6B-BD3C588D4E91}"/>
    <cellStyle name="Normal 5 3 4 4 4" xfId="9256" xr:uid="{69A14F57-2B46-4294-8CA5-E21858516C25}"/>
    <cellStyle name="Normal 5 3 4 4 4 2" xfId="18571" xr:uid="{43CFF142-937B-4D8A-A310-E84E34FD8CD3}"/>
    <cellStyle name="Normal 5 3 4 4 5" xfId="10343" xr:uid="{5DF4ACC4-52B0-4729-9D82-0D95A776EC6B}"/>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A0408882-5B00-490A-98B6-FE4686C5AA99}"/>
    <cellStyle name="Normal 5 3 4 5 2 3" xfId="12901" xr:uid="{AA4CE308-2DC2-4F73-88A9-4C551A830BF9}"/>
    <cellStyle name="Normal 5 3 4 5 3" xfId="5647" xr:uid="{00000000-0005-0000-0000-0000581A0000}"/>
    <cellStyle name="Normal 5 3 4 5 3 2" xfId="14973" xr:uid="{41CE401B-0DEA-4362-A249-6361AD2FE873}"/>
    <cellStyle name="Normal 5 3 4 5 4" xfId="10756" xr:uid="{41A16E8E-10AD-439D-874F-788B879B8479}"/>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53DD8248-6A74-4F3D-9131-DE898FCB8CF0}"/>
    <cellStyle name="Normal 5 3 4 6 2 3" xfId="13314" xr:uid="{B5D84F9A-3C94-470E-85C0-916683384DAD}"/>
    <cellStyle name="Normal 5 3 4 6 3" xfId="6060" xr:uid="{00000000-0005-0000-0000-00005C1A0000}"/>
    <cellStyle name="Normal 5 3 4 6 3 2" xfId="15386" xr:uid="{AA528D8F-5FAF-454B-917F-E453607C4B9E}"/>
    <cellStyle name="Normal 5 3 4 6 4" xfId="11169" xr:uid="{5E9B8AB6-1A41-41E0-AAA4-A1A9666F967A}"/>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54D688EA-D2C9-41A0-B06F-B4A9E62874FF}"/>
    <cellStyle name="Normal 5 3 4 7 2 3" xfId="13727" xr:uid="{2D97DFC6-1B1E-4CA2-ACBE-C6989CE94F58}"/>
    <cellStyle name="Normal 5 3 4 7 3" xfId="6473" xr:uid="{00000000-0005-0000-0000-0000601A0000}"/>
    <cellStyle name="Normal 5 3 4 7 3 2" xfId="15799" xr:uid="{3F230FDD-D48C-4DF6-A109-56807E6632C8}"/>
    <cellStyle name="Normal 5 3 4 7 4" xfId="11582" xr:uid="{0F17D0BB-4F92-4CDC-92E3-41ED4D0739D9}"/>
    <cellStyle name="Normal 5 3 4 8" xfId="2603" xr:uid="{00000000-0005-0000-0000-0000611A0000}"/>
    <cellStyle name="Normal 5 3 4 8 2" xfId="6886" xr:uid="{00000000-0005-0000-0000-0000621A0000}"/>
    <cellStyle name="Normal 5 3 4 8 2 2" xfId="16212" xr:uid="{4F3CCB6B-8079-4610-8288-68DF6372DB4D}"/>
    <cellStyle name="Normal 5 3 4 8 3" xfId="11995" xr:uid="{9FBA3F75-CC2A-46C5-AB81-FC0CCD4C0759}"/>
    <cellStyle name="Normal 5 3 4 9" xfId="4821" xr:uid="{00000000-0005-0000-0000-0000631A0000}"/>
    <cellStyle name="Normal 5 3 4 9 2" xfId="14147" xr:uid="{EAE7E193-D50B-4FEB-9D2E-4B1AFF13CEB9}"/>
    <cellStyle name="Normal 5 3 5" xfId="453" xr:uid="{00000000-0005-0000-0000-0000641A0000}"/>
    <cellStyle name="Normal 5 3 5 10" xfId="9934" xr:uid="{344F5A7E-A2D3-400B-92C3-6541E381CF8E}"/>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3AE3B072-5FAD-47C6-9EFB-5B17D9CA79B2}"/>
    <cellStyle name="Normal 5 3 5 2 2 2 3" xfId="12493" xr:uid="{6A693A7F-6369-4DF4-8FF1-D2AF10BC76CB}"/>
    <cellStyle name="Normal 5 3 5 2 2 3" xfId="5239" xr:uid="{00000000-0005-0000-0000-0000691A0000}"/>
    <cellStyle name="Normal 5 3 5 2 2 3 2" xfId="14565" xr:uid="{FD660675-CA4D-4A55-9CD9-AB4695D1E2F1}"/>
    <cellStyle name="Normal 5 3 5 2 2 4" xfId="9485" xr:uid="{E88A0512-4544-44F7-B02F-696DEB177F8E}"/>
    <cellStyle name="Normal 5 3 5 2 2 4 2" xfId="18800" xr:uid="{FCC0BF3E-F6CB-4C93-8A73-C1BBFD3A0B8D}"/>
    <cellStyle name="Normal 5 3 5 2 2 5" xfId="10348" xr:uid="{6377BDF0-764F-480F-9D90-B78B31B3B321}"/>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7F5580E1-2282-47B9-BDC3-52E9100DF940}"/>
    <cellStyle name="Normal 5 3 5 2 3 2 3" xfId="12906" xr:uid="{9330C86B-86A3-4B38-8CA8-FB21A3B2C9F4}"/>
    <cellStyle name="Normal 5 3 5 2 3 3" xfId="5652" xr:uid="{00000000-0005-0000-0000-00006D1A0000}"/>
    <cellStyle name="Normal 5 3 5 2 3 3 2" xfId="14978" xr:uid="{320C77B0-CD7A-4A1A-BA07-4A7121E1ECA9}"/>
    <cellStyle name="Normal 5 3 5 2 3 4" xfId="10761" xr:uid="{06AA3740-7B53-4BE8-AC90-BE115EEB4123}"/>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704E523E-C80B-4861-A1DC-D8D6A4E7EA57}"/>
    <cellStyle name="Normal 5 3 5 2 4 2 3" xfId="13319" xr:uid="{D6AE6D67-A529-456F-B891-C936938FCB50}"/>
    <cellStyle name="Normal 5 3 5 2 4 3" xfId="6065" xr:uid="{00000000-0005-0000-0000-0000711A0000}"/>
    <cellStyle name="Normal 5 3 5 2 4 3 2" xfId="15391" xr:uid="{4EEE7277-1A02-46CA-BB5A-1DF84B69A97F}"/>
    <cellStyle name="Normal 5 3 5 2 4 4" xfId="11174" xr:uid="{993D67B3-5A28-4819-9148-C36E1B377565}"/>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ECAB7F28-2CA7-459B-BF9A-1B26B46B185B}"/>
    <cellStyle name="Normal 5 3 5 2 5 2 3" xfId="13732" xr:uid="{D12AD33D-A175-4C5E-8A47-3BCC822D6879}"/>
    <cellStyle name="Normal 5 3 5 2 5 3" xfId="6478" xr:uid="{00000000-0005-0000-0000-0000751A0000}"/>
    <cellStyle name="Normal 5 3 5 2 5 3 2" xfId="15804" xr:uid="{4E1400B4-25C0-4686-94DB-130F42D2F470}"/>
    <cellStyle name="Normal 5 3 5 2 5 4" xfId="11587" xr:uid="{4A1D6F8C-182C-4E6F-83F7-385019BEB9B4}"/>
    <cellStyle name="Normal 5 3 5 2 6" xfId="2608" xr:uid="{00000000-0005-0000-0000-0000761A0000}"/>
    <cellStyle name="Normal 5 3 5 2 6 2" xfId="6891" xr:uid="{00000000-0005-0000-0000-0000771A0000}"/>
    <cellStyle name="Normal 5 3 5 2 6 2 2" xfId="16217" xr:uid="{1B7405A3-A17F-45E6-A9A8-2AB1576AE9CE}"/>
    <cellStyle name="Normal 5 3 5 2 6 3" xfId="12000" xr:uid="{837D6CCB-09F6-4D7D-850F-4A6D215E8707}"/>
    <cellStyle name="Normal 5 3 5 2 7" xfId="4826" xr:uid="{00000000-0005-0000-0000-0000781A0000}"/>
    <cellStyle name="Normal 5 3 5 2 7 2" xfId="14152" xr:uid="{4CDDE520-0041-4D13-A621-41A53D55226F}"/>
    <cellStyle name="Normal 5 3 5 2 8" xfId="9060" xr:uid="{D76124DC-5753-46E4-97E7-1D76E6E20EEE}"/>
    <cellStyle name="Normal 5 3 5 2 8 2" xfId="18384" xr:uid="{4C777706-D195-4836-93EA-45BE480EBAC1}"/>
    <cellStyle name="Normal 5 3 5 2 9" xfId="9935" xr:uid="{A292C1B1-238C-4B4D-8AE7-73AB7481662F}"/>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8A370AC5-5D4C-47AB-B15E-5DB5DD000A9B}"/>
    <cellStyle name="Normal 5 3 5 3 2 3" xfId="12492" xr:uid="{F16E6B37-3614-412D-B8B2-2827A5E4A7CA}"/>
    <cellStyle name="Normal 5 3 5 3 3" xfId="5238" xr:uid="{00000000-0005-0000-0000-00007C1A0000}"/>
    <cellStyle name="Normal 5 3 5 3 3 2" xfId="14564" xr:uid="{5D5C355E-08F8-4A95-A018-DD4BACF3B9E1}"/>
    <cellStyle name="Normal 5 3 5 3 4" xfId="9278" xr:uid="{6197750A-97CA-41EF-A67C-63E25EE58E9E}"/>
    <cellStyle name="Normal 5 3 5 3 4 2" xfId="18593" xr:uid="{DA1EA42A-F8DF-473E-996C-AA7485BB35B5}"/>
    <cellStyle name="Normal 5 3 5 3 5" xfId="10347" xr:uid="{02775536-EDAF-4458-A5A4-C0B0DE3CE17B}"/>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06BC67E8-DD79-45CB-BBD9-0C52C690A908}"/>
    <cellStyle name="Normal 5 3 5 4 2 3" xfId="12905" xr:uid="{0C4F46E9-FB79-400B-B213-F5BC5393A12D}"/>
    <cellStyle name="Normal 5 3 5 4 3" xfId="5651" xr:uid="{00000000-0005-0000-0000-0000801A0000}"/>
    <cellStyle name="Normal 5 3 5 4 3 2" xfId="14977" xr:uid="{137C07A7-7E5A-4092-8D80-4BBE5E7A8CBB}"/>
    <cellStyle name="Normal 5 3 5 4 4" xfId="10760" xr:uid="{076B07CD-3705-4172-9884-AED6829CDC17}"/>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79381C39-A694-4EE4-B213-32C157CBCF2B}"/>
    <cellStyle name="Normal 5 3 5 5 2 3" xfId="13318" xr:uid="{B57897A8-C055-489D-8B56-788036894F98}"/>
    <cellStyle name="Normal 5 3 5 5 3" xfId="6064" xr:uid="{00000000-0005-0000-0000-0000841A0000}"/>
    <cellStyle name="Normal 5 3 5 5 3 2" xfId="15390" xr:uid="{9D1F908F-77F9-4F68-8F12-0740E861989C}"/>
    <cellStyle name="Normal 5 3 5 5 4" xfId="11173" xr:uid="{AF48C34D-D209-426E-9D90-14E97A725664}"/>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28A1616D-DF4F-4D35-9855-B24D2F5D021A}"/>
    <cellStyle name="Normal 5 3 5 6 2 3" xfId="13731" xr:uid="{4A15133E-5EBD-4019-9B0A-5C385EBE5090}"/>
    <cellStyle name="Normal 5 3 5 6 3" xfId="6477" xr:uid="{00000000-0005-0000-0000-0000881A0000}"/>
    <cellStyle name="Normal 5 3 5 6 3 2" xfId="15803" xr:uid="{E9C0A538-14CF-48FD-856B-04DBA2B8896B}"/>
    <cellStyle name="Normal 5 3 5 6 4" xfId="11586" xr:uid="{806F736F-7D68-4C94-843B-B3AB111E0174}"/>
    <cellStyle name="Normal 5 3 5 7" xfId="2607" xr:uid="{00000000-0005-0000-0000-0000891A0000}"/>
    <cellStyle name="Normal 5 3 5 7 2" xfId="6890" xr:uid="{00000000-0005-0000-0000-00008A1A0000}"/>
    <cellStyle name="Normal 5 3 5 7 2 2" xfId="16216" xr:uid="{AC6DC642-08F5-417A-9F1D-93B5C94A15AA}"/>
    <cellStyle name="Normal 5 3 5 7 3" xfId="11999" xr:uid="{63ED3E6B-C7F7-436C-BDF8-000FEFE2A315}"/>
    <cellStyle name="Normal 5 3 5 8" xfId="4825" xr:uid="{00000000-0005-0000-0000-00008B1A0000}"/>
    <cellStyle name="Normal 5 3 5 8 2" xfId="14151" xr:uid="{B0141FD1-5C6C-47F3-B3FF-DBFAF234F0CD}"/>
    <cellStyle name="Normal 5 3 5 9" xfId="8853" xr:uid="{049FA2CE-003F-47C1-A264-645323886F35}"/>
    <cellStyle name="Normal 5 3 5 9 2" xfId="18177" xr:uid="{CB199DBF-8359-49DC-99EF-108A0EBE54FC}"/>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D68EEBF5-C497-4C38-9C63-695457726C59}"/>
    <cellStyle name="Normal 5 3 6 2 2 3" xfId="12494" xr:uid="{03E0354A-56F7-4EEF-A24D-93086A911316}"/>
    <cellStyle name="Normal 5 3 6 2 3" xfId="5240" xr:uid="{00000000-0005-0000-0000-0000901A0000}"/>
    <cellStyle name="Normal 5 3 6 2 3 2" xfId="14566" xr:uid="{FA0011FE-9CBD-48AA-A885-DD55A6786DD5}"/>
    <cellStyle name="Normal 5 3 6 2 4" xfId="9394" xr:uid="{040FDD8C-10C9-4583-9A6E-8F76047ECA0C}"/>
    <cellStyle name="Normal 5 3 6 2 4 2" xfId="18709" xr:uid="{ABDBCEEF-B5B4-4FA6-8AF3-28EBAE2C4BBE}"/>
    <cellStyle name="Normal 5 3 6 2 5" xfId="10349" xr:uid="{913CB37B-6F49-4249-B8FC-3D613E867381}"/>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820D2AA0-0D39-430B-8AC0-D3E2D8A056AA}"/>
    <cellStyle name="Normal 5 3 6 3 2 3" xfId="12907" xr:uid="{FD6FF964-718B-4CC1-AE7B-A87609B2E4EE}"/>
    <cellStyle name="Normal 5 3 6 3 3" xfId="5653" xr:uid="{00000000-0005-0000-0000-0000941A0000}"/>
    <cellStyle name="Normal 5 3 6 3 3 2" xfId="14979" xr:uid="{E2F4484B-9002-4ED1-A17F-C770D79B0EDF}"/>
    <cellStyle name="Normal 5 3 6 3 4" xfId="10762" xr:uid="{AC650D9E-6C9C-4CCC-AA78-5388530AE4A2}"/>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A4EE3114-9C39-435F-8A06-76F62C7E1129}"/>
    <cellStyle name="Normal 5 3 6 4 2 3" xfId="13320" xr:uid="{1FAFC1F0-73D5-4836-8704-C3D4FDBA4F2B}"/>
    <cellStyle name="Normal 5 3 6 4 3" xfId="6066" xr:uid="{00000000-0005-0000-0000-0000981A0000}"/>
    <cellStyle name="Normal 5 3 6 4 3 2" xfId="15392" xr:uid="{F92C6C11-6E0A-4A1D-AACC-8D1C8D5ADEF2}"/>
    <cellStyle name="Normal 5 3 6 4 4" xfId="11175" xr:uid="{EA17FE4F-4F5A-4005-B0CD-F077F22FE4EE}"/>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2CE8D656-0397-4AE3-9096-3C8BAE6762E0}"/>
    <cellStyle name="Normal 5 3 6 5 2 3" xfId="13733" xr:uid="{DBD6474D-557A-4187-AE9D-86A950A7D2C5}"/>
    <cellStyle name="Normal 5 3 6 5 3" xfId="6479" xr:uid="{00000000-0005-0000-0000-00009C1A0000}"/>
    <cellStyle name="Normal 5 3 6 5 3 2" xfId="15805" xr:uid="{2807241F-7B8C-4795-BD17-D70C937150E9}"/>
    <cellStyle name="Normal 5 3 6 5 4" xfId="11588" xr:uid="{10252EEB-950E-4141-A709-6788661178B6}"/>
    <cellStyle name="Normal 5 3 6 6" xfId="2609" xr:uid="{00000000-0005-0000-0000-00009D1A0000}"/>
    <cellStyle name="Normal 5 3 6 6 2" xfId="6892" xr:uid="{00000000-0005-0000-0000-00009E1A0000}"/>
    <cellStyle name="Normal 5 3 6 6 2 2" xfId="16218" xr:uid="{08E257F1-3E1F-4B83-B690-886F72617ACE}"/>
    <cellStyle name="Normal 5 3 6 6 3" xfId="12001" xr:uid="{1D95C835-DC6B-4E5C-8C5A-6F813A9BCBC7}"/>
    <cellStyle name="Normal 5 3 6 7" xfId="4827" xr:uid="{00000000-0005-0000-0000-00009F1A0000}"/>
    <cellStyle name="Normal 5 3 6 7 2" xfId="14153" xr:uid="{0D054B99-F077-4B58-8990-8256C5378374}"/>
    <cellStyle name="Normal 5 3 6 8" xfId="8969" xr:uid="{FA7ABEAF-BFEA-4D3E-A53B-E23F3117BFD8}"/>
    <cellStyle name="Normal 5 3 6 8 2" xfId="18293" xr:uid="{7B27DFD9-D1E7-4C8B-923B-32F3C40B42CB}"/>
    <cellStyle name="Normal 5 3 6 9" xfId="9936" xr:uid="{B0B92766-3DB0-410C-BECA-B0BA64CDFEDF}"/>
    <cellStyle name="Normal 5 3 7" xfId="913" xr:uid="{00000000-0005-0000-0000-0000A01A0000}"/>
    <cellStyle name="Normal 5 3 7 2" xfId="3148" xr:uid="{00000000-0005-0000-0000-0000A11A0000}"/>
    <cellStyle name="Normal 5 3 7 2 2" xfId="7370" xr:uid="{00000000-0005-0000-0000-0000A21A0000}"/>
    <cellStyle name="Normal 5 3 7 2 2 2" xfId="16696" xr:uid="{89BB5A66-20B3-427A-A565-3F9D66EB18B7}"/>
    <cellStyle name="Normal 5 3 7 2 3" xfId="12479" xr:uid="{9C8E3C1A-AAE0-4B32-96DE-A8539490AA54}"/>
    <cellStyle name="Normal 5 3 7 3" xfId="5225" xr:uid="{00000000-0005-0000-0000-0000A31A0000}"/>
    <cellStyle name="Normal 5 3 7 3 2" xfId="14551" xr:uid="{F743832D-B6E8-4AB6-8B73-E0071A097C0A}"/>
    <cellStyle name="Normal 5 3 7 4" xfId="9172" xr:uid="{5609ABAF-B913-41DD-9CCE-B28C6A880815}"/>
    <cellStyle name="Normal 5 3 7 4 2" xfId="18490" xr:uid="{CED8D902-7D35-4DC6-9906-E139AC8255E5}"/>
    <cellStyle name="Normal 5 3 7 5" xfId="10334" xr:uid="{77B879FD-8C40-4206-BB0B-B00573717B50}"/>
    <cellStyle name="Normal 5 3 8" xfId="1331" xr:uid="{00000000-0005-0000-0000-0000A41A0000}"/>
    <cellStyle name="Normal 5 3 8 2" xfId="3561" xr:uid="{00000000-0005-0000-0000-0000A51A0000}"/>
    <cellStyle name="Normal 5 3 8 2 2" xfId="7783" xr:uid="{00000000-0005-0000-0000-0000A61A0000}"/>
    <cellStyle name="Normal 5 3 8 2 2 2" xfId="17109" xr:uid="{100FA2D9-17D2-408B-A35B-252A1AEE471A}"/>
    <cellStyle name="Normal 5 3 8 2 3" xfId="12892" xr:uid="{244B2BBD-184D-460F-8C26-3D574F660228}"/>
    <cellStyle name="Normal 5 3 8 3" xfId="5638" xr:uid="{00000000-0005-0000-0000-0000A71A0000}"/>
    <cellStyle name="Normal 5 3 8 3 2" xfId="14964" xr:uid="{9B0C6991-D912-419E-8199-DBCA9F192DBA}"/>
    <cellStyle name="Normal 5 3 8 4" xfId="10747" xr:uid="{614560B5-D240-4D3A-AE81-84904691EBFC}"/>
    <cellStyle name="Normal 5 3 9" xfId="1744" xr:uid="{00000000-0005-0000-0000-0000A81A0000}"/>
    <cellStyle name="Normal 5 3 9 2" xfId="3974" xr:uid="{00000000-0005-0000-0000-0000A91A0000}"/>
    <cellStyle name="Normal 5 3 9 2 2" xfId="8196" xr:uid="{00000000-0005-0000-0000-0000AA1A0000}"/>
    <cellStyle name="Normal 5 3 9 2 2 2" xfId="17522" xr:uid="{02A673ED-B3AE-4A43-9439-32AA110BEE95}"/>
    <cellStyle name="Normal 5 3 9 2 3" xfId="13305" xr:uid="{16426A31-01AD-4764-9480-E79FB445253A}"/>
    <cellStyle name="Normal 5 3 9 3" xfId="6051" xr:uid="{00000000-0005-0000-0000-0000AB1A0000}"/>
    <cellStyle name="Normal 5 3 9 3 2" xfId="15377" xr:uid="{32E827D5-0F42-4CC5-ABEE-355546B8F82A}"/>
    <cellStyle name="Normal 5 3 9 4" xfId="11160" xr:uid="{2D710914-E225-41DC-A692-CEDC663132A7}"/>
    <cellStyle name="Normal 5 4" xfId="456" xr:uid="{00000000-0005-0000-0000-0000AC1A0000}"/>
    <cellStyle name="Normal 5 4 10" xfId="4828" xr:uid="{00000000-0005-0000-0000-0000AD1A0000}"/>
    <cellStyle name="Normal 5 4 10 2" xfId="14154" xr:uid="{2A764E97-219A-40E5-9AEE-80BCB969C4EF}"/>
    <cellStyle name="Normal 5 4 11" xfId="8773" xr:uid="{50472F80-32FD-428C-B078-8DE338D6CA16}"/>
    <cellStyle name="Normal 5 4 11 2" xfId="18097" xr:uid="{67C2B809-126D-40AE-91C9-A4A99C583C93}"/>
    <cellStyle name="Normal 5 4 12" xfId="9937" xr:uid="{1E3B4A27-42DF-4B90-AF14-6980ABB51519}"/>
    <cellStyle name="Normal 5 4 2" xfId="457" xr:uid="{00000000-0005-0000-0000-0000AE1A0000}"/>
    <cellStyle name="Normal 5 4 2 10" xfId="8833" xr:uid="{6EA55230-8E5B-4EF6-B83C-8DF4202F8C31}"/>
    <cellStyle name="Normal 5 4 2 10 2" xfId="18157" xr:uid="{AB0B4F18-5FA0-4349-9E0E-353EEE69A9E9}"/>
    <cellStyle name="Normal 5 4 2 11" xfId="9938" xr:uid="{F48F8EE9-602F-49C1-9AE3-79AE0D0A6474}"/>
    <cellStyle name="Normal 5 4 2 2" xfId="458" xr:uid="{00000000-0005-0000-0000-0000AF1A0000}"/>
    <cellStyle name="Normal 5 4 2 2 10" xfId="9939" xr:uid="{34EE053B-2846-4194-80FB-97E18E518DBE}"/>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25D4C063-D8A6-4AC6-8739-7ADE32F575D3}"/>
    <cellStyle name="Normal 5 4 2 2 2 2 2 3" xfId="12498" xr:uid="{7DA5EAAF-6B04-4432-B6A5-72E718B0E987}"/>
    <cellStyle name="Normal 5 4 2 2 2 2 3" xfId="5244" xr:uid="{00000000-0005-0000-0000-0000B41A0000}"/>
    <cellStyle name="Normal 5 4 2 2 2 2 3 2" xfId="14570" xr:uid="{1903203C-ECCB-4781-933E-980F62013E17}"/>
    <cellStyle name="Normal 5 4 2 2 2 2 4" xfId="9568" xr:uid="{C9922021-D284-4633-BD4E-F2DB1197482A}"/>
    <cellStyle name="Normal 5 4 2 2 2 2 4 2" xfId="18883" xr:uid="{14187DAB-B34D-41E1-998B-CB4953DBF156}"/>
    <cellStyle name="Normal 5 4 2 2 2 2 5" xfId="10353" xr:uid="{6F2BEED8-8002-4A4F-B7D4-9A892547E3D6}"/>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775F137C-5676-46D9-9914-2D9DA4D580D4}"/>
    <cellStyle name="Normal 5 4 2 2 2 3 2 3" xfId="12911" xr:uid="{A5E233EE-C680-42B3-B634-B40BF4A078EB}"/>
    <cellStyle name="Normal 5 4 2 2 2 3 3" xfId="5657" xr:uid="{00000000-0005-0000-0000-0000B81A0000}"/>
    <cellStyle name="Normal 5 4 2 2 2 3 3 2" xfId="14983" xr:uid="{79E829CC-AD19-4FE9-9E89-B338996F3549}"/>
    <cellStyle name="Normal 5 4 2 2 2 3 4" xfId="10766" xr:uid="{9EE75005-4E1E-4F40-BD50-1A2877ECCCA1}"/>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3B8F2949-7276-498E-9858-7FE483016769}"/>
    <cellStyle name="Normal 5 4 2 2 2 4 2 3" xfId="13324" xr:uid="{5D282D6C-5717-4DB2-ADD1-61FD2ABE4802}"/>
    <cellStyle name="Normal 5 4 2 2 2 4 3" xfId="6070" xr:uid="{00000000-0005-0000-0000-0000BC1A0000}"/>
    <cellStyle name="Normal 5 4 2 2 2 4 3 2" xfId="15396" xr:uid="{C1E97E05-C68B-4F79-935C-9D22455CB594}"/>
    <cellStyle name="Normal 5 4 2 2 2 4 4" xfId="11179" xr:uid="{7DD6154D-DAD2-4E9B-9E63-D8B9D5FB588B}"/>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4D02362A-30E1-4055-B7DE-6B2055DAA85F}"/>
    <cellStyle name="Normal 5 4 2 2 2 5 2 3" xfId="13737" xr:uid="{1DBA9F99-142A-4915-9965-B759A8CC4042}"/>
    <cellStyle name="Normal 5 4 2 2 2 5 3" xfId="6483" xr:uid="{00000000-0005-0000-0000-0000C01A0000}"/>
    <cellStyle name="Normal 5 4 2 2 2 5 3 2" xfId="15809" xr:uid="{F02EC1C9-7903-4687-BB0E-D1C1463B4A63}"/>
    <cellStyle name="Normal 5 4 2 2 2 5 4" xfId="11592" xr:uid="{5867465A-F7E6-4D98-BEC1-B1EBCAAFFFC8}"/>
    <cellStyle name="Normal 5 4 2 2 2 6" xfId="2613" xr:uid="{00000000-0005-0000-0000-0000C11A0000}"/>
    <cellStyle name="Normal 5 4 2 2 2 6 2" xfId="6896" xr:uid="{00000000-0005-0000-0000-0000C21A0000}"/>
    <cellStyle name="Normal 5 4 2 2 2 6 2 2" xfId="16222" xr:uid="{165977B8-4DCC-4499-A2B1-F59DAF7F751E}"/>
    <cellStyle name="Normal 5 4 2 2 2 6 3" xfId="12005" xr:uid="{1AB8EEAC-E058-4EF3-BFF0-39BB833D9867}"/>
    <cellStyle name="Normal 5 4 2 2 2 7" xfId="4831" xr:uid="{00000000-0005-0000-0000-0000C31A0000}"/>
    <cellStyle name="Normal 5 4 2 2 2 7 2" xfId="14157" xr:uid="{97229F1B-3D3D-49DF-BC54-593F9C510BA4}"/>
    <cellStyle name="Normal 5 4 2 2 2 8" xfId="9143" xr:uid="{C8F15FA9-FDFE-4358-95A8-17B14299B14C}"/>
    <cellStyle name="Normal 5 4 2 2 2 8 2" xfId="18467" xr:uid="{0D692B81-F55C-474C-9F22-5259A4E53010}"/>
    <cellStyle name="Normal 5 4 2 2 2 9" xfId="9940" xr:uid="{B121C307-8672-4DB3-8CE7-256CEC33FD7C}"/>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B8DBF9BB-46C0-4D2A-8090-EFA066F0263A}"/>
    <cellStyle name="Normal 5 4 2 2 3 2 3" xfId="12497" xr:uid="{C9360AD5-4224-43A8-A5F8-9375205C12E4}"/>
    <cellStyle name="Normal 5 4 2 2 3 3" xfId="5243" xr:uid="{00000000-0005-0000-0000-0000C71A0000}"/>
    <cellStyle name="Normal 5 4 2 2 3 3 2" xfId="14569" xr:uid="{BA2EF145-C778-4B15-B9C5-164181EF4C0E}"/>
    <cellStyle name="Normal 5 4 2 2 3 4" xfId="9361" xr:uid="{421F0FC8-8E8F-498F-BD31-B00CB58D5B43}"/>
    <cellStyle name="Normal 5 4 2 2 3 4 2" xfId="18676" xr:uid="{C686ADAB-BCC4-4EC2-89E0-5B676A53209C}"/>
    <cellStyle name="Normal 5 4 2 2 3 5" xfId="10352" xr:uid="{A8C403F8-0954-4DC6-A5A3-677F006B32B6}"/>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D2476A0A-C874-46A9-AE29-CBD90356CE49}"/>
    <cellStyle name="Normal 5 4 2 2 4 2 3" xfId="12910" xr:uid="{049162F4-CF59-48F2-97E4-0EBD96B1F7AB}"/>
    <cellStyle name="Normal 5 4 2 2 4 3" xfId="5656" xr:uid="{00000000-0005-0000-0000-0000CB1A0000}"/>
    <cellStyle name="Normal 5 4 2 2 4 3 2" xfId="14982" xr:uid="{5F0CFC72-F7F3-49EB-930B-4767CF1A3344}"/>
    <cellStyle name="Normal 5 4 2 2 4 4" xfId="10765" xr:uid="{355F2C45-4AC9-4334-908D-A3F23CD633DF}"/>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33CF13D8-F95A-4742-A831-CA1FB5BC1271}"/>
    <cellStyle name="Normal 5 4 2 2 5 2 3" xfId="13323" xr:uid="{A7C3409B-9089-4B36-AE3A-DCFDCCE09FAC}"/>
    <cellStyle name="Normal 5 4 2 2 5 3" xfId="6069" xr:uid="{00000000-0005-0000-0000-0000CF1A0000}"/>
    <cellStyle name="Normal 5 4 2 2 5 3 2" xfId="15395" xr:uid="{25C3A6AD-6647-4CB5-84D5-EB7215BE9981}"/>
    <cellStyle name="Normal 5 4 2 2 5 4" xfId="11178" xr:uid="{7F81EEB5-C2A8-4E5F-8776-B27ED3005FA0}"/>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C692015D-FD7C-43DE-9647-DBC1F21227CD}"/>
    <cellStyle name="Normal 5 4 2 2 6 2 3" xfId="13736" xr:uid="{3CDA7C1B-6EAE-4E5C-8DAC-340199D36EE3}"/>
    <cellStyle name="Normal 5 4 2 2 6 3" xfId="6482" xr:uid="{00000000-0005-0000-0000-0000D31A0000}"/>
    <cellStyle name="Normal 5 4 2 2 6 3 2" xfId="15808" xr:uid="{7E407F5C-2476-4E7E-97C9-83CB92977639}"/>
    <cellStyle name="Normal 5 4 2 2 6 4" xfId="11591" xr:uid="{DAB6A232-56DC-453E-B668-BA5F20D81DDF}"/>
    <cellStyle name="Normal 5 4 2 2 7" xfId="2612" xr:uid="{00000000-0005-0000-0000-0000D41A0000}"/>
    <cellStyle name="Normal 5 4 2 2 7 2" xfId="6895" xr:uid="{00000000-0005-0000-0000-0000D51A0000}"/>
    <cellStyle name="Normal 5 4 2 2 7 2 2" xfId="16221" xr:uid="{633E3D31-76BA-46CE-A074-ACFFC1D83B4A}"/>
    <cellStyle name="Normal 5 4 2 2 7 3" xfId="12004" xr:uid="{ECC738FF-9B8C-457A-A1B6-66ECAEE0599E}"/>
    <cellStyle name="Normal 5 4 2 2 8" xfId="4830" xr:uid="{00000000-0005-0000-0000-0000D61A0000}"/>
    <cellStyle name="Normal 5 4 2 2 8 2" xfId="14156" xr:uid="{5A216A00-D30D-4E66-B57F-31252B035272}"/>
    <cellStyle name="Normal 5 4 2 2 9" xfId="8936" xr:uid="{31CF7A09-919D-40D2-B5FD-098CEA44D314}"/>
    <cellStyle name="Normal 5 4 2 2 9 2" xfId="18260" xr:uid="{F91E4618-1D20-4636-AB08-9427B89A81C3}"/>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8ADC8B3A-6A1C-4A7D-AD0B-C1E690274250}"/>
    <cellStyle name="Normal 5 4 2 3 2 2 3" xfId="12499" xr:uid="{146F010A-2D96-49E2-B69C-ABFD971D8027}"/>
    <cellStyle name="Normal 5 4 2 3 2 3" xfId="5245" xr:uid="{00000000-0005-0000-0000-0000DB1A0000}"/>
    <cellStyle name="Normal 5 4 2 3 2 3 2" xfId="14571" xr:uid="{B9CB7CA5-2A3C-4039-A0A5-3D382F4D519D}"/>
    <cellStyle name="Normal 5 4 2 3 2 4" xfId="9465" xr:uid="{B8459C73-266B-467B-A163-FFDFF015A460}"/>
    <cellStyle name="Normal 5 4 2 3 2 4 2" xfId="18780" xr:uid="{709724AB-1EEB-44B2-8F8B-2B5E8E8D79FE}"/>
    <cellStyle name="Normal 5 4 2 3 2 5" xfId="10354" xr:uid="{4F1193F8-2830-4F79-812E-F3CBC33B248D}"/>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C9690A99-D092-4577-A29A-F41A93317162}"/>
    <cellStyle name="Normal 5 4 2 3 3 2 3" xfId="12912" xr:uid="{48BA2E44-E956-4EEB-BFAA-6B348EA08F10}"/>
    <cellStyle name="Normal 5 4 2 3 3 3" xfId="5658" xr:uid="{00000000-0005-0000-0000-0000DF1A0000}"/>
    <cellStyle name="Normal 5 4 2 3 3 3 2" xfId="14984" xr:uid="{F9B82E9C-0310-4123-9A09-3AED8F8E1995}"/>
    <cellStyle name="Normal 5 4 2 3 3 4" xfId="10767" xr:uid="{CCADABC0-AAB3-44B7-A9C8-E0F5B4B11B7B}"/>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5C8B63AC-02DF-42ED-97F6-A7BA3D3A9F0B}"/>
    <cellStyle name="Normal 5 4 2 3 4 2 3" xfId="13325" xr:uid="{D27F074E-B88C-4095-99DD-C21288969490}"/>
    <cellStyle name="Normal 5 4 2 3 4 3" xfId="6071" xr:uid="{00000000-0005-0000-0000-0000E31A0000}"/>
    <cellStyle name="Normal 5 4 2 3 4 3 2" xfId="15397" xr:uid="{809D61AB-3D9E-428B-ABB1-00FDE83CE4DC}"/>
    <cellStyle name="Normal 5 4 2 3 4 4" xfId="11180" xr:uid="{C6784459-5B97-43CA-9965-8623E445F243}"/>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881A5FD2-2851-4DBF-9029-0598427865BE}"/>
    <cellStyle name="Normal 5 4 2 3 5 2 3" xfId="13738" xr:uid="{85606D52-9434-4F21-9BBD-B345266DDA93}"/>
    <cellStyle name="Normal 5 4 2 3 5 3" xfId="6484" xr:uid="{00000000-0005-0000-0000-0000E71A0000}"/>
    <cellStyle name="Normal 5 4 2 3 5 3 2" xfId="15810" xr:uid="{E8C12EA3-24B0-4099-9ABE-3B526AE46A7C}"/>
    <cellStyle name="Normal 5 4 2 3 5 4" xfId="11593" xr:uid="{2F2EA7F8-8776-417A-87AF-9FFBB4A16CEF}"/>
    <cellStyle name="Normal 5 4 2 3 6" xfId="2614" xr:uid="{00000000-0005-0000-0000-0000E81A0000}"/>
    <cellStyle name="Normal 5 4 2 3 6 2" xfId="6897" xr:uid="{00000000-0005-0000-0000-0000E91A0000}"/>
    <cellStyle name="Normal 5 4 2 3 6 2 2" xfId="16223" xr:uid="{7E3D15D9-13D9-430D-A70F-37BB7B8096A1}"/>
    <cellStyle name="Normal 5 4 2 3 6 3" xfId="12006" xr:uid="{43B96D8D-0040-4791-BA96-230B22A06D1D}"/>
    <cellStyle name="Normal 5 4 2 3 7" xfId="4832" xr:uid="{00000000-0005-0000-0000-0000EA1A0000}"/>
    <cellStyle name="Normal 5 4 2 3 7 2" xfId="14158" xr:uid="{C5BA0D40-DAF3-40D4-8BE8-2B41E31EA9FC}"/>
    <cellStyle name="Normal 5 4 2 3 8" xfId="9040" xr:uid="{D68CAB17-BB41-4D9B-AA76-76FE511392DC}"/>
    <cellStyle name="Normal 5 4 2 3 8 2" xfId="18364" xr:uid="{BAC9D739-85BE-4ED6-B0F3-56A7F9254A35}"/>
    <cellStyle name="Normal 5 4 2 3 9" xfId="9941" xr:uid="{D8B56C0D-89CB-43E5-AAF1-EB8269BC64AA}"/>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99A55694-397F-4C1E-BB61-E1A6F1CEAF91}"/>
    <cellStyle name="Normal 5 4 2 4 2 3" xfId="12496" xr:uid="{A6F465BE-0AF1-4C4B-919D-D1A5CA5D05F3}"/>
    <cellStyle name="Normal 5 4 2 4 3" xfId="5242" xr:uid="{00000000-0005-0000-0000-0000EE1A0000}"/>
    <cellStyle name="Normal 5 4 2 4 3 2" xfId="14568" xr:uid="{07332752-2D56-4C30-B6EB-32C6CF04F95E}"/>
    <cellStyle name="Normal 5 4 2 4 4" xfId="9258" xr:uid="{971C48A9-8200-405B-A9BE-B3AFD2CDDA76}"/>
    <cellStyle name="Normal 5 4 2 4 4 2" xfId="18573" xr:uid="{4A3D81F0-7C57-4F66-8B22-C2559C743D77}"/>
    <cellStyle name="Normal 5 4 2 4 5" xfId="10351" xr:uid="{43737930-4B2E-4494-9E4C-4B4E68D189A9}"/>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ACB16909-FE9B-4C0F-9D64-BCE0070628B0}"/>
    <cellStyle name="Normal 5 4 2 5 2 3" xfId="12909" xr:uid="{40DC98C1-637A-41C9-8126-681F2EB43123}"/>
    <cellStyle name="Normal 5 4 2 5 3" xfId="5655" xr:uid="{00000000-0005-0000-0000-0000F21A0000}"/>
    <cellStyle name="Normal 5 4 2 5 3 2" xfId="14981" xr:uid="{F14BE7E5-84AE-4796-BB00-110DB9A2F874}"/>
    <cellStyle name="Normal 5 4 2 5 4" xfId="10764" xr:uid="{AFF4E695-048C-4A98-89B1-A2F0B2ADC137}"/>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395D02A4-59AF-4950-9FA7-05836505C1CB}"/>
    <cellStyle name="Normal 5 4 2 6 2 3" xfId="13322" xr:uid="{AF11933A-FF94-43CB-A3FD-07BDA4542398}"/>
    <cellStyle name="Normal 5 4 2 6 3" xfId="6068" xr:uid="{00000000-0005-0000-0000-0000F61A0000}"/>
    <cellStyle name="Normal 5 4 2 6 3 2" xfId="15394" xr:uid="{5DA232BF-A2AB-4F37-AB78-26348684FC5A}"/>
    <cellStyle name="Normal 5 4 2 6 4" xfId="11177" xr:uid="{CE344753-48E0-4998-8055-C9839872BDD6}"/>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89C7A2D8-F4A4-459A-BF6F-42F643771DBC}"/>
    <cellStyle name="Normal 5 4 2 7 2 3" xfId="13735" xr:uid="{824EBE51-E670-4E05-8D3A-549DCCB1A503}"/>
    <cellStyle name="Normal 5 4 2 7 3" xfId="6481" xr:uid="{00000000-0005-0000-0000-0000FA1A0000}"/>
    <cellStyle name="Normal 5 4 2 7 3 2" xfId="15807" xr:uid="{4F1E0E1E-820E-48DA-971B-E693E8290857}"/>
    <cellStyle name="Normal 5 4 2 7 4" xfId="11590" xr:uid="{E21B91F4-6F5D-4C95-AB7D-C98B37D8B69D}"/>
    <cellStyle name="Normal 5 4 2 8" xfId="2611" xr:uid="{00000000-0005-0000-0000-0000FB1A0000}"/>
    <cellStyle name="Normal 5 4 2 8 2" xfId="6894" xr:uid="{00000000-0005-0000-0000-0000FC1A0000}"/>
    <cellStyle name="Normal 5 4 2 8 2 2" xfId="16220" xr:uid="{1C6A9F82-1C04-4852-8B22-F05B0522D4A7}"/>
    <cellStyle name="Normal 5 4 2 8 3" xfId="12003" xr:uid="{EC4B4719-AAE8-47A9-9CA0-9D382E074FF2}"/>
    <cellStyle name="Normal 5 4 2 9" xfId="4829" xr:uid="{00000000-0005-0000-0000-0000FD1A0000}"/>
    <cellStyle name="Normal 5 4 2 9 2" xfId="14155" xr:uid="{AE28A118-B645-4EBC-A51D-168EB6D8AE0A}"/>
    <cellStyle name="Normal 5 4 3" xfId="461" xr:uid="{00000000-0005-0000-0000-0000FE1A0000}"/>
    <cellStyle name="Normal 5 4 3 10" xfId="9942" xr:uid="{A814D877-CEF6-48C1-A096-5CC3377DD48F}"/>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3DF08A06-0ED5-44F4-AB6A-669C6C9DC53F}"/>
    <cellStyle name="Normal 5 4 3 2 2 2 3" xfId="12501" xr:uid="{E4CA21AE-D7C8-4229-BA35-1048118D7A81}"/>
    <cellStyle name="Normal 5 4 3 2 2 3" xfId="5247" xr:uid="{00000000-0005-0000-0000-0000031B0000}"/>
    <cellStyle name="Normal 5 4 3 2 2 3 2" xfId="14573" xr:uid="{90A15302-16C2-46EB-9867-653B932E7E24}"/>
    <cellStyle name="Normal 5 4 3 2 2 4" xfId="9508" xr:uid="{1F9B5A8F-2A45-43C5-9422-E8BC84424A55}"/>
    <cellStyle name="Normal 5 4 3 2 2 4 2" xfId="18823" xr:uid="{BE484691-BD73-4A0B-9207-CBCA3C36CEC0}"/>
    <cellStyle name="Normal 5 4 3 2 2 5" xfId="10356" xr:uid="{C2EA1A93-574D-48AD-8F6B-6D9A49710096}"/>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2429E8F1-6C4B-4287-B72C-89709BAED46F}"/>
    <cellStyle name="Normal 5 4 3 2 3 2 3" xfId="12914" xr:uid="{41490614-4A55-4D4E-B7E6-A9F07F50DFA3}"/>
    <cellStyle name="Normal 5 4 3 2 3 3" xfId="5660" xr:uid="{00000000-0005-0000-0000-0000071B0000}"/>
    <cellStyle name="Normal 5 4 3 2 3 3 2" xfId="14986" xr:uid="{13E41BEB-82D7-444B-9B28-69F03D9ACD58}"/>
    <cellStyle name="Normal 5 4 3 2 3 4" xfId="10769" xr:uid="{D5386243-F289-4FAB-A732-86B6EA5BE1EB}"/>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9452005B-E311-428D-AF71-30685BF96A5B}"/>
    <cellStyle name="Normal 5 4 3 2 4 2 3" xfId="13327" xr:uid="{066E2563-1826-4DAC-B807-4E6005D22306}"/>
    <cellStyle name="Normal 5 4 3 2 4 3" xfId="6073" xr:uid="{00000000-0005-0000-0000-00000B1B0000}"/>
    <cellStyle name="Normal 5 4 3 2 4 3 2" xfId="15399" xr:uid="{C52419F6-87A3-46B3-8C1B-540F9780B5F1}"/>
    <cellStyle name="Normal 5 4 3 2 4 4" xfId="11182" xr:uid="{11757CDB-CB5C-45DB-A07C-76EA9AEB25A4}"/>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6266D323-6011-41DC-828A-6C62B99EE570}"/>
    <cellStyle name="Normal 5 4 3 2 5 2 3" xfId="13740" xr:uid="{640EDAB3-43F4-432C-87DD-9180530DA0F1}"/>
    <cellStyle name="Normal 5 4 3 2 5 3" xfId="6486" xr:uid="{00000000-0005-0000-0000-00000F1B0000}"/>
    <cellStyle name="Normal 5 4 3 2 5 3 2" xfId="15812" xr:uid="{E77BD2B6-9C48-427B-87A7-43FE3E633000}"/>
    <cellStyle name="Normal 5 4 3 2 5 4" xfId="11595" xr:uid="{71E75466-7E1C-40AC-827B-3F0AECD48E49}"/>
    <cellStyle name="Normal 5 4 3 2 6" xfId="2616" xr:uid="{00000000-0005-0000-0000-0000101B0000}"/>
    <cellStyle name="Normal 5 4 3 2 6 2" xfId="6899" xr:uid="{00000000-0005-0000-0000-0000111B0000}"/>
    <cellStyle name="Normal 5 4 3 2 6 2 2" xfId="16225" xr:uid="{ABED07CF-83F2-400A-BA98-B6BE9EE9D94B}"/>
    <cellStyle name="Normal 5 4 3 2 6 3" xfId="12008" xr:uid="{CED4826B-B4BC-46EF-91B0-940EF84C4AE4}"/>
    <cellStyle name="Normal 5 4 3 2 7" xfId="4834" xr:uid="{00000000-0005-0000-0000-0000121B0000}"/>
    <cellStyle name="Normal 5 4 3 2 7 2" xfId="14160" xr:uid="{6E5EF721-32D8-4260-9B5D-812A6E85A77C}"/>
    <cellStyle name="Normal 5 4 3 2 8" xfId="9083" xr:uid="{206384C8-6AD8-4D28-8F99-3033A80D68FC}"/>
    <cellStyle name="Normal 5 4 3 2 8 2" xfId="18407" xr:uid="{1D65DA90-C266-499E-BBBB-1BA7E59D2B4D}"/>
    <cellStyle name="Normal 5 4 3 2 9" xfId="9943" xr:uid="{1B883E03-5498-432E-869C-57F7398F3958}"/>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EAAA56D9-461B-4EEA-8ABB-087BABE8FD2E}"/>
    <cellStyle name="Normal 5 4 3 3 2 3" xfId="12500" xr:uid="{DD087FDB-1CD3-40B8-85F4-EF996E801F90}"/>
    <cellStyle name="Normal 5 4 3 3 3" xfId="5246" xr:uid="{00000000-0005-0000-0000-0000161B0000}"/>
    <cellStyle name="Normal 5 4 3 3 3 2" xfId="14572" xr:uid="{81F53EC2-E539-4B1B-A822-DB207F848A1E}"/>
    <cellStyle name="Normal 5 4 3 3 4" xfId="9301" xr:uid="{CB02BBE7-2E3D-4C67-A62E-BA84DE882039}"/>
    <cellStyle name="Normal 5 4 3 3 4 2" xfId="18616" xr:uid="{6FA07D3C-6072-4D34-8DBB-A71790DDC446}"/>
    <cellStyle name="Normal 5 4 3 3 5" xfId="10355" xr:uid="{9AB7C705-CACB-4BAD-A63B-710EC716B618}"/>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3038D14E-A7B8-4BA4-8822-CD04DF922E11}"/>
    <cellStyle name="Normal 5 4 3 4 2 3" xfId="12913" xr:uid="{67A16C42-32A5-46A3-8F7B-BCCADDC0236A}"/>
    <cellStyle name="Normal 5 4 3 4 3" xfId="5659" xr:uid="{00000000-0005-0000-0000-00001A1B0000}"/>
    <cellStyle name="Normal 5 4 3 4 3 2" xfId="14985" xr:uid="{1799D2AD-B1DD-4F08-A8CD-34790281C1C0}"/>
    <cellStyle name="Normal 5 4 3 4 4" xfId="10768" xr:uid="{24C234BA-24D2-41DA-BB97-AF03F9A1C557}"/>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2AF3EDF7-F539-40E0-9EAB-DA4D47633D65}"/>
    <cellStyle name="Normal 5 4 3 5 2 3" xfId="13326" xr:uid="{0308766F-F059-4CFB-8615-20D66FCD3423}"/>
    <cellStyle name="Normal 5 4 3 5 3" xfId="6072" xr:uid="{00000000-0005-0000-0000-00001E1B0000}"/>
    <cellStyle name="Normal 5 4 3 5 3 2" xfId="15398" xr:uid="{12554783-D660-4F1D-8D60-26112F85D898}"/>
    <cellStyle name="Normal 5 4 3 5 4" xfId="11181" xr:uid="{62CE7865-16A3-454D-9D36-9CBDB452CE3B}"/>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72020492-B273-4804-B5C0-F8B211268DE5}"/>
    <cellStyle name="Normal 5 4 3 6 2 3" xfId="13739" xr:uid="{D32A9E55-B26C-4193-9EAD-37774BC7E331}"/>
    <cellStyle name="Normal 5 4 3 6 3" xfId="6485" xr:uid="{00000000-0005-0000-0000-0000221B0000}"/>
    <cellStyle name="Normal 5 4 3 6 3 2" xfId="15811" xr:uid="{D13008D8-C179-4624-B76E-955CA177A769}"/>
    <cellStyle name="Normal 5 4 3 6 4" xfId="11594" xr:uid="{188FCD36-EA47-4EEA-BCB2-6D843AC955AE}"/>
    <cellStyle name="Normal 5 4 3 7" xfId="2615" xr:uid="{00000000-0005-0000-0000-0000231B0000}"/>
    <cellStyle name="Normal 5 4 3 7 2" xfId="6898" xr:uid="{00000000-0005-0000-0000-0000241B0000}"/>
    <cellStyle name="Normal 5 4 3 7 2 2" xfId="16224" xr:uid="{7E57A69E-D12F-46B2-B3AA-6C755FB3D8E7}"/>
    <cellStyle name="Normal 5 4 3 7 3" xfId="12007" xr:uid="{0AFDF0BA-54B1-4DAA-8EFF-7ABA4804F3A1}"/>
    <cellStyle name="Normal 5 4 3 8" xfId="4833" xr:uid="{00000000-0005-0000-0000-0000251B0000}"/>
    <cellStyle name="Normal 5 4 3 8 2" xfId="14159" xr:uid="{29868E8B-2AEF-4D43-A1E0-9A127A1D40F7}"/>
    <cellStyle name="Normal 5 4 3 9" xfId="8876" xr:uid="{D636A598-175F-46A4-8005-1A20EC6CCEC9}"/>
    <cellStyle name="Normal 5 4 3 9 2" xfId="18200" xr:uid="{1EA0BAF1-8BEA-472F-8144-E6B58617E982}"/>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A30ECC5F-38ED-424A-98EE-93F12991E5E6}"/>
    <cellStyle name="Normal 5 4 4 2 2 3" xfId="12502" xr:uid="{2F6275E8-F3BA-498E-89FC-9C79FBB728DA}"/>
    <cellStyle name="Normal 5 4 4 2 3" xfId="5248" xr:uid="{00000000-0005-0000-0000-00002A1B0000}"/>
    <cellStyle name="Normal 5 4 4 2 3 2" xfId="14574" xr:uid="{AE43B193-1B6A-433E-8B08-20FD83B560A7}"/>
    <cellStyle name="Normal 5 4 4 2 4" xfId="9405" xr:uid="{F05DE0DC-A0AA-4CEB-9ABC-0D70F781B819}"/>
    <cellStyle name="Normal 5 4 4 2 4 2" xfId="18720" xr:uid="{65FA692F-8A33-4E92-86A2-A1D6B59E4DC6}"/>
    <cellStyle name="Normal 5 4 4 2 5" xfId="10357" xr:uid="{C4222378-09B8-4A68-B34D-F1748910FB26}"/>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04176011-B5D9-4F6B-9FBB-41019490BE7A}"/>
    <cellStyle name="Normal 5 4 4 3 2 3" xfId="12915" xr:uid="{7908ECA5-E27E-402B-8733-AF773F886DC1}"/>
    <cellStyle name="Normal 5 4 4 3 3" xfId="5661" xr:uid="{00000000-0005-0000-0000-00002E1B0000}"/>
    <cellStyle name="Normal 5 4 4 3 3 2" xfId="14987" xr:uid="{C3E14E4E-F5AF-4B79-B5D8-4F91528C6BD5}"/>
    <cellStyle name="Normal 5 4 4 3 4" xfId="10770" xr:uid="{6C8D418C-2B8C-415C-9D18-BAD313CAE7A7}"/>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E9D0BCEC-0E7D-4121-ABF9-C662CAF9DF54}"/>
    <cellStyle name="Normal 5 4 4 4 2 3" xfId="13328" xr:uid="{F58F3E98-1DE4-407D-B26B-62561A3AD36B}"/>
    <cellStyle name="Normal 5 4 4 4 3" xfId="6074" xr:uid="{00000000-0005-0000-0000-0000321B0000}"/>
    <cellStyle name="Normal 5 4 4 4 3 2" xfId="15400" xr:uid="{56B83B0F-BF2E-4D1B-AFBC-5E336ED63E18}"/>
    <cellStyle name="Normal 5 4 4 4 4" xfId="11183" xr:uid="{5D732E76-F99C-496F-BFE0-6885526FC7FA}"/>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C4EB0D81-FECB-4BEC-BC8C-195F34BC2D48}"/>
    <cellStyle name="Normal 5 4 4 5 2 3" xfId="13741" xr:uid="{28CD6FF0-2150-4C6B-9362-FCB1E1982E4B}"/>
    <cellStyle name="Normal 5 4 4 5 3" xfId="6487" xr:uid="{00000000-0005-0000-0000-0000361B0000}"/>
    <cellStyle name="Normal 5 4 4 5 3 2" xfId="15813" xr:uid="{2774E1D0-52EC-4D1D-B497-F3285170295C}"/>
    <cellStyle name="Normal 5 4 4 5 4" xfId="11596" xr:uid="{20E376D7-5A44-43CB-B3B7-953105F244DB}"/>
    <cellStyle name="Normal 5 4 4 6" xfId="2617" xr:uid="{00000000-0005-0000-0000-0000371B0000}"/>
    <cellStyle name="Normal 5 4 4 6 2" xfId="6900" xr:uid="{00000000-0005-0000-0000-0000381B0000}"/>
    <cellStyle name="Normal 5 4 4 6 2 2" xfId="16226" xr:uid="{340D2409-B806-4637-A333-BDF9E627F383}"/>
    <cellStyle name="Normal 5 4 4 6 3" xfId="12009" xr:uid="{22A612B6-C161-4D74-B82F-E3DD9F16F540}"/>
    <cellStyle name="Normal 5 4 4 7" xfId="4835" xr:uid="{00000000-0005-0000-0000-0000391B0000}"/>
    <cellStyle name="Normal 5 4 4 7 2" xfId="14161" xr:uid="{711B882F-8A41-4D2F-B3AC-7AED52059203}"/>
    <cellStyle name="Normal 5 4 4 8" xfId="8980" xr:uid="{B1DB48A4-94CB-4CC2-8D4B-8FD478363D48}"/>
    <cellStyle name="Normal 5 4 4 8 2" xfId="18304" xr:uid="{72243CB0-B8B4-48EC-8C4B-ADA5E2DB9F17}"/>
    <cellStyle name="Normal 5 4 4 9" xfId="9944" xr:uid="{9C67F703-C69A-47C7-9087-3E6D16CE354D}"/>
    <cellStyle name="Normal 5 4 5" xfId="930" xr:uid="{00000000-0005-0000-0000-00003A1B0000}"/>
    <cellStyle name="Normal 5 4 5 2" xfId="3164" xr:uid="{00000000-0005-0000-0000-00003B1B0000}"/>
    <cellStyle name="Normal 5 4 5 2 2" xfId="7386" xr:uid="{00000000-0005-0000-0000-00003C1B0000}"/>
    <cellStyle name="Normal 5 4 5 2 2 2" xfId="16712" xr:uid="{6F28117D-B64A-41A8-BF25-D1E98ED85408}"/>
    <cellStyle name="Normal 5 4 5 2 3" xfId="12495" xr:uid="{7AF96816-7010-4B54-9246-501011932E9F}"/>
    <cellStyle name="Normal 5 4 5 3" xfId="5241" xr:uid="{00000000-0005-0000-0000-00003D1B0000}"/>
    <cellStyle name="Normal 5 4 5 3 2" xfId="14567" xr:uid="{81ADF670-559A-4A59-9368-6DF7536BA8D1}"/>
    <cellStyle name="Normal 5 4 5 4" xfId="9197" xr:uid="{44FF0EFB-444B-4C40-B695-8C256ADB5563}"/>
    <cellStyle name="Normal 5 4 5 4 2" xfId="18513" xr:uid="{27A49902-AF58-4146-A537-BDC58E7FB4B9}"/>
    <cellStyle name="Normal 5 4 5 5" xfId="10350" xr:uid="{A3D8DF78-F9C2-4AF4-B48C-A559CBCCEAEE}"/>
    <cellStyle name="Normal 5 4 6" xfId="1347" xr:uid="{00000000-0005-0000-0000-00003E1B0000}"/>
    <cellStyle name="Normal 5 4 6 2" xfId="3577" xr:uid="{00000000-0005-0000-0000-00003F1B0000}"/>
    <cellStyle name="Normal 5 4 6 2 2" xfId="7799" xr:uid="{00000000-0005-0000-0000-0000401B0000}"/>
    <cellStyle name="Normal 5 4 6 2 2 2" xfId="17125" xr:uid="{9E64BFFB-487E-492C-9EA0-77DE8A71FC20}"/>
    <cellStyle name="Normal 5 4 6 2 3" xfId="12908" xr:uid="{6D8EFF02-41DF-40E5-95E1-9717BC089AB8}"/>
    <cellStyle name="Normal 5 4 6 3" xfId="5654" xr:uid="{00000000-0005-0000-0000-0000411B0000}"/>
    <cellStyle name="Normal 5 4 6 3 2" xfId="14980" xr:uid="{87A9C626-F7B4-4C23-A3ED-5A0CCEABF7D9}"/>
    <cellStyle name="Normal 5 4 6 4" xfId="10763" xr:uid="{4E3DE1D0-F72D-4A1B-867A-4338560F7880}"/>
    <cellStyle name="Normal 5 4 7" xfId="1760" xr:uid="{00000000-0005-0000-0000-0000421B0000}"/>
    <cellStyle name="Normal 5 4 7 2" xfId="3990" xr:uid="{00000000-0005-0000-0000-0000431B0000}"/>
    <cellStyle name="Normal 5 4 7 2 2" xfId="8212" xr:uid="{00000000-0005-0000-0000-0000441B0000}"/>
    <cellStyle name="Normal 5 4 7 2 2 2" xfId="17538" xr:uid="{CE8D5958-C668-4EEF-A44F-E038622D457B}"/>
    <cellStyle name="Normal 5 4 7 2 3" xfId="13321" xr:uid="{A05BCDFA-BAA7-4D3A-BABC-EA1EF5010FF8}"/>
    <cellStyle name="Normal 5 4 7 3" xfId="6067" xr:uid="{00000000-0005-0000-0000-0000451B0000}"/>
    <cellStyle name="Normal 5 4 7 3 2" xfId="15393" xr:uid="{243D5C1B-12C0-4819-A51A-79ED976A235F}"/>
    <cellStyle name="Normal 5 4 7 4" xfId="11176" xr:uid="{EAFDC29E-38D1-483A-9F82-D4829C58A125}"/>
    <cellStyle name="Normal 5 4 8" xfId="2174" xr:uid="{00000000-0005-0000-0000-0000461B0000}"/>
    <cellStyle name="Normal 5 4 8 2" xfId="4403" xr:uid="{00000000-0005-0000-0000-0000471B0000}"/>
    <cellStyle name="Normal 5 4 8 2 2" xfId="8625" xr:uid="{00000000-0005-0000-0000-0000481B0000}"/>
    <cellStyle name="Normal 5 4 8 2 2 2" xfId="17951" xr:uid="{9F669BC2-121A-4A3B-8550-52C4AC2E915D}"/>
    <cellStyle name="Normal 5 4 8 2 3" xfId="13734" xr:uid="{BE06D590-7193-422D-8F90-69BADF12D317}"/>
    <cellStyle name="Normal 5 4 8 3" xfId="6480" xr:uid="{00000000-0005-0000-0000-0000491B0000}"/>
    <cellStyle name="Normal 5 4 8 3 2" xfId="15806" xr:uid="{85825988-3CDF-4915-8A74-8EA074AC8AC4}"/>
    <cellStyle name="Normal 5 4 8 4" xfId="11589" xr:uid="{A0B47FB2-56FD-47E8-9890-DF4449BB3D04}"/>
    <cellStyle name="Normal 5 4 9" xfId="2610" xr:uid="{00000000-0005-0000-0000-00004A1B0000}"/>
    <cellStyle name="Normal 5 4 9 2" xfId="6893" xr:uid="{00000000-0005-0000-0000-00004B1B0000}"/>
    <cellStyle name="Normal 5 4 9 2 2" xfId="16219" xr:uid="{5341B8AB-5811-4E15-A3D9-E04688A57059}"/>
    <cellStyle name="Normal 5 4 9 3" xfId="12002" xr:uid="{9350845B-CF9A-4A5A-B694-E19DB7DE46EF}"/>
    <cellStyle name="Normal 5 5" xfId="464" xr:uid="{00000000-0005-0000-0000-00004C1B0000}"/>
    <cellStyle name="Normal 5 5 10" xfId="8826" xr:uid="{5746674A-546A-44BF-97FB-6D298BF3AD61}"/>
    <cellStyle name="Normal 5 5 10 2" xfId="18150" xr:uid="{E9D1B93B-572E-4F87-9D0D-A2D52ECE3C3E}"/>
    <cellStyle name="Normal 5 5 11" xfId="9945" xr:uid="{9A57763B-ACC6-4743-BF9F-AAD98C05F5AA}"/>
    <cellStyle name="Normal 5 5 2" xfId="465" xr:uid="{00000000-0005-0000-0000-00004D1B0000}"/>
    <cellStyle name="Normal 5 5 2 10" xfId="9946" xr:uid="{C48EE6B1-5411-4ABA-B74A-F8D278682421}"/>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4A35FB68-8987-4825-A160-F3CFCDA578A5}"/>
    <cellStyle name="Normal 5 5 2 2 2 2 3" xfId="12505" xr:uid="{09A27684-9427-48D4-894F-7B11BCDED7DB}"/>
    <cellStyle name="Normal 5 5 2 2 2 3" xfId="5251" xr:uid="{00000000-0005-0000-0000-0000521B0000}"/>
    <cellStyle name="Normal 5 5 2 2 2 3 2" xfId="14577" xr:uid="{61262A95-744A-4B96-AED0-DFFC2433DD86}"/>
    <cellStyle name="Normal 5 5 2 2 2 4" xfId="9561" xr:uid="{FF1EB4DD-E23E-4228-816B-D59B021F724D}"/>
    <cellStyle name="Normal 5 5 2 2 2 4 2" xfId="18876" xr:uid="{FD979A6E-FBC6-4564-90B8-DD97E381A5DD}"/>
    <cellStyle name="Normal 5 5 2 2 2 5" xfId="10360" xr:uid="{BDEE3416-EB31-43B6-B585-6F9BC0DE13E8}"/>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D83F962F-04B9-41E6-8455-1A5C5F53AF95}"/>
    <cellStyle name="Normal 5 5 2 2 3 2 3" xfId="12918" xr:uid="{6CEC12F9-61E7-495F-8722-C7B49876E421}"/>
    <cellStyle name="Normal 5 5 2 2 3 3" xfId="5664" xr:uid="{00000000-0005-0000-0000-0000561B0000}"/>
    <cellStyle name="Normal 5 5 2 2 3 3 2" xfId="14990" xr:uid="{EDA0473F-DDF9-47F1-BC88-232F74627A62}"/>
    <cellStyle name="Normal 5 5 2 2 3 4" xfId="10773" xr:uid="{98AB7D01-79FB-4AC7-8272-7255B148DCBE}"/>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2F245BEB-FCF6-407F-9766-73DEFBD60716}"/>
    <cellStyle name="Normal 5 5 2 2 4 2 3" xfId="13331" xr:uid="{2A4E224F-31AF-4B11-9E85-52A5FC642DF1}"/>
    <cellStyle name="Normal 5 5 2 2 4 3" xfId="6077" xr:uid="{00000000-0005-0000-0000-00005A1B0000}"/>
    <cellStyle name="Normal 5 5 2 2 4 3 2" xfId="15403" xr:uid="{39122DCB-BA68-42A7-852B-BA76E2A05C6D}"/>
    <cellStyle name="Normal 5 5 2 2 4 4" xfId="11186" xr:uid="{2A7AEF16-2D8B-4D39-87FA-5E4134798DE3}"/>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0C07D7EE-6EE5-434F-B038-0BF61A300D0E}"/>
    <cellStyle name="Normal 5 5 2 2 5 2 3" xfId="13744" xr:uid="{B98AC594-4847-48B6-8A35-47784ED2D7D5}"/>
    <cellStyle name="Normal 5 5 2 2 5 3" xfId="6490" xr:uid="{00000000-0005-0000-0000-00005E1B0000}"/>
    <cellStyle name="Normal 5 5 2 2 5 3 2" xfId="15816" xr:uid="{ACF0EDF6-806C-4CEE-9631-1A2059783380}"/>
    <cellStyle name="Normal 5 5 2 2 5 4" xfId="11599" xr:uid="{6649434B-61A0-4590-A829-4BC2E8D21456}"/>
    <cellStyle name="Normal 5 5 2 2 6" xfId="2620" xr:uid="{00000000-0005-0000-0000-00005F1B0000}"/>
    <cellStyle name="Normal 5 5 2 2 6 2" xfId="6903" xr:uid="{00000000-0005-0000-0000-0000601B0000}"/>
    <cellStyle name="Normal 5 5 2 2 6 2 2" xfId="16229" xr:uid="{79EFCBD8-0C8E-49F2-8083-DD67C1EC1B12}"/>
    <cellStyle name="Normal 5 5 2 2 6 3" xfId="12012" xr:uid="{15E78E14-0882-4453-A03B-CFF32B2231DA}"/>
    <cellStyle name="Normal 5 5 2 2 7" xfId="4838" xr:uid="{00000000-0005-0000-0000-0000611B0000}"/>
    <cellStyle name="Normal 5 5 2 2 7 2" xfId="14164" xr:uid="{E4E2500E-548F-4D60-9884-665B2196E763}"/>
    <cellStyle name="Normal 5 5 2 2 8" xfId="9136" xr:uid="{D41453B5-3BE6-4F01-B336-45A274529844}"/>
    <cellStyle name="Normal 5 5 2 2 8 2" xfId="18460" xr:uid="{EC14DA0F-31F9-4D44-B8AE-C73B9F961C93}"/>
    <cellStyle name="Normal 5 5 2 2 9" xfId="9947" xr:uid="{E947646F-D984-45FD-96A0-15FDB7E444CA}"/>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233D944A-93CB-4773-94ED-56D0DF6C7CA4}"/>
    <cellStyle name="Normal 5 5 2 3 2 3" xfId="12504" xr:uid="{83F70B08-FB6C-4CE6-9546-9DDA1FACBE7D}"/>
    <cellStyle name="Normal 5 5 2 3 3" xfId="5250" xr:uid="{00000000-0005-0000-0000-0000651B0000}"/>
    <cellStyle name="Normal 5 5 2 3 3 2" xfId="14576" xr:uid="{F6150CA4-FEF0-4EBA-8524-8919A0E4006A}"/>
    <cellStyle name="Normal 5 5 2 3 4" xfId="9354" xr:uid="{3251F49D-E700-469D-9840-28045D408641}"/>
    <cellStyle name="Normal 5 5 2 3 4 2" xfId="18669" xr:uid="{1CB8A26C-1DEC-40CB-8455-8E8A3384219F}"/>
    <cellStyle name="Normal 5 5 2 3 5" xfId="10359" xr:uid="{3C2E39B2-533E-4AD3-8D96-54868780A22B}"/>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4CA4ABA4-D677-4D3D-A672-3B42C35FC1C5}"/>
    <cellStyle name="Normal 5 5 2 4 2 3" xfId="12917" xr:uid="{A11AF0D2-71E4-4E5D-A105-51197BCC0E50}"/>
    <cellStyle name="Normal 5 5 2 4 3" xfId="5663" xr:uid="{00000000-0005-0000-0000-0000691B0000}"/>
    <cellStyle name="Normal 5 5 2 4 3 2" xfId="14989" xr:uid="{E0B7AC98-3A1C-40D2-A007-B0770BE60063}"/>
    <cellStyle name="Normal 5 5 2 4 4" xfId="10772" xr:uid="{FFD571F7-ADAB-4DBA-B48F-E2B731A37176}"/>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875350FC-5E45-444E-82E8-82E0638C0EE6}"/>
    <cellStyle name="Normal 5 5 2 5 2 3" xfId="13330" xr:uid="{11A19FE9-F199-4459-BBE8-98243C0A7482}"/>
    <cellStyle name="Normal 5 5 2 5 3" xfId="6076" xr:uid="{00000000-0005-0000-0000-00006D1B0000}"/>
    <cellStyle name="Normal 5 5 2 5 3 2" xfId="15402" xr:uid="{DA42A5F7-402F-40BD-A3C3-2AB4336315E9}"/>
    <cellStyle name="Normal 5 5 2 5 4" xfId="11185" xr:uid="{868C16CF-2150-4ADC-8994-DA201016F370}"/>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6B7AD41C-33C5-4EC6-A6F4-D6AF3408715F}"/>
    <cellStyle name="Normal 5 5 2 6 2 3" xfId="13743" xr:uid="{5C3F7458-4A5D-42D8-91B7-380EFCFE808A}"/>
    <cellStyle name="Normal 5 5 2 6 3" xfId="6489" xr:uid="{00000000-0005-0000-0000-0000711B0000}"/>
    <cellStyle name="Normal 5 5 2 6 3 2" xfId="15815" xr:uid="{4AE53B4D-848B-484E-9D44-BD7B51EBA774}"/>
    <cellStyle name="Normal 5 5 2 6 4" xfId="11598" xr:uid="{4BB4CA4A-099F-4390-A93C-126E00876A54}"/>
    <cellStyle name="Normal 5 5 2 7" xfId="2619" xr:uid="{00000000-0005-0000-0000-0000721B0000}"/>
    <cellStyle name="Normal 5 5 2 7 2" xfId="6902" xr:uid="{00000000-0005-0000-0000-0000731B0000}"/>
    <cellStyle name="Normal 5 5 2 7 2 2" xfId="16228" xr:uid="{64378BB8-5831-4BAE-B0C5-67991F21CC41}"/>
    <cellStyle name="Normal 5 5 2 7 3" xfId="12011" xr:uid="{39489652-342F-4223-94F3-84AEE2B094A5}"/>
    <cellStyle name="Normal 5 5 2 8" xfId="4837" xr:uid="{00000000-0005-0000-0000-0000741B0000}"/>
    <cellStyle name="Normal 5 5 2 8 2" xfId="14163" xr:uid="{16873CB4-FB17-43F9-B885-F3E47B57DA3E}"/>
    <cellStyle name="Normal 5 5 2 9" xfId="8929" xr:uid="{918246BA-1946-46D4-8BAF-6DC0C4DC8AC3}"/>
    <cellStyle name="Normal 5 5 2 9 2" xfId="18253" xr:uid="{C3CBF5CD-26BF-41E8-8589-704CD7F67B52}"/>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1183CAEA-007E-4E2E-AE2C-6808CE7AA33C}"/>
    <cellStyle name="Normal 5 5 3 2 2 3" xfId="12506" xr:uid="{51D1AB79-E800-4C63-85DE-2A02DB1C70EA}"/>
    <cellStyle name="Normal 5 5 3 2 3" xfId="5252" xr:uid="{00000000-0005-0000-0000-0000791B0000}"/>
    <cellStyle name="Normal 5 5 3 2 3 2" xfId="14578" xr:uid="{7464E704-9759-4509-BB19-B3F6E9039D98}"/>
    <cellStyle name="Normal 5 5 3 2 4" xfId="9458" xr:uid="{8AD16727-CFBF-4DB5-B58F-04D48E2B564D}"/>
    <cellStyle name="Normal 5 5 3 2 4 2" xfId="18773" xr:uid="{6BD93F08-23EE-48E6-BFEA-60EC2F687D7A}"/>
    <cellStyle name="Normal 5 5 3 2 5" xfId="10361" xr:uid="{F4697D5E-E697-4780-A767-24AF02AB997F}"/>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3556FDBC-B31A-4EDF-8D2D-E8CD39B685C2}"/>
    <cellStyle name="Normal 5 5 3 3 2 3" xfId="12919" xr:uid="{3A9BD2DE-440C-48BD-A68F-1784355D099D}"/>
    <cellStyle name="Normal 5 5 3 3 3" xfId="5665" xr:uid="{00000000-0005-0000-0000-00007D1B0000}"/>
    <cellStyle name="Normal 5 5 3 3 3 2" xfId="14991" xr:uid="{8003978C-6E71-4CAB-B5CC-C64FC96E2126}"/>
    <cellStyle name="Normal 5 5 3 3 4" xfId="10774" xr:uid="{28099B50-5857-4655-9F1D-D53B3E1FEAE0}"/>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57D665A0-1431-4124-8AC4-AB329413E52B}"/>
    <cellStyle name="Normal 5 5 3 4 2 3" xfId="13332" xr:uid="{72DCA674-9F36-4F02-8989-BAACBB913540}"/>
    <cellStyle name="Normal 5 5 3 4 3" xfId="6078" xr:uid="{00000000-0005-0000-0000-0000811B0000}"/>
    <cellStyle name="Normal 5 5 3 4 3 2" xfId="15404" xr:uid="{46F7D354-D75E-4E32-BB0D-D0F3E41523C3}"/>
    <cellStyle name="Normal 5 5 3 4 4" xfId="11187" xr:uid="{BA2DD65B-FCEE-4A41-90E1-056273C03857}"/>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E9423718-D5C7-423A-AF77-1A9CC6B487D9}"/>
    <cellStyle name="Normal 5 5 3 5 2 3" xfId="13745" xr:uid="{9F15DE3D-E392-4D07-AD30-1A8AFDA7BB10}"/>
    <cellStyle name="Normal 5 5 3 5 3" xfId="6491" xr:uid="{00000000-0005-0000-0000-0000851B0000}"/>
    <cellStyle name="Normal 5 5 3 5 3 2" xfId="15817" xr:uid="{93D1AED4-B822-4488-898D-3B3005149D7D}"/>
    <cellStyle name="Normal 5 5 3 5 4" xfId="11600" xr:uid="{F91ADC8D-4518-4028-AB72-338D6E0A5892}"/>
    <cellStyle name="Normal 5 5 3 6" xfId="2621" xr:uid="{00000000-0005-0000-0000-0000861B0000}"/>
    <cellStyle name="Normal 5 5 3 6 2" xfId="6904" xr:uid="{00000000-0005-0000-0000-0000871B0000}"/>
    <cellStyle name="Normal 5 5 3 6 2 2" xfId="16230" xr:uid="{20E58FC7-F01D-4362-A4EA-80675E76148C}"/>
    <cellStyle name="Normal 5 5 3 6 3" xfId="12013" xr:uid="{EF1269CF-150B-487C-89FF-875EBCB399A0}"/>
    <cellStyle name="Normal 5 5 3 7" xfId="4839" xr:uid="{00000000-0005-0000-0000-0000881B0000}"/>
    <cellStyle name="Normal 5 5 3 7 2" xfId="14165" xr:uid="{39F3982F-ED2A-4170-BAD7-3D034DF515D6}"/>
    <cellStyle name="Normal 5 5 3 8" xfId="9033" xr:uid="{08F77EF7-8D03-42D9-B538-FE3582C4B971}"/>
    <cellStyle name="Normal 5 5 3 8 2" xfId="18357" xr:uid="{B54F9AC9-B935-4E3A-8D38-087DF03DEF04}"/>
    <cellStyle name="Normal 5 5 3 9" xfId="9948" xr:uid="{470D1866-711F-4B49-9FD6-63D15180DFBE}"/>
    <cellStyle name="Normal 5 5 4" xfId="938" xr:uid="{00000000-0005-0000-0000-0000891B0000}"/>
    <cellStyle name="Normal 5 5 4 2" xfId="3172" xr:uid="{00000000-0005-0000-0000-00008A1B0000}"/>
    <cellStyle name="Normal 5 5 4 2 2" xfId="7394" xr:uid="{00000000-0005-0000-0000-00008B1B0000}"/>
    <cellStyle name="Normal 5 5 4 2 2 2" xfId="16720" xr:uid="{C4AEA8D0-AF38-4F43-B1E6-8B0602738D1A}"/>
    <cellStyle name="Normal 5 5 4 2 3" xfId="12503" xr:uid="{27D07A12-E0FD-4C78-954C-591C22C818E9}"/>
    <cellStyle name="Normal 5 5 4 3" xfId="5249" xr:uid="{00000000-0005-0000-0000-00008C1B0000}"/>
    <cellStyle name="Normal 5 5 4 3 2" xfId="14575" xr:uid="{E0F6208C-AB65-42A5-9719-24282AD4E2CC}"/>
    <cellStyle name="Normal 5 5 4 4" xfId="9251" xr:uid="{4EAD9E35-D3C9-46BE-AE4D-29A1C6D5A6F7}"/>
    <cellStyle name="Normal 5 5 4 4 2" xfId="18566" xr:uid="{9B3D2B71-55ED-4E1E-A05C-FF37FD0D3298}"/>
    <cellStyle name="Normal 5 5 4 5" xfId="10358" xr:uid="{87EA8195-2F8C-4AB1-B5FE-48019C3D2FC3}"/>
    <cellStyle name="Normal 5 5 5" xfId="1355" xr:uid="{00000000-0005-0000-0000-00008D1B0000}"/>
    <cellStyle name="Normal 5 5 5 2" xfId="3585" xr:uid="{00000000-0005-0000-0000-00008E1B0000}"/>
    <cellStyle name="Normal 5 5 5 2 2" xfId="7807" xr:uid="{00000000-0005-0000-0000-00008F1B0000}"/>
    <cellStyle name="Normal 5 5 5 2 2 2" xfId="17133" xr:uid="{46F510D7-3718-47AB-A52D-4E44340B5CA1}"/>
    <cellStyle name="Normal 5 5 5 2 3" xfId="12916" xr:uid="{7E4CE248-F906-4E6A-AB07-898363AC308F}"/>
    <cellStyle name="Normal 5 5 5 3" xfId="5662" xr:uid="{00000000-0005-0000-0000-0000901B0000}"/>
    <cellStyle name="Normal 5 5 5 3 2" xfId="14988" xr:uid="{5AB724BA-E30D-4772-AA56-D7466E91F29A}"/>
    <cellStyle name="Normal 5 5 5 4" xfId="10771" xr:uid="{9DFB4F1D-A193-4908-B0D5-FE8FC7D604F2}"/>
    <cellStyle name="Normal 5 5 6" xfId="1768" xr:uid="{00000000-0005-0000-0000-0000911B0000}"/>
    <cellStyle name="Normal 5 5 6 2" xfId="3998" xr:uid="{00000000-0005-0000-0000-0000921B0000}"/>
    <cellStyle name="Normal 5 5 6 2 2" xfId="8220" xr:uid="{00000000-0005-0000-0000-0000931B0000}"/>
    <cellStyle name="Normal 5 5 6 2 2 2" xfId="17546" xr:uid="{594A5D0F-7849-4C9F-9C34-91CD9200AFCA}"/>
    <cellStyle name="Normal 5 5 6 2 3" xfId="13329" xr:uid="{AA390C4B-CF96-4E1C-A01F-2B8F02A2DBED}"/>
    <cellStyle name="Normal 5 5 6 3" xfId="6075" xr:uid="{00000000-0005-0000-0000-0000941B0000}"/>
    <cellStyle name="Normal 5 5 6 3 2" xfId="15401" xr:uid="{FB3FF19B-69F1-46C3-8AEE-89FD3031BD13}"/>
    <cellStyle name="Normal 5 5 6 4" xfId="11184" xr:uid="{6BFB27B3-CE46-496F-8643-3D668CED2447}"/>
    <cellStyle name="Normal 5 5 7" xfId="2182" xr:uid="{00000000-0005-0000-0000-0000951B0000}"/>
    <cellStyle name="Normal 5 5 7 2" xfId="4411" xr:uid="{00000000-0005-0000-0000-0000961B0000}"/>
    <cellStyle name="Normal 5 5 7 2 2" xfId="8633" xr:uid="{00000000-0005-0000-0000-0000971B0000}"/>
    <cellStyle name="Normal 5 5 7 2 2 2" xfId="17959" xr:uid="{7B5F8DE8-5520-444F-8232-4E2F538E9E54}"/>
    <cellStyle name="Normal 5 5 7 2 3" xfId="13742" xr:uid="{E809DAF1-E3F6-4F46-A30D-81FE9A7C70F2}"/>
    <cellStyle name="Normal 5 5 7 3" xfId="6488" xr:uid="{00000000-0005-0000-0000-0000981B0000}"/>
    <cellStyle name="Normal 5 5 7 3 2" xfId="15814" xr:uid="{1CB0F14B-63F1-4CE9-82F7-F5DDA54BF471}"/>
    <cellStyle name="Normal 5 5 7 4" xfId="11597" xr:uid="{F2C15AE2-52BF-45AC-8918-B5E509BDC3D9}"/>
    <cellStyle name="Normal 5 5 8" xfId="2618" xr:uid="{00000000-0005-0000-0000-0000991B0000}"/>
    <cellStyle name="Normal 5 5 8 2" xfId="6901" xr:uid="{00000000-0005-0000-0000-00009A1B0000}"/>
    <cellStyle name="Normal 5 5 8 2 2" xfId="16227" xr:uid="{45EACEF0-29D4-4D8D-84BC-CE715C6D8FA4}"/>
    <cellStyle name="Normal 5 5 8 3" xfId="12010" xr:uid="{EAB27AB9-72B5-4B73-B3D6-63B70F1A2807}"/>
    <cellStyle name="Normal 5 5 9" xfId="4836" xr:uid="{00000000-0005-0000-0000-00009B1B0000}"/>
    <cellStyle name="Normal 5 5 9 2" xfId="14162" xr:uid="{7B48E137-5596-4301-9F9A-68DADE4A7043}"/>
    <cellStyle name="Normal 5 6" xfId="468" xr:uid="{00000000-0005-0000-0000-00009C1B0000}"/>
    <cellStyle name="Normal 5 6 10" xfId="9949" xr:uid="{64C313C0-683B-4D1F-888C-F8659D4C9485}"/>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8A5B694C-CFC9-4FF0-A40B-6098D07A0E8B}"/>
    <cellStyle name="Normal 5 6 2 2 2 3" xfId="12508" xr:uid="{358790A8-4857-41A7-8C36-2EDA88E4136C}"/>
    <cellStyle name="Normal 5 6 2 2 3" xfId="5254" xr:uid="{00000000-0005-0000-0000-0000A11B0000}"/>
    <cellStyle name="Normal 5 6 2 2 3 2" xfId="14580" xr:uid="{8CFBA562-4BAC-43CF-BE3A-3A4BF4ACAD42}"/>
    <cellStyle name="Normal 5 6 2 2 4" xfId="9476" xr:uid="{3B3E6CA1-4D97-4B11-99D5-4F82314AA0E0}"/>
    <cellStyle name="Normal 5 6 2 2 4 2" xfId="18791" xr:uid="{1C0CD7BF-D6C1-4A86-98F6-3F0B50546110}"/>
    <cellStyle name="Normal 5 6 2 2 5" xfId="10363" xr:uid="{33F3C275-9F54-4153-A12B-55EF3581421F}"/>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39A376FA-C633-4DD4-8549-604CF2FB097F}"/>
    <cellStyle name="Normal 5 6 2 3 2 3" xfId="12921" xr:uid="{AC686541-0932-4BB0-BD1D-1A76562A8240}"/>
    <cellStyle name="Normal 5 6 2 3 3" xfId="5667" xr:uid="{00000000-0005-0000-0000-0000A51B0000}"/>
    <cellStyle name="Normal 5 6 2 3 3 2" xfId="14993" xr:uid="{0EA0BECF-DC78-45BC-B7B1-91748FDEC3D1}"/>
    <cellStyle name="Normal 5 6 2 3 4" xfId="10776" xr:uid="{2D28B7DE-368D-4AB1-ACDE-A31B14E9AD06}"/>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24301EA8-7FDA-417C-96F0-112385580C4C}"/>
    <cellStyle name="Normal 5 6 2 4 2 3" xfId="13334" xr:uid="{E2690F2A-3600-472E-A588-92E6B125A354}"/>
    <cellStyle name="Normal 5 6 2 4 3" xfId="6080" xr:uid="{00000000-0005-0000-0000-0000A91B0000}"/>
    <cellStyle name="Normal 5 6 2 4 3 2" xfId="15406" xr:uid="{1F37F177-EA08-460D-AC39-D642CCD5DD0D}"/>
    <cellStyle name="Normal 5 6 2 4 4" xfId="11189" xr:uid="{45C1AA67-D8C7-4D8C-8130-C50D069AA15F}"/>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66259656-DB16-47E1-91A4-2342BD6878B2}"/>
    <cellStyle name="Normal 5 6 2 5 2 3" xfId="13747" xr:uid="{35D21880-21B4-4E0F-B259-0455DE3F3C14}"/>
    <cellStyle name="Normal 5 6 2 5 3" xfId="6493" xr:uid="{00000000-0005-0000-0000-0000AD1B0000}"/>
    <cellStyle name="Normal 5 6 2 5 3 2" xfId="15819" xr:uid="{68827A7C-2EA7-497E-8326-4DDD36DCF318}"/>
    <cellStyle name="Normal 5 6 2 5 4" xfId="11602" xr:uid="{BCFFA8E2-4153-495B-8DF2-568F2F05928D}"/>
    <cellStyle name="Normal 5 6 2 6" xfId="2623" xr:uid="{00000000-0005-0000-0000-0000AE1B0000}"/>
    <cellStyle name="Normal 5 6 2 6 2" xfId="6906" xr:uid="{00000000-0005-0000-0000-0000AF1B0000}"/>
    <cellStyle name="Normal 5 6 2 6 2 2" xfId="16232" xr:uid="{C734CD34-BC03-4DE0-B0EA-3CBCFDD99443}"/>
    <cellStyle name="Normal 5 6 2 6 3" xfId="12015" xr:uid="{9E949D77-C0C3-4EED-AF40-F665DDF9FD90}"/>
    <cellStyle name="Normal 5 6 2 7" xfId="4841" xr:uid="{00000000-0005-0000-0000-0000B01B0000}"/>
    <cellStyle name="Normal 5 6 2 7 2" xfId="14167" xr:uid="{E7A427F6-2AEF-434D-90BC-17F325566455}"/>
    <cellStyle name="Normal 5 6 2 8" xfId="9051" xr:uid="{97C72229-9AC1-4DA9-8A0B-8B4B6D970DE8}"/>
    <cellStyle name="Normal 5 6 2 8 2" xfId="18375" xr:uid="{C2E66A73-6D7A-408E-9742-04EA0E0F81A2}"/>
    <cellStyle name="Normal 5 6 2 9" xfId="9950" xr:uid="{4A90A69F-8611-4854-B659-2D85471D6EE0}"/>
    <cellStyle name="Normal 5 6 3" xfId="942" xr:uid="{00000000-0005-0000-0000-0000B11B0000}"/>
    <cellStyle name="Normal 5 6 3 2" xfId="3176" xr:uid="{00000000-0005-0000-0000-0000B21B0000}"/>
    <cellStyle name="Normal 5 6 3 2 2" xfId="7398" xr:uid="{00000000-0005-0000-0000-0000B31B0000}"/>
    <cellStyle name="Normal 5 6 3 2 2 2" xfId="16724" xr:uid="{B74B206A-C5B4-4F8E-8DF8-5B448C69845A}"/>
    <cellStyle name="Normal 5 6 3 2 3" xfId="12507" xr:uid="{51F54FC5-C088-4581-897D-D88936B5C434}"/>
    <cellStyle name="Normal 5 6 3 3" xfId="5253" xr:uid="{00000000-0005-0000-0000-0000B41B0000}"/>
    <cellStyle name="Normal 5 6 3 3 2" xfId="14579" xr:uid="{4969CA1D-5DF7-46C4-94DF-238E9B575D12}"/>
    <cellStyle name="Normal 5 6 3 4" xfId="9269" xr:uid="{7D6728A0-C210-4F3F-8114-143B9AE0BFB4}"/>
    <cellStyle name="Normal 5 6 3 4 2" xfId="18584" xr:uid="{D56061F3-05A9-4E29-99DA-A18F27E88CCD}"/>
    <cellStyle name="Normal 5 6 3 5" xfId="10362" xr:uid="{AB35435E-E0EF-4E9C-A418-1F975F69BBCB}"/>
    <cellStyle name="Normal 5 6 4" xfId="1359" xr:uid="{00000000-0005-0000-0000-0000B51B0000}"/>
    <cellStyle name="Normal 5 6 4 2" xfId="3589" xr:uid="{00000000-0005-0000-0000-0000B61B0000}"/>
    <cellStyle name="Normal 5 6 4 2 2" xfId="7811" xr:uid="{00000000-0005-0000-0000-0000B71B0000}"/>
    <cellStyle name="Normal 5 6 4 2 2 2" xfId="17137" xr:uid="{495194DF-7E57-4796-BFE4-C68CB0D1E014}"/>
    <cellStyle name="Normal 5 6 4 2 3" xfId="12920" xr:uid="{5D54DDC2-B11D-48B6-BFF0-C8BB8E7CA8F6}"/>
    <cellStyle name="Normal 5 6 4 3" xfId="5666" xr:uid="{00000000-0005-0000-0000-0000B81B0000}"/>
    <cellStyle name="Normal 5 6 4 3 2" xfId="14992" xr:uid="{2E648C74-B931-47C9-BED6-C9BB98AA4644}"/>
    <cellStyle name="Normal 5 6 4 4" xfId="10775" xr:uid="{B9ADD6FB-0449-45D4-AFEA-C7C8478C4800}"/>
    <cellStyle name="Normal 5 6 5" xfId="1772" xr:uid="{00000000-0005-0000-0000-0000B91B0000}"/>
    <cellStyle name="Normal 5 6 5 2" xfId="4002" xr:uid="{00000000-0005-0000-0000-0000BA1B0000}"/>
    <cellStyle name="Normal 5 6 5 2 2" xfId="8224" xr:uid="{00000000-0005-0000-0000-0000BB1B0000}"/>
    <cellStyle name="Normal 5 6 5 2 2 2" xfId="17550" xr:uid="{786A13B9-6F5D-4AA3-A5B8-22F91106F548}"/>
    <cellStyle name="Normal 5 6 5 2 3" xfId="13333" xr:uid="{2C6134B6-00F8-401F-97DC-3543BC470B2B}"/>
    <cellStyle name="Normal 5 6 5 3" xfId="6079" xr:uid="{00000000-0005-0000-0000-0000BC1B0000}"/>
    <cellStyle name="Normal 5 6 5 3 2" xfId="15405" xr:uid="{E60FE18D-2C6B-4401-803A-B9CD17EB9D7B}"/>
    <cellStyle name="Normal 5 6 5 4" xfId="11188" xr:uid="{F0E1DF4C-51D1-4CF3-9B1F-6C575E33B077}"/>
    <cellStyle name="Normal 5 6 6" xfId="2186" xr:uid="{00000000-0005-0000-0000-0000BD1B0000}"/>
    <cellStyle name="Normal 5 6 6 2" xfId="4415" xr:uid="{00000000-0005-0000-0000-0000BE1B0000}"/>
    <cellStyle name="Normal 5 6 6 2 2" xfId="8637" xr:uid="{00000000-0005-0000-0000-0000BF1B0000}"/>
    <cellStyle name="Normal 5 6 6 2 2 2" xfId="17963" xr:uid="{566B55A4-77DA-4543-A06A-1C532416B6D8}"/>
    <cellStyle name="Normal 5 6 6 2 3" xfId="13746" xr:uid="{ECFF0706-2BC8-49DB-A4CE-9DFFE57DBCCF}"/>
    <cellStyle name="Normal 5 6 6 3" xfId="6492" xr:uid="{00000000-0005-0000-0000-0000C01B0000}"/>
    <cellStyle name="Normal 5 6 6 3 2" xfId="15818" xr:uid="{9BC7AD5F-3F24-4DB0-A203-74E563C85268}"/>
    <cellStyle name="Normal 5 6 6 4" xfId="11601" xr:uid="{37CE4634-4C96-41AC-B68E-A30626D88A2C}"/>
    <cellStyle name="Normal 5 6 7" xfId="2622" xr:uid="{00000000-0005-0000-0000-0000C11B0000}"/>
    <cellStyle name="Normal 5 6 7 2" xfId="6905" xr:uid="{00000000-0005-0000-0000-0000C21B0000}"/>
    <cellStyle name="Normal 5 6 7 2 2" xfId="16231" xr:uid="{1C37D2FE-62B9-4323-BD2E-DCF1CCF84231}"/>
    <cellStyle name="Normal 5 6 7 3" xfId="12014" xr:uid="{A45BA97B-285C-487B-A477-F946CC0F2207}"/>
    <cellStyle name="Normal 5 6 8" xfId="4840" xr:uid="{00000000-0005-0000-0000-0000C31B0000}"/>
    <cellStyle name="Normal 5 6 8 2" xfId="14166" xr:uid="{9532FF52-9C45-454A-B3B2-F8E19C9040DC}"/>
    <cellStyle name="Normal 5 6 9" xfId="8844" xr:uid="{91B947E4-8FF0-409F-B157-688724766D9F}"/>
    <cellStyle name="Normal 5 6 9 2" xfId="18168" xr:uid="{CEAE3E6D-84F8-4690-BEE9-36776545FF51}"/>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BDD62BF6-D3A5-4030-B35A-9890E88D33BA}"/>
    <cellStyle name="Normal 5 7 2 2 3" xfId="12509" xr:uid="{F7597995-2C0D-475D-9C49-4D019AACECF3}"/>
    <cellStyle name="Normal 5 7 2 3" xfId="5255" xr:uid="{00000000-0005-0000-0000-0000C81B0000}"/>
    <cellStyle name="Normal 5 7 2 3 2" xfId="14581" xr:uid="{F3BE6249-78B0-4F5E-8C25-3C8DAB6A7487}"/>
    <cellStyle name="Normal 5 7 2 4" xfId="9385" xr:uid="{2E4A3B0A-2E42-41AC-9564-09D1598995A2}"/>
    <cellStyle name="Normal 5 7 2 4 2" xfId="18700" xr:uid="{7735FD40-9FE1-4387-BD4F-D046B7284CB1}"/>
    <cellStyle name="Normal 5 7 2 5" xfId="10364" xr:uid="{85E9BC2B-2B08-4A60-9870-E6D1EC9DC58D}"/>
    <cellStyle name="Normal 5 7 3" xfId="1361" xr:uid="{00000000-0005-0000-0000-0000C91B0000}"/>
    <cellStyle name="Normal 5 7 3 2" xfId="3591" xr:uid="{00000000-0005-0000-0000-0000CA1B0000}"/>
    <cellStyle name="Normal 5 7 3 2 2" xfId="7813" xr:uid="{00000000-0005-0000-0000-0000CB1B0000}"/>
    <cellStyle name="Normal 5 7 3 2 2 2" xfId="17139" xr:uid="{C980C8A3-FAFB-4234-9D7D-D4B4B54C28BD}"/>
    <cellStyle name="Normal 5 7 3 2 3" xfId="12922" xr:uid="{B4530FA0-8161-482E-8DA6-753D2AFE2DB8}"/>
    <cellStyle name="Normal 5 7 3 3" xfId="5668" xr:uid="{00000000-0005-0000-0000-0000CC1B0000}"/>
    <cellStyle name="Normal 5 7 3 3 2" xfId="14994" xr:uid="{2060A3B7-5246-4ED4-8DCB-916CB1C7277A}"/>
    <cellStyle name="Normal 5 7 3 4" xfId="10777" xr:uid="{22C0998E-07A3-4EB9-A9D6-BCD623C9FA28}"/>
    <cellStyle name="Normal 5 7 4" xfId="1774" xr:uid="{00000000-0005-0000-0000-0000CD1B0000}"/>
    <cellStyle name="Normal 5 7 4 2" xfId="4004" xr:uid="{00000000-0005-0000-0000-0000CE1B0000}"/>
    <cellStyle name="Normal 5 7 4 2 2" xfId="8226" xr:uid="{00000000-0005-0000-0000-0000CF1B0000}"/>
    <cellStyle name="Normal 5 7 4 2 2 2" xfId="17552" xr:uid="{24869E59-051A-4DCD-889A-704168EA7C15}"/>
    <cellStyle name="Normal 5 7 4 2 3" xfId="13335" xr:uid="{52BC1496-1387-40FF-A980-EAB36A4DA327}"/>
    <cellStyle name="Normal 5 7 4 3" xfId="6081" xr:uid="{00000000-0005-0000-0000-0000D01B0000}"/>
    <cellStyle name="Normal 5 7 4 3 2" xfId="15407" xr:uid="{382ADFB5-2F18-4009-ABBF-9ABD47A7B50E}"/>
    <cellStyle name="Normal 5 7 4 4" xfId="11190" xr:uid="{3BAB2ACD-449E-4AFB-B16D-8133921FAB4F}"/>
    <cellStyle name="Normal 5 7 5" xfId="2188" xr:uid="{00000000-0005-0000-0000-0000D11B0000}"/>
    <cellStyle name="Normal 5 7 5 2" xfId="4417" xr:uid="{00000000-0005-0000-0000-0000D21B0000}"/>
    <cellStyle name="Normal 5 7 5 2 2" xfId="8639" xr:uid="{00000000-0005-0000-0000-0000D31B0000}"/>
    <cellStyle name="Normal 5 7 5 2 2 2" xfId="17965" xr:uid="{CCA297EE-DADA-409B-88BD-815AEBBD9F5E}"/>
    <cellStyle name="Normal 5 7 5 2 3" xfId="13748" xr:uid="{F341AED3-C4FE-4986-A813-E36CAE7A35A0}"/>
    <cellStyle name="Normal 5 7 5 3" xfId="6494" xr:uid="{00000000-0005-0000-0000-0000D41B0000}"/>
    <cellStyle name="Normal 5 7 5 3 2" xfId="15820" xr:uid="{872EFC13-B96A-4AE8-8C57-90D3B5607B31}"/>
    <cellStyle name="Normal 5 7 5 4" xfId="11603" xr:uid="{A3B11D2B-CCF3-416B-A5CE-20726E81E023}"/>
    <cellStyle name="Normal 5 7 6" xfId="2624" xr:uid="{00000000-0005-0000-0000-0000D51B0000}"/>
    <cellStyle name="Normal 5 7 6 2" xfId="6907" xr:uid="{00000000-0005-0000-0000-0000D61B0000}"/>
    <cellStyle name="Normal 5 7 6 2 2" xfId="16233" xr:uid="{35279267-AE89-48B8-BA3A-1662775A924B}"/>
    <cellStyle name="Normal 5 7 6 3" xfId="12016" xr:uid="{D78386EA-5745-4E63-9344-03E8E04DECE5}"/>
    <cellStyle name="Normal 5 7 7" xfId="4842" xr:uid="{00000000-0005-0000-0000-0000D71B0000}"/>
    <cellStyle name="Normal 5 7 7 2" xfId="14168" xr:uid="{5117E849-376D-4E0C-95FE-703F4B64C86F}"/>
    <cellStyle name="Normal 5 7 8" xfId="8960" xr:uid="{F4BEC964-53C9-4393-B7F1-69B47FC1FF25}"/>
    <cellStyle name="Normal 5 7 8 2" xfId="18284" xr:uid="{D79FA584-5E17-429B-A0C5-9298B7BE3E88}"/>
    <cellStyle name="Normal 5 7 9" xfId="9951" xr:uid="{4C9C3B8C-30E6-4D30-8F58-005976DE55C7}"/>
    <cellStyle name="Normal 5 8" xfId="880" xr:uid="{00000000-0005-0000-0000-0000D81B0000}"/>
    <cellStyle name="Normal 5 8 2" xfId="3115" xr:uid="{00000000-0005-0000-0000-0000D91B0000}"/>
    <cellStyle name="Normal 5 8 2 2" xfId="7337" xr:uid="{00000000-0005-0000-0000-0000DA1B0000}"/>
    <cellStyle name="Normal 5 8 2 2 2" xfId="16663" xr:uid="{6A395F6E-805A-45CF-99D2-C88CDA04C0D9}"/>
    <cellStyle name="Normal 5 8 2 3" xfId="12446" xr:uid="{06AFA181-65E2-4286-AE6B-F9743ECF6633}"/>
    <cellStyle name="Normal 5 8 3" xfId="5192" xr:uid="{00000000-0005-0000-0000-0000DB1B0000}"/>
    <cellStyle name="Normal 5 8 3 2" xfId="14518" xr:uid="{E7B35DFD-20BE-4E4E-B72D-BA900ABFB129}"/>
    <cellStyle name="Normal 5 8 4" xfId="9163" xr:uid="{44C7CAD4-DD7C-48E0-9142-8ED22123C662}"/>
    <cellStyle name="Normal 5 8 4 2" xfId="18481" xr:uid="{52B5DE7D-240B-4B19-808F-C30A2162663A}"/>
    <cellStyle name="Normal 5 8 5" xfId="10301" xr:uid="{D520C5F3-DA2F-42CA-B841-604553F22C9D}"/>
    <cellStyle name="Normal 5 9" xfId="1298" xr:uid="{00000000-0005-0000-0000-0000DC1B0000}"/>
    <cellStyle name="Normal 5 9 2" xfId="3528" xr:uid="{00000000-0005-0000-0000-0000DD1B0000}"/>
    <cellStyle name="Normal 5 9 2 2" xfId="7750" xr:uid="{00000000-0005-0000-0000-0000DE1B0000}"/>
    <cellStyle name="Normal 5 9 2 2 2" xfId="17076" xr:uid="{0BB741D7-C4B2-42CC-9756-6203BBCA07E9}"/>
    <cellStyle name="Normal 5 9 2 3" xfId="12859" xr:uid="{99F693BC-E38D-41D4-9BCF-5DBAEC77642D}"/>
    <cellStyle name="Normal 5 9 3" xfId="5605" xr:uid="{00000000-0005-0000-0000-0000DF1B0000}"/>
    <cellStyle name="Normal 5 9 3 2" xfId="14931" xr:uid="{119EFE01-98BE-4E7D-AB7B-8FBD90F6EE9B}"/>
    <cellStyle name="Normal 5 9 4" xfId="10714" xr:uid="{B617616D-A905-428A-A4F1-C928BDF499F4}"/>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2DEB7DCB-7687-4266-A068-9211FFB8070B}"/>
    <cellStyle name="Normal 8 10 2 3" xfId="13749" xr:uid="{593BE721-B0E1-43ED-9910-E4FAC12E2F9D}"/>
    <cellStyle name="Normal 8 10 3" xfId="6495" xr:uid="{00000000-0005-0000-0000-0000EB1B0000}"/>
    <cellStyle name="Normal 8 10 3 2" xfId="15821" xr:uid="{7EE41EEC-E9EB-40D7-99CB-4F5F4D4C94C8}"/>
    <cellStyle name="Normal 8 10 4" xfId="11604" xr:uid="{D4CACC18-9B4D-40B8-B954-42E980145FF0}"/>
    <cellStyle name="Normal 8 11" xfId="2625" xr:uid="{00000000-0005-0000-0000-0000EC1B0000}"/>
    <cellStyle name="Normal 8 11 2" xfId="6908" xr:uid="{00000000-0005-0000-0000-0000ED1B0000}"/>
    <cellStyle name="Normal 8 11 2 2" xfId="16234" xr:uid="{2286DE97-99FF-4A59-955A-6519880BCDF0}"/>
    <cellStyle name="Normal 8 11 3" xfId="12017" xr:uid="{ECD5CA19-F9C8-4974-87D1-8A7CB0D4E2FB}"/>
    <cellStyle name="Normal 8 12" xfId="4843" xr:uid="{00000000-0005-0000-0000-0000EE1B0000}"/>
    <cellStyle name="Normal 8 12 2" xfId="14169" xr:uid="{64A60BE8-C630-44FE-B829-C426FC439736}"/>
    <cellStyle name="Normal 8 13" xfId="8742" xr:uid="{AF36CBBC-3EEB-4AC8-923B-65C7C2418AB0}"/>
    <cellStyle name="Normal 8 13 2" xfId="18066" xr:uid="{16F82BE1-4FB7-4B1D-A063-30F6EC9084F3}"/>
    <cellStyle name="Normal 8 14" xfId="9952" xr:uid="{B2B26878-FEFF-4288-A9A4-710046D4CF42}"/>
    <cellStyle name="Normal 8 2" xfId="479" xr:uid="{00000000-0005-0000-0000-0000EF1B0000}"/>
    <cellStyle name="Normal 8 2 10" xfId="2626" xr:uid="{00000000-0005-0000-0000-0000F01B0000}"/>
    <cellStyle name="Normal 8 2 10 2" xfId="6909" xr:uid="{00000000-0005-0000-0000-0000F11B0000}"/>
    <cellStyle name="Normal 8 2 10 2 2" xfId="16235" xr:uid="{211D6694-5248-48AA-904F-2B016044058C}"/>
    <cellStyle name="Normal 8 2 10 3" xfId="12018" xr:uid="{EAF13280-3EB2-4029-8D1D-5E9D1E9B786E}"/>
    <cellStyle name="Normal 8 2 11" xfId="4844" xr:uid="{00000000-0005-0000-0000-0000F21B0000}"/>
    <cellStyle name="Normal 8 2 11 2" xfId="14170" xr:uid="{A1E986B5-253A-42DB-BD5C-FFE89F73029F}"/>
    <cellStyle name="Normal 8 2 12" xfId="8751" xr:uid="{476D0553-3387-4D9F-B05B-56EC7A36F7A1}"/>
    <cellStyle name="Normal 8 2 12 2" xfId="18075" xr:uid="{F777D5CC-EE7B-4BBA-97B9-BD6A8E78697F}"/>
    <cellStyle name="Normal 8 2 13" xfId="9953" xr:uid="{1AD77738-ED7E-412C-9D74-7DE986249666}"/>
    <cellStyle name="Normal 8 2 2" xfId="480" xr:uid="{00000000-0005-0000-0000-0000F31B0000}"/>
    <cellStyle name="Normal 8 2 2 10" xfId="4845" xr:uid="{00000000-0005-0000-0000-0000F41B0000}"/>
    <cellStyle name="Normal 8 2 2 10 2" xfId="14171" xr:uid="{D383CB36-4CAF-4F1E-9072-4DB7534FC479}"/>
    <cellStyle name="Normal 8 2 2 11" xfId="8783" xr:uid="{3C426022-C415-47DA-A8EF-1D6CE72527BD}"/>
    <cellStyle name="Normal 8 2 2 11 2" xfId="18107" xr:uid="{47B697B4-9A74-4145-AB6C-232D88F9BDF0}"/>
    <cellStyle name="Normal 8 2 2 12" xfId="9954" xr:uid="{5B4BE1D9-0A66-4E46-A54A-73F20D043206}"/>
    <cellStyle name="Normal 8 2 2 2" xfId="481" xr:uid="{00000000-0005-0000-0000-0000F51B0000}"/>
    <cellStyle name="Normal 8 2 2 2 10" xfId="8836" xr:uid="{870E50AF-610D-4E0C-BDE0-389D6B32A0FA}"/>
    <cellStyle name="Normal 8 2 2 2 10 2" xfId="18160" xr:uid="{1CE66C28-573A-4F0F-8002-9557A01515E0}"/>
    <cellStyle name="Normal 8 2 2 2 11" xfId="9955" xr:uid="{9D5D685B-CF27-4DFB-9555-CA3264003A36}"/>
    <cellStyle name="Normal 8 2 2 2 2" xfId="482" xr:uid="{00000000-0005-0000-0000-0000F61B0000}"/>
    <cellStyle name="Normal 8 2 2 2 2 10" xfId="9956" xr:uid="{7EAA7F8F-138B-4591-BD1F-BDBC986647A3}"/>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6A72C077-FD37-4ED6-B6BD-61623B3E72EC}"/>
    <cellStyle name="Normal 8 2 2 2 2 2 2 2 3" xfId="12515" xr:uid="{10CAAFA4-7B98-42BE-A596-149C223165EE}"/>
    <cellStyle name="Normal 8 2 2 2 2 2 2 3" xfId="5261" xr:uid="{00000000-0005-0000-0000-0000FB1B0000}"/>
    <cellStyle name="Normal 8 2 2 2 2 2 2 3 2" xfId="14587" xr:uid="{082BEC7E-8F7A-45F9-8421-9244D9B824B2}"/>
    <cellStyle name="Normal 8 2 2 2 2 2 2 4" xfId="9571" xr:uid="{B467C179-FE08-45F9-B1E6-E66379D80EBC}"/>
    <cellStyle name="Normal 8 2 2 2 2 2 2 4 2" xfId="18886" xr:uid="{C1DD4DD4-03E4-4E9A-9BCE-A723E303C5F5}"/>
    <cellStyle name="Normal 8 2 2 2 2 2 2 5" xfId="10370" xr:uid="{7A9BE084-00F1-44C2-8581-4009AE900EF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9F7F094F-6AC6-4E04-8F91-BC191CA302D2}"/>
    <cellStyle name="Normal 8 2 2 2 2 2 3 2 3" xfId="12928" xr:uid="{EFEC333B-E5EA-41F8-8502-43AA5718058A}"/>
    <cellStyle name="Normal 8 2 2 2 2 2 3 3" xfId="5674" xr:uid="{00000000-0005-0000-0000-0000FF1B0000}"/>
    <cellStyle name="Normal 8 2 2 2 2 2 3 3 2" xfId="15000" xr:uid="{A3F9CC90-093B-466B-AE8C-CCC92A655927}"/>
    <cellStyle name="Normal 8 2 2 2 2 2 3 4" xfId="10783" xr:uid="{2DBF723C-0481-4A4C-B7B0-87248C85667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33592AF8-E029-4CA7-BB81-F8C304734DC9}"/>
    <cellStyle name="Normal 8 2 2 2 2 2 4 2 3" xfId="13341" xr:uid="{A340A252-11D3-4F58-935D-7F9B82FF2306}"/>
    <cellStyle name="Normal 8 2 2 2 2 2 4 3" xfId="6087" xr:uid="{00000000-0005-0000-0000-0000031C0000}"/>
    <cellStyle name="Normal 8 2 2 2 2 2 4 3 2" xfId="15413" xr:uid="{C1BFFF26-ACA2-42F4-B3A9-B2A7E029BF79}"/>
    <cellStyle name="Normal 8 2 2 2 2 2 4 4" xfId="11196" xr:uid="{C7EC9E88-103B-44FA-AB63-4B9E2250CEDB}"/>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C2A87E1F-58A1-4892-888C-EBD6E86BC26E}"/>
    <cellStyle name="Normal 8 2 2 2 2 2 5 2 3" xfId="13754" xr:uid="{8457637D-DC8C-4CEC-9E57-8D4391F51674}"/>
    <cellStyle name="Normal 8 2 2 2 2 2 5 3" xfId="6500" xr:uid="{00000000-0005-0000-0000-0000071C0000}"/>
    <cellStyle name="Normal 8 2 2 2 2 2 5 3 2" xfId="15826" xr:uid="{23985F8C-6555-44D5-9B5B-5BB0450C462F}"/>
    <cellStyle name="Normal 8 2 2 2 2 2 5 4" xfId="11609" xr:uid="{69BF8BA3-B747-4116-8241-201CA9B9998B}"/>
    <cellStyle name="Normal 8 2 2 2 2 2 6" xfId="2630" xr:uid="{00000000-0005-0000-0000-0000081C0000}"/>
    <cellStyle name="Normal 8 2 2 2 2 2 6 2" xfId="6913" xr:uid="{00000000-0005-0000-0000-0000091C0000}"/>
    <cellStyle name="Normal 8 2 2 2 2 2 6 2 2" xfId="16239" xr:uid="{F1E9E13F-62AE-4C19-96F4-328E16DA939F}"/>
    <cellStyle name="Normal 8 2 2 2 2 2 6 3" xfId="12022" xr:uid="{26B511D9-E324-4D64-9406-ABC8556BCD09}"/>
    <cellStyle name="Normal 8 2 2 2 2 2 7" xfId="4848" xr:uid="{00000000-0005-0000-0000-00000A1C0000}"/>
    <cellStyle name="Normal 8 2 2 2 2 2 7 2" xfId="14174" xr:uid="{9F18202A-F803-45AD-9EEC-EFF0229910F1}"/>
    <cellStyle name="Normal 8 2 2 2 2 2 8" xfId="9146" xr:uid="{0E570703-055D-406D-8BD9-575AF6037A75}"/>
    <cellStyle name="Normal 8 2 2 2 2 2 8 2" xfId="18470" xr:uid="{26B09B68-AD99-4853-992D-031E853B4AFE}"/>
    <cellStyle name="Normal 8 2 2 2 2 2 9" xfId="9957" xr:uid="{4E45EC35-32F7-4DE6-A029-CC5C91DF9373}"/>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8842B2F8-E16C-4CA0-AECF-5AC25A6FA223}"/>
    <cellStyle name="Normal 8 2 2 2 2 3 2 3" xfId="12514" xr:uid="{0FFAF910-8851-4303-ADBA-C7A757EE25CC}"/>
    <cellStyle name="Normal 8 2 2 2 2 3 3" xfId="5260" xr:uid="{00000000-0005-0000-0000-00000E1C0000}"/>
    <cellStyle name="Normal 8 2 2 2 2 3 3 2" xfId="14586" xr:uid="{4580ED80-DA28-445F-AFDE-4E0816D1B245}"/>
    <cellStyle name="Normal 8 2 2 2 2 3 4" xfId="9364" xr:uid="{21426B7C-FC96-483C-B560-AC4767107497}"/>
    <cellStyle name="Normal 8 2 2 2 2 3 4 2" xfId="18679" xr:uid="{1826283C-C4A2-490F-BB8B-C8A0D5784D11}"/>
    <cellStyle name="Normal 8 2 2 2 2 3 5" xfId="10369" xr:uid="{6782CCC8-FEA2-4FE5-B15A-52C786E25811}"/>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1A04B9E5-42DD-4AF3-A9C4-1FF7D01671DF}"/>
    <cellStyle name="Normal 8 2 2 2 2 4 2 3" xfId="12927" xr:uid="{41304A97-059C-451E-81FB-81B32A96CA14}"/>
    <cellStyle name="Normal 8 2 2 2 2 4 3" xfId="5673" xr:uid="{00000000-0005-0000-0000-0000121C0000}"/>
    <cellStyle name="Normal 8 2 2 2 2 4 3 2" xfId="14999" xr:uid="{492D0AEC-A0A2-47AF-A810-6B237A645CCD}"/>
    <cellStyle name="Normal 8 2 2 2 2 4 4" xfId="10782" xr:uid="{812E4A6C-B86E-4A1C-B7FA-CB6CEC6A285C}"/>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1BA9A844-BEE6-40E1-A5BD-B43AB7E43D8A}"/>
    <cellStyle name="Normal 8 2 2 2 2 5 2 3" xfId="13340" xr:uid="{90192DC3-D6FE-47B7-8139-938892BF8296}"/>
    <cellStyle name="Normal 8 2 2 2 2 5 3" xfId="6086" xr:uid="{00000000-0005-0000-0000-0000161C0000}"/>
    <cellStyle name="Normal 8 2 2 2 2 5 3 2" xfId="15412" xr:uid="{F6E94930-8592-4CC4-AC98-81BC9452392A}"/>
    <cellStyle name="Normal 8 2 2 2 2 5 4" xfId="11195" xr:uid="{8E491861-E5C7-4E86-AF4F-B5A175E682A9}"/>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EF5E1BFF-50B3-40E4-9E3E-780976F9C9E1}"/>
    <cellStyle name="Normal 8 2 2 2 2 6 2 3" xfId="13753" xr:uid="{FE713136-A37F-48AB-AEB4-56341647B4DB}"/>
    <cellStyle name="Normal 8 2 2 2 2 6 3" xfId="6499" xr:uid="{00000000-0005-0000-0000-00001A1C0000}"/>
    <cellStyle name="Normal 8 2 2 2 2 6 3 2" xfId="15825" xr:uid="{2B7FFD5B-C2FA-49BA-BF80-7A6229238FD6}"/>
    <cellStyle name="Normal 8 2 2 2 2 6 4" xfId="11608" xr:uid="{40BB7808-7D8A-4CF6-8961-CCE7FE728B29}"/>
    <cellStyle name="Normal 8 2 2 2 2 7" xfId="2629" xr:uid="{00000000-0005-0000-0000-00001B1C0000}"/>
    <cellStyle name="Normal 8 2 2 2 2 7 2" xfId="6912" xr:uid="{00000000-0005-0000-0000-00001C1C0000}"/>
    <cellStyle name="Normal 8 2 2 2 2 7 2 2" xfId="16238" xr:uid="{DB6346C7-360D-41E3-B9FD-F7D27B29B0F7}"/>
    <cellStyle name="Normal 8 2 2 2 2 7 3" xfId="12021" xr:uid="{262C3F50-FF0E-4F89-AE6D-D1877E8C34F9}"/>
    <cellStyle name="Normal 8 2 2 2 2 8" xfId="4847" xr:uid="{00000000-0005-0000-0000-00001D1C0000}"/>
    <cellStyle name="Normal 8 2 2 2 2 8 2" xfId="14173" xr:uid="{B1075FC9-96F1-4ED2-B41D-6A404991A6F1}"/>
    <cellStyle name="Normal 8 2 2 2 2 9" xfId="8939" xr:uid="{385BAC75-25D1-414A-8E33-9B6DCCA130DE}"/>
    <cellStyle name="Normal 8 2 2 2 2 9 2" xfId="18263" xr:uid="{89C65AB5-363F-494A-80B5-21EBEB821C29}"/>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7DEDC409-B2A4-40C6-8E28-95CF278954D9}"/>
    <cellStyle name="Normal 8 2 2 2 3 2 2 3" xfId="12516" xr:uid="{D44ED881-D554-43BC-9EF3-BEBF541F7235}"/>
    <cellStyle name="Normal 8 2 2 2 3 2 3" xfId="5262" xr:uid="{00000000-0005-0000-0000-0000221C0000}"/>
    <cellStyle name="Normal 8 2 2 2 3 2 3 2" xfId="14588" xr:uid="{7EAF51B1-CEDE-41D9-8D64-7D0A2B8AB217}"/>
    <cellStyle name="Normal 8 2 2 2 3 2 4" xfId="9468" xr:uid="{8CC4AD0E-72B4-4935-8967-B171D7B5EF8D}"/>
    <cellStyle name="Normal 8 2 2 2 3 2 4 2" xfId="18783" xr:uid="{BF6B2072-D2E4-4C57-86C2-7AA01E9087D0}"/>
    <cellStyle name="Normal 8 2 2 2 3 2 5" xfId="10371" xr:uid="{48C93781-828A-4D9A-8216-749B5C277EAC}"/>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F2E81209-ADCE-48EF-9FF9-57C94A1A4732}"/>
    <cellStyle name="Normal 8 2 2 2 3 3 2 3" xfId="12929" xr:uid="{1681A2E6-1122-477D-93A1-C8D74C939002}"/>
    <cellStyle name="Normal 8 2 2 2 3 3 3" xfId="5675" xr:uid="{00000000-0005-0000-0000-0000261C0000}"/>
    <cellStyle name="Normal 8 2 2 2 3 3 3 2" xfId="15001" xr:uid="{D36FB655-AC20-466A-ACB8-4A59110689CB}"/>
    <cellStyle name="Normal 8 2 2 2 3 3 4" xfId="10784" xr:uid="{C90E7472-5D3E-4490-BC6C-05781EEA331B}"/>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94CE10E2-9F56-4E9C-A6D7-B2C399685D3A}"/>
    <cellStyle name="Normal 8 2 2 2 3 4 2 3" xfId="13342" xr:uid="{7E3A6B10-3EA9-4F91-8983-BE54228AC4B6}"/>
    <cellStyle name="Normal 8 2 2 2 3 4 3" xfId="6088" xr:uid="{00000000-0005-0000-0000-00002A1C0000}"/>
    <cellStyle name="Normal 8 2 2 2 3 4 3 2" xfId="15414" xr:uid="{94E146EB-C9DA-4D83-936E-51EC764FDB6C}"/>
    <cellStyle name="Normal 8 2 2 2 3 4 4" xfId="11197" xr:uid="{4AF2DCAA-399A-4F6B-9C70-40B1259EB92E}"/>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6AA23C60-6F20-4E6B-AA10-91B62FE732D6}"/>
    <cellStyle name="Normal 8 2 2 2 3 5 2 3" xfId="13755" xr:uid="{8C78C294-D297-4B02-8565-ADDEB5701C29}"/>
    <cellStyle name="Normal 8 2 2 2 3 5 3" xfId="6501" xr:uid="{00000000-0005-0000-0000-00002E1C0000}"/>
    <cellStyle name="Normal 8 2 2 2 3 5 3 2" xfId="15827" xr:uid="{99F95237-0950-4E06-9920-7EA7B2BC6E87}"/>
    <cellStyle name="Normal 8 2 2 2 3 5 4" xfId="11610" xr:uid="{30FB41A8-793E-4A94-AB2A-D44508E7144E}"/>
    <cellStyle name="Normal 8 2 2 2 3 6" xfId="2631" xr:uid="{00000000-0005-0000-0000-00002F1C0000}"/>
    <cellStyle name="Normal 8 2 2 2 3 6 2" xfId="6914" xr:uid="{00000000-0005-0000-0000-0000301C0000}"/>
    <cellStyle name="Normal 8 2 2 2 3 6 2 2" xfId="16240" xr:uid="{E6EC3A4C-3F14-41B8-9DC5-103610137380}"/>
    <cellStyle name="Normal 8 2 2 2 3 6 3" xfId="12023" xr:uid="{0369DE5A-486D-43A8-B928-5044A0D41CA1}"/>
    <cellStyle name="Normal 8 2 2 2 3 7" xfId="4849" xr:uid="{00000000-0005-0000-0000-0000311C0000}"/>
    <cellStyle name="Normal 8 2 2 2 3 7 2" xfId="14175" xr:uid="{913F4383-4B11-4325-8C67-16FE98F53EC5}"/>
    <cellStyle name="Normal 8 2 2 2 3 8" xfId="9043" xr:uid="{BAC463DF-40A7-4F07-ADD3-7274E57F505C}"/>
    <cellStyle name="Normal 8 2 2 2 3 8 2" xfId="18367" xr:uid="{2203C213-D33E-4D36-BD59-4A7F11EE0A35}"/>
    <cellStyle name="Normal 8 2 2 2 3 9" xfId="9958" xr:uid="{39156C6B-A38C-4B18-A47E-1113C762150C}"/>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E469B6DE-C8CA-4657-B188-1CBFFB46C66B}"/>
    <cellStyle name="Normal 8 2 2 2 4 2 3" xfId="12513" xr:uid="{5BB5E0E0-DEA0-43D6-9385-8373B2776B3A}"/>
    <cellStyle name="Normal 8 2 2 2 4 3" xfId="5259" xr:uid="{00000000-0005-0000-0000-0000351C0000}"/>
    <cellStyle name="Normal 8 2 2 2 4 3 2" xfId="14585" xr:uid="{3A394CE4-439C-49BA-8BEB-C71AA805E8B5}"/>
    <cellStyle name="Normal 8 2 2 2 4 4" xfId="9261" xr:uid="{70C29865-A6DE-4682-9EB1-83E4E07FD0A7}"/>
    <cellStyle name="Normal 8 2 2 2 4 4 2" xfId="18576" xr:uid="{5B1F7B42-7334-4FBF-A347-25FF3AD86347}"/>
    <cellStyle name="Normal 8 2 2 2 4 5" xfId="10368" xr:uid="{214F73B6-B372-4AE8-BA55-5EC38834D6D9}"/>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E8B8497B-81D8-4556-80CF-F39DA7C342DC}"/>
    <cellStyle name="Normal 8 2 2 2 5 2 3" xfId="12926" xr:uid="{71A6C510-C870-4668-BA72-35D4224784F0}"/>
    <cellStyle name="Normal 8 2 2 2 5 3" xfId="5672" xr:uid="{00000000-0005-0000-0000-0000391C0000}"/>
    <cellStyle name="Normal 8 2 2 2 5 3 2" xfId="14998" xr:uid="{66432DAD-99C7-4231-8EFA-64FB2B3A1D39}"/>
    <cellStyle name="Normal 8 2 2 2 5 4" xfId="10781" xr:uid="{4D8CC868-3DAD-4F72-AF3C-99A49A48F830}"/>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E6082D24-8905-4CAB-A302-A08BFCD082C5}"/>
    <cellStyle name="Normal 8 2 2 2 6 2 3" xfId="13339" xr:uid="{736A9810-28D1-4598-8821-3AB4CF29A6B6}"/>
    <cellStyle name="Normal 8 2 2 2 6 3" xfId="6085" xr:uid="{00000000-0005-0000-0000-00003D1C0000}"/>
    <cellStyle name="Normal 8 2 2 2 6 3 2" xfId="15411" xr:uid="{68693BF8-05E4-4425-8651-14992F802A57}"/>
    <cellStyle name="Normal 8 2 2 2 6 4" xfId="11194" xr:uid="{098C1815-B00F-4C89-BA77-C3CDE69318D4}"/>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92DD30F2-D8DB-4BAB-937C-DEFA02B61687}"/>
    <cellStyle name="Normal 8 2 2 2 7 2 3" xfId="13752" xr:uid="{DA441C5C-17DA-4905-B884-DFC70355B095}"/>
    <cellStyle name="Normal 8 2 2 2 7 3" xfId="6498" xr:uid="{00000000-0005-0000-0000-0000411C0000}"/>
    <cellStyle name="Normal 8 2 2 2 7 3 2" xfId="15824" xr:uid="{14F36BF4-1464-4ADA-A321-58D2C10F6A27}"/>
    <cellStyle name="Normal 8 2 2 2 7 4" xfId="11607" xr:uid="{08A2CA04-D005-493B-B1DF-F352347D0D6E}"/>
    <cellStyle name="Normal 8 2 2 2 8" xfId="2628" xr:uid="{00000000-0005-0000-0000-0000421C0000}"/>
    <cellStyle name="Normal 8 2 2 2 8 2" xfId="6911" xr:uid="{00000000-0005-0000-0000-0000431C0000}"/>
    <cellStyle name="Normal 8 2 2 2 8 2 2" xfId="16237" xr:uid="{6795DC24-B8D5-432E-A34D-EDEC1D7714CA}"/>
    <cellStyle name="Normal 8 2 2 2 8 3" xfId="12020" xr:uid="{C19598E1-1E53-485E-8657-1A200AF4F18D}"/>
    <cellStyle name="Normal 8 2 2 2 9" xfId="4846" xr:uid="{00000000-0005-0000-0000-0000441C0000}"/>
    <cellStyle name="Normal 8 2 2 2 9 2" xfId="14172" xr:uid="{1F9B6A59-5FAB-401E-AD51-7B8C84A8DFED}"/>
    <cellStyle name="Normal 8 2 2 3" xfId="485" xr:uid="{00000000-0005-0000-0000-0000451C0000}"/>
    <cellStyle name="Normal 8 2 2 3 10" xfId="9959" xr:uid="{7156ED5D-0F12-44DF-B0F8-23692936723B}"/>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7DF3ED7C-9765-4F3F-8A11-F2ED2A2385C4}"/>
    <cellStyle name="Normal 8 2 2 3 2 2 2 3" xfId="12518" xr:uid="{058F57BB-5CDA-4C37-8D23-1E7BE96B21A6}"/>
    <cellStyle name="Normal 8 2 2 3 2 2 3" xfId="5264" xr:uid="{00000000-0005-0000-0000-00004A1C0000}"/>
    <cellStyle name="Normal 8 2 2 3 2 2 3 2" xfId="14590" xr:uid="{924B94D2-8281-49C7-9213-159B1324BB0B}"/>
    <cellStyle name="Normal 8 2 2 3 2 2 4" xfId="9518" xr:uid="{FDE93D5E-A6D1-456B-8726-FC2AB8FD16A4}"/>
    <cellStyle name="Normal 8 2 2 3 2 2 4 2" xfId="18833" xr:uid="{81ED118F-EF95-469E-8CA4-C4E94625D7D4}"/>
    <cellStyle name="Normal 8 2 2 3 2 2 5" xfId="10373" xr:uid="{53DFCC76-5AA7-46C5-8F4E-392C2C7DF3B9}"/>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E0B70631-411C-416A-A798-88BC69AA460C}"/>
    <cellStyle name="Normal 8 2 2 3 2 3 2 3" xfId="12931" xr:uid="{A35F054D-E1E2-4054-AC29-DA6826E4EA2A}"/>
    <cellStyle name="Normal 8 2 2 3 2 3 3" xfId="5677" xr:uid="{00000000-0005-0000-0000-00004E1C0000}"/>
    <cellStyle name="Normal 8 2 2 3 2 3 3 2" xfId="15003" xr:uid="{1B6575E0-9820-4E5E-AE05-D331A988C837}"/>
    <cellStyle name="Normal 8 2 2 3 2 3 4" xfId="10786" xr:uid="{A8AD9D05-5681-4AC3-9BA5-FE17CF771723}"/>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16251969-6FEA-4AE1-967D-C6B8ED7F58A4}"/>
    <cellStyle name="Normal 8 2 2 3 2 4 2 3" xfId="13344" xr:uid="{3ED08551-FA69-4A45-8DF1-C6AD5894FA0A}"/>
    <cellStyle name="Normal 8 2 2 3 2 4 3" xfId="6090" xr:uid="{00000000-0005-0000-0000-0000521C0000}"/>
    <cellStyle name="Normal 8 2 2 3 2 4 3 2" xfId="15416" xr:uid="{4A8F430D-F2C9-4AF2-B3DD-1F7D18125EF3}"/>
    <cellStyle name="Normal 8 2 2 3 2 4 4" xfId="11199" xr:uid="{6F81ED2B-8563-4FF6-B905-8EE365C10798}"/>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30E66566-104B-4444-AEE0-D5E040D451B2}"/>
    <cellStyle name="Normal 8 2 2 3 2 5 2 3" xfId="13757" xr:uid="{B140E265-BE72-4256-A66B-C09FC015315A}"/>
    <cellStyle name="Normal 8 2 2 3 2 5 3" xfId="6503" xr:uid="{00000000-0005-0000-0000-0000561C0000}"/>
    <cellStyle name="Normal 8 2 2 3 2 5 3 2" xfId="15829" xr:uid="{85CA7A1B-DC69-45FE-A360-B08E09BC3223}"/>
    <cellStyle name="Normal 8 2 2 3 2 5 4" xfId="11612" xr:uid="{715FC4D5-1FB4-46EB-84C2-7BE52B2BC67C}"/>
    <cellStyle name="Normal 8 2 2 3 2 6" xfId="2633" xr:uid="{00000000-0005-0000-0000-0000571C0000}"/>
    <cellStyle name="Normal 8 2 2 3 2 6 2" xfId="6916" xr:uid="{00000000-0005-0000-0000-0000581C0000}"/>
    <cellStyle name="Normal 8 2 2 3 2 6 2 2" xfId="16242" xr:uid="{3E21E33E-D070-4075-8714-D52CFCE0FC4C}"/>
    <cellStyle name="Normal 8 2 2 3 2 6 3" xfId="12025" xr:uid="{F043C35E-6535-4521-916D-BA1CCF57DD14}"/>
    <cellStyle name="Normal 8 2 2 3 2 7" xfId="4851" xr:uid="{00000000-0005-0000-0000-0000591C0000}"/>
    <cellStyle name="Normal 8 2 2 3 2 7 2" xfId="14177" xr:uid="{67320839-26D6-434D-A7B5-146F7F2F45ED}"/>
    <cellStyle name="Normal 8 2 2 3 2 8" xfId="9093" xr:uid="{ADE34C72-BCCB-477C-B66A-BE7159CEB281}"/>
    <cellStyle name="Normal 8 2 2 3 2 8 2" xfId="18417" xr:uid="{3E34EDB0-9D87-4D9D-B8AD-821A81A7B047}"/>
    <cellStyle name="Normal 8 2 2 3 2 9" xfId="9960" xr:uid="{CED68ED0-93DA-4177-8116-11FDF5776036}"/>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B03E9670-973C-4123-9E92-BF8C3FB2455A}"/>
    <cellStyle name="Normal 8 2 2 3 3 2 3" xfId="12517" xr:uid="{C2E7CE67-F8AB-476B-97EA-78980A718BFC}"/>
    <cellStyle name="Normal 8 2 2 3 3 3" xfId="5263" xr:uid="{00000000-0005-0000-0000-00005D1C0000}"/>
    <cellStyle name="Normal 8 2 2 3 3 3 2" xfId="14589" xr:uid="{4AD2734E-C871-4C67-B93D-9C7210E333B6}"/>
    <cellStyle name="Normal 8 2 2 3 3 4" xfId="9311" xr:uid="{F4618F1E-1235-4269-B5C6-B09BE5034F6C}"/>
    <cellStyle name="Normal 8 2 2 3 3 4 2" xfId="18626" xr:uid="{4CCEFA49-D050-46C2-92ED-F7E242D0432C}"/>
    <cellStyle name="Normal 8 2 2 3 3 5" xfId="10372" xr:uid="{1E3B3CD0-5697-41E7-8D19-93851D713E49}"/>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A1C56729-FD00-4A71-9DF2-6EEBC1ADBDA3}"/>
    <cellStyle name="Normal 8 2 2 3 4 2 3" xfId="12930" xr:uid="{4B35051A-E9D1-4E03-A536-90D0199A9F3B}"/>
    <cellStyle name="Normal 8 2 2 3 4 3" xfId="5676" xr:uid="{00000000-0005-0000-0000-0000611C0000}"/>
    <cellStyle name="Normal 8 2 2 3 4 3 2" xfId="15002" xr:uid="{D6428BE7-9209-438D-9146-70F5DE6AD9CF}"/>
    <cellStyle name="Normal 8 2 2 3 4 4" xfId="10785" xr:uid="{4786F5E9-7BFF-4135-97D0-8E347D58AF62}"/>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E3093B56-19E9-4A0C-A386-C094E7DFF4F9}"/>
    <cellStyle name="Normal 8 2 2 3 5 2 3" xfId="13343" xr:uid="{6756814F-E762-4807-9F28-5F2329F517B3}"/>
    <cellStyle name="Normal 8 2 2 3 5 3" xfId="6089" xr:uid="{00000000-0005-0000-0000-0000651C0000}"/>
    <cellStyle name="Normal 8 2 2 3 5 3 2" xfId="15415" xr:uid="{997DEDF9-50BB-4DB2-B852-1B570D523939}"/>
    <cellStyle name="Normal 8 2 2 3 5 4" xfId="11198" xr:uid="{A9514D96-507C-479D-BE50-146CCBD93FCC}"/>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A4D546A2-AB33-4E94-8879-004F607C42C2}"/>
    <cellStyle name="Normal 8 2 2 3 6 2 3" xfId="13756" xr:uid="{83C3EEC1-01E9-4FD2-AF6D-0B4DB6096C17}"/>
    <cellStyle name="Normal 8 2 2 3 6 3" xfId="6502" xr:uid="{00000000-0005-0000-0000-0000691C0000}"/>
    <cellStyle name="Normal 8 2 2 3 6 3 2" xfId="15828" xr:uid="{DABD6CC3-06DD-41B1-9534-03784B3CC091}"/>
    <cellStyle name="Normal 8 2 2 3 6 4" xfId="11611" xr:uid="{4BA2FE06-C198-41D0-8823-E848FF0F9227}"/>
    <cellStyle name="Normal 8 2 2 3 7" xfId="2632" xr:uid="{00000000-0005-0000-0000-00006A1C0000}"/>
    <cellStyle name="Normal 8 2 2 3 7 2" xfId="6915" xr:uid="{00000000-0005-0000-0000-00006B1C0000}"/>
    <cellStyle name="Normal 8 2 2 3 7 2 2" xfId="16241" xr:uid="{51043DDD-EC79-4B6D-8667-E852763F78A6}"/>
    <cellStyle name="Normal 8 2 2 3 7 3" xfId="12024" xr:uid="{58D3AFAB-2418-4AA2-BA03-EC0F9B0E0F6E}"/>
    <cellStyle name="Normal 8 2 2 3 8" xfId="4850" xr:uid="{00000000-0005-0000-0000-00006C1C0000}"/>
    <cellStyle name="Normal 8 2 2 3 8 2" xfId="14176" xr:uid="{24ECAD3A-F594-4593-9769-F11DA5CA49BE}"/>
    <cellStyle name="Normal 8 2 2 3 9" xfId="8886" xr:uid="{B2A45ACA-2377-4A40-A818-E7106AD46E30}"/>
    <cellStyle name="Normal 8 2 2 3 9 2" xfId="18210" xr:uid="{A2A4DE46-34D0-4A29-9C05-7E4D6FAED338}"/>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DC9548FF-466C-46E0-B5B3-450021CDE6BC}"/>
    <cellStyle name="Normal 8 2 2 4 2 2 3" xfId="12519" xr:uid="{71530726-6E74-44A1-9088-76556FBC86F4}"/>
    <cellStyle name="Normal 8 2 2 4 2 3" xfId="5265" xr:uid="{00000000-0005-0000-0000-0000711C0000}"/>
    <cellStyle name="Normal 8 2 2 4 2 3 2" xfId="14591" xr:uid="{A7FD1FAF-7099-411C-8452-D780AAAF5C88}"/>
    <cellStyle name="Normal 8 2 2 4 2 4" xfId="9415" xr:uid="{88D7FF95-DEA9-4369-BE01-487FC7B2B7E8}"/>
    <cellStyle name="Normal 8 2 2 4 2 4 2" xfId="18730" xr:uid="{46284CED-BA04-4988-9394-2843DAB27257}"/>
    <cellStyle name="Normal 8 2 2 4 2 5" xfId="10374" xr:uid="{3FB96E3F-D22F-4CE5-AE18-17F4D3BF4D00}"/>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DA49664F-630E-4E46-87FE-8184DB5B6440}"/>
    <cellStyle name="Normal 8 2 2 4 3 2 3" xfId="12932" xr:uid="{1E4A4FAB-F674-4293-976B-62D8C6992B04}"/>
    <cellStyle name="Normal 8 2 2 4 3 3" xfId="5678" xr:uid="{00000000-0005-0000-0000-0000751C0000}"/>
    <cellStyle name="Normal 8 2 2 4 3 3 2" xfId="15004" xr:uid="{FA8F13F1-C0E9-40FD-81B7-AAC8B89B8E7F}"/>
    <cellStyle name="Normal 8 2 2 4 3 4" xfId="10787" xr:uid="{572DAD27-5CDD-4189-96D0-49ADBAFC5F3E}"/>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C8DE914A-F653-474F-86B0-AEF1843E8895}"/>
    <cellStyle name="Normal 8 2 2 4 4 2 3" xfId="13345" xr:uid="{759EFC0B-3161-434D-B53F-D0B111188B53}"/>
    <cellStyle name="Normal 8 2 2 4 4 3" xfId="6091" xr:uid="{00000000-0005-0000-0000-0000791C0000}"/>
    <cellStyle name="Normal 8 2 2 4 4 3 2" xfId="15417" xr:uid="{D850FADF-EAEC-4459-9E84-46CA16A455EA}"/>
    <cellStyle name="Normal 8 2 2 4 4 4" xfId="11200" xr:uid="{99195B7C-9A3C-49D5-ABEC-B11882E2EAF5}"/>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B3569E97-5F68-430E-926F-135849BEE6C3}"/>
    <cellStyle name="Normal 8 2 2 4 5 2 3" xfId="13758" xr:uid="{488E776B-121E-48A7-96F5-0D30094EED42}"/>
    <cellStyle name="Normal 8 2 2 4 5 3" xfId="6504" xr:uid="{00000000-0005-0000-0000-00007D1C0000}"/>
    <cellStyle name="Normal 8 2 2 4 5 3 2" xfId="15830" xr:uid="{775BB4E1-2592-4CCB-97F5-B2E907A3FB83}"/>
    <cellStyle name="Normal 8 2 2 4 5 4" xfId="11613" xr:uid="{8069CC26-C3B7-4541-A08E-2C861EE3CA06}"/>
    <cellStyle name="Normal 8 2 2 4 6" xfId="2634" xr:uid="{00000000-0005-0000-0000-00007E1C0000}"/>
    <cellStyle name="Normal 8 2 2 4 6 2" xfId="6917" xr:uid="{00000000-0005-0000-0000-00007F1C0000}"/>
    <cellStyle name="Normal 8 2 2 4 6 2 2" xfId="16243" xr:uid="{7D7E8E2D-96D3-474A-A1F2-8CD710DC4E9D}"/>
    <cellStyle name="Normal 8 2 2 4 6 3" xfId="12026" xr:uid="{308BB333-DBD5-4702-A047-D759E65FC2D9}"/>
    <cellStyle name="Normal 8 2 2 4 7" xfId="4852" xr:uid="{00000000-0005-0000-0000-0000801C0000}"/>
    <cellStyle name="Normal 8 2 2 4 7 2" xfId="14178" xr:uid="{9A919416-485E-4A9B-8368-AEF71510B9C4}"/>
    <cellStyle name="Normal 8 2 2 4 8" xfId="8990" xr:uid="{F08D85C9-EB04-4227-BEA0-1B51DDB63DFA}"/>
    <cellStyle name="Normal 8 2 2 4 8 2" xfId="18314" xr:uid="{414B27B5-22F9-4536-93B3-A82038EE1615}"/>
    <cellStyle name="Normal 8 2 2 4 9" xfId="9961" xr:uid="{804C6601-67D8-4EC9-9A96-3E7BFB6A5848}"/>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8A90292A-18AE-44F6-843F-86285C710B4F}"/>
    <cellStyle name="Normal 8 2 2 5 2 3" xfId="12512" xr:uid="{0EEF1251-ED9E-4C8E-BB46-51C8DD36F7A9}"/>
    <cellStyle name="Normal 8 2 2 5 3" xfId="5258" xr:uid="{00000000-0005-0000-0000-0000841C0000}"/>
    <cellStyle name="Normal 8 2 2 5 3 2" xfId="14584" xr:uid="{6E8DB012-AB39-4C89-B991-403347AC0399}"/>
    <cellStyle name="Normal 8 2 2 5 4" xfId="9207" xr:uid="{D4CDC4D2-5794-400F-B850-1B259D26C1FE}"/>
    <cellStyle name="Normal 8 2 2 5 4 2" xfId="18523" xr:uid="{D95554A5-D2F2-40DC-966F-783F73367666}"/>
    <cellStyle name="Normal 8 2 2 5 5" xfId="10367" xr:uid="{450FBB32-EB72-49BE-9431-EA1C0E5D63DD}"/>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557EBE34-CC54-4362-B8E1-E141EDC3DFD3}"/>
    <cellStyle name="Normal 8 2 2 6 2 3" xfId="12925" xr:uid="{86C0CC0E-9CDC-40A4-921E-BAFFA8E3D26E}"/>
    <cellStyle name="Normal 8 2 2 6 3" xfId="5671" xr:uid="{00000000-0005-0000-0000-0000881C0000}"/>
    <cellStyle name="Normal 8 2 2 6 3 2" xfId="14997" xr:uid="{066D5890-7BDA-4970-A733-DA76BFD4E004}"/>
    <cellStyle name="Normal 8 2 2 6 4" xfId="10780" xr:uid="{9DE73F6D-67DB-465E-893D-85387D767FC1}"/>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B18F6C1D-7B44-4E65-B80F-F6E82D352494}"/>
    <cellStyle name="Normal 8 2 2 7 2 3" xfId="13338" xr:uid="{D6CFA9C0-2509-4BBB-A809-2DACD891D329}"/>
    <cellStyle name="Normal 8 2 2 7 3" xfId="6084" xr:uid="{00000000-0005-0000-0000-00008C1C0000}"/>
    <cellStyle name="Normal 8 2 2 7 3 2" xfId="15410" xr:uid="{4140C42B-2A2C-49C7-9991-7BC9EB4C6547}"/>
    <cellStyle name="Normal 8 2 2 7 4" xfId="11193" xr:uid="{3D65F2A7-1083-474C-92B3-7381EAAC9AD8}"/>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6AFE9FFE-6C13-4F65-8F4A-5F648F5BD61E}"/>
    <cellStyle name="Normal 8 2 2 8 2 3" xfId="13751" xr:uid="{178AB06C-E4B8-4011-9CA4-6AAA986ACFF1}"/>
    <cellStyle name="Normal 8 2 2 8 3" xfId="6497" xr:uid="{00000000-0005-0000-0000-0000901C0000}"/>
    <cellStyle name="Normal 8 2 2 8 3 2" xfId="15823" xr:uid="{4A8C7861-692E-48DC-8D5C-ACEDA42389FE}"/>
    <cellStyle name="Normal 8 2 2 8 4" xfId="11606" xr:uid="{1C71F61D-DA67-4015-924D-991E8F5C602A}"/>
    <cellStyle name="Normal 8 2 2 9" xfId="2627" xr:uid="{00000000-0005-0000-0000-0000911C0000}"/>
    <cellStyle name="Normal 8 2 2 9 2" xfId="6910" xr:uid="{00000000-0005-0000-0000-0000921C0000}"/>
    <cellStyle name="Normal 8 2 2 9 2 2" xfId="16236" xr:uid="{EB1EE0E7-2B0C-4425-9D2F-8C516E0254BF}"/>
    <cellStyle name="Normal 8 2 2 9 3" xfId="12019" xr:uid="{9FAD7C81-1D3A-42B4-A949-220F89AF82F9}"/>
    <cellStyle name="Normal 8 2 3" xfId="488" xr:uid="{00000000-0005-0000-0000-0000931C0000}"/>
    <cellStyle name="Normal 8 2 3 10" xfId="8835" xr:uid="{2F0FB8B3-D08B-41EB-93AB-2D83A1BD6036}"/>
    <cellStyle name="Normal 8 2 3 10 2" xfId="18159" xr:uid="{AF4668F7-9DA0-4400-BCA6-C1220AB2F993}"/>
    <cellStyle name="Normal 8 2 3 11" xfId="9962" xr:uid="{63B9BF99-6322-459A-BFF4-9591BE6CF22A}"/>
    <cellStyle name="Normal 8 2 3 2" xfId="489" xr:uid="{00000000-0005-0000-0000-0000941C0000}"/>
    <cellStyle name="Normal 8 2 3 2 10" xfId="9963" xr:uid="{8BE2BC72-601F-43E6-85C1-7A69B9F1195E}"/>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B43E6831-8684-49F4-8114-BB2ABA244D5A}"/>
    <cellStyle name="Normal 8 2 3 2 2 2 2 3" xfId="12522" xr:uid="{79036BB9-D11F-4359-A489-44E63BA297C1}"/>
    <cellStyle name="Normal 8 2 3 2 2 2 3" xfId="5268" xr:uid="{00000000-0005-0000-0000-0000991C0000}"/>
    <cellStyle name="Normal 8 2 3 2 2 2 3 2" xfId="14594" xr:uid="{E75AD7F2-03A4-4CFF-8C79-ED37F77B8057}"/>
    <cellStyle name="Normal 8 2 3 2 2 2 4" xfId="9570" xr:uid="{BA9732E0-D9E4-47DB-882D-D871A821FA55}"/>
    <cellStyle name="Normal 8 2 3 2 2 2 4 2" xfId="18885" xr:uid="{738D226A-5AE5-4DAD-80A0-B87C6FE5DEF1}"/>
    <cellStyle name="Normal 8 2 3 2 2 2 5" xfId="10377" xr:uid="{4A0F1064-8FD5-4215-B986-1ADF12A00966}"/>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A32FB179-80D2-4E21-99CD-9F34494B0899}"/>
    <cellStyle name="Normal 8 2 3 2 2 3 2 3" xfId="12935" xr:uid="{89DA3C57-FA70-4AAC-B207-3A0F18064C7B}"/>
    <cellStyle name="Normal 8 2 3 2 2 3 3" xfId="5681" xr:uid="{00000000-0005-0000-0000-00009D1C0000}"/>
    <cellStyle name="Normal 8 2 3 2 2 3 3 2" xfId="15007" xr:uid="{10807837-1314-46CD-92DF-FDDC8CD6505C}"/>
    <cellStyle name="Normal 8 2 3 2 2 3 4" xfId="10790" xr:uid="{250840C2-82AF-4E97-97A1-7D49B1E3D61A}"/>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81DB3C52-6850-4FC4-94B7-378118FCFB74}"/>
    <cellStyle name="Normal 8 2 3 2 2 4 2 3" xfId="13348" xr:uid="{12E5ED68-6E83-4FA2-AD74-8BA8F8DE17AE}"/>
    <cellStyle name="Normal 8 2 3 2 2 4 3" xfId="6094" xr:uid="{00000000-0005-0000-0000-0000A11C0000}"/>
    <cellStyle name="Normal 8 2 3 2 2 4 3 2" xfId="15420" xr:uid="{790A8E09-0CB3-4465-B668-812F7DDD83E7}"/>
    <cellStyle name="Normal 8 2 3 2 2 4 4" xfId="11203" xr:uid="{C5AB9BED-3055-4891-A3AB-26C4FC65B1C8}"/>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3EC1F85B-E590-42FD-A05C-FB7A9149A5D5}"/>
    <cellStyle name="Normal 8 2 3 2 2 5 2 3" xfId="13761" xr:uid="{66269DED-86ED-4240-9941-9137C4B1CC80}"/>
    <cellStyle name="Normal 8 2 3 2 2 5 3" xfId="6507" xr:uid="{00000000-0005-0000-0000-0000A51C0000}"/>
    <cellStyle name="Normal 8 2 3 2 2 5 3 2" xfId="15833" xr:uid="{5C036506-8932-4DE7-A322-CE19296BD05E}"/>
    <cellStyle name="Normal 8 2 3 2 2 5 4" xfId="11616" xr:uid="{5979CE87-6E5C-40AF-90FB-E474C2344654}"/>
    <cellStyle name="Normal 8 2 3 2 2 6" xfId="2637" xr:uid="{00000000-0005-0000-0000-0000A61C0000}"/>
    <cellStyle name="Normal 8 2 3 2 2 6 2" xfId="6920" xr:uid="{00000000-0005-0000-0000-0000A71C0000}"/>
    <cellStyle name="Normal 8 2 3 2 2 6 2 2" xfId="16246" xr:uid="{75761295-B43D-4018-87E4-23387E56729B}"/>
    <cellStyle name="Normal 8 2 3 2 2 6 3" xfId="12029" xr:uid="{6F9AF58E-8FC8-47D6-A70B-DAB814A8851B}"/>
    <cellStyle name="Normal 8 2 3 2 2 7" xfId="4855" xr:uid="{00000000-0005-0000-0000-0000A81C0000}"/>
    <cellStyle name="Normal 8 2 3 2 2 7 2" xfId="14181" xr:uid="{05478AEB-BF58-43C7-A8AF-7189CDED7FDC}"/>
    <cellStyle name="Normal 8 2 3 2 2 8" xfId="9145" xr:uid="{C71E6005-187D-4837-92B4-619AF06B3A3B}"/>
    <cellStyle name="Normal 8 2 3 2 2 8 2" xfId="18469" xr:uid="{DE96C10B-5ECD-4C9F-925E-6E3FA1A70C38}"/>
    <cellStyle name="Normal 8 2 3 2 2 9" xfId="9964" xr:uid="{6EC4DF5C-E669-449C-8592-BC1F032C84C4}"/>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38FF6FE6-0AEF-4A01-8543-23FE6C7DD796}"/>
    <cellStyle name="Normal 8 2 3 2 3 2 3" xfId="12521" xr:uid="{43C524A6-3DD2-4169-8065-03F5A9E44647}"/>
    <cellStyle name="Normal 8 2 3 2 3 3" xfId="5267" xr:uid="{00000000-0005-0000-0000-0000AC1C0000}"/>
    <cellStyle name="Normal 8 2 3 2 3 3 2" xfId="14593" xr:uid="{3B929A6F-63BD-4588-A127-8776471DF1E6}"/>
    <cellStyle name="Normal 8 2 3 2 3 4" xfId="9363" xr:uid="{C94C6C98-A8BC-4AC9-B084-0D2219E89AA8}"/>
    <cellStyle name="Normal 8 2 3 2 3 4 2" xfId="18678" xr:uid="{BB2BD19C-1433-493B-844C-1298A895BABC}"/>
    <cellStyle name="Normal 8 2 3 2 3 5" xfId="10376" xr:uid="{8EF554D8-58E5-4AB3-8402-0D85422A14AA}"/>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44419661-5E1A-4A77-9BD1-16B4B97FBD98}"/>
    <cellStyle name="Normal 8 2 3 2 4 2 3" xfId="12934" xr:uid="{D9B5F1FA-469A-4EBB-9E70-82AA46F83644}"/>
    <cellStyle name="Normal 8 2 3 2 4 3" xfId="5680" xr:uid="{00000000-0005-0000-0000-0000B01C0000}"/>
    <cellStyle name="Normal 8 2 3 2 4 3 2" xfId="15006" xr:uid="{8BA06FE5-1A73-4E30-9D2D-EAD6899884A7}"/>
    <cellStyle name="Normal 8 2 3 2 4 4" xfId="10789" xr:uid="{654DB2CA-B911-4C05-9C5B-6D1EFE5FBCEE}"/>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C5CDAEEF-C773-4245-BAA1-54C127441996}"/>
    <cellStyle name="Normal 8 2 3 2 5 2 3" xfId="13347" xr:uid="{45D3BE3F-F98F-4B15-A502-D865B8D14735}"/>
    <cellStyle name="Normal 8 2 3 2 5 3" xfId="6093" xr:uid="{00000000-0005-0000-0000-0000B41C0000}"/>
    <cellStyle name="Normal 8 2 3 2 5 3 2" xfId="15419" xr:uid="{EC711C09-AB4C-4704-A20A-1F7A80B47A71}"/>
    <cellStyle name="Normal 8 2 3 2 5 4" xfId="11202" xr:uid="{D509ECED-159B-4998-8FFE-7E60E9F7A6D3}"/>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D3C9DCD0-D807-4A36-9D49-8E4A89D984AA}"/>
    <cellStyle name="Normal 8 2 3 2 6 2 3" xfId="13760" xr:uid="{CC645860-E79B-436C-910A-E7B9E56EA6CF}"/>
    <cellStyle name="Normal 8 2 3 2 6 3" xfId="6506" xr:uid="{00000000-0005-0000-0000-0000B81C0000}"/>
    <cellStyle name="Normal 8 2 3 2 6 3 2" xfId="15832" xr:uid="{78C3D30C-394A-4D77-9DE0-F7493A2B0759}"/>
    <cellStyle name="Normal 8 2 3 2 6 4" xfId="11615" xr:uid="{556100C9-7AB0-42DF-ACBA-95A32B9C525C}"/>
    <cellStyle name="Normal 8 2 3 2 7" xfId="2636" xr:uid="{00000000-0005-0000-0000-0000B91C0000}"/>
    <cellStyle name="Normal 8 2 3 2 7 2" xfId="6919" xr:uid="{00000000-0005-0000-0000-0000BA1C0000}"/>
    <cellStyle name="Normal 8 2 3 2 7 2 2" xfId="16245" xr:uid="{CDE62741-4294-404A-9EC3-AF05496E7F80}"/>
    <cellStyle name="Normal 8 2 3 2 7 3" xfId="12028" xr:uid="{8010ED10-7F42-43CF-AAAF-820804F42AAF}"/>
    <cellStyle name="Normal 8 2 3 2 8" xfId="4854" xr:uid="{00000000-0005-0000-0000-0000BB1C0000}"/>
    <cellStyle name="Normal 8 2 3 2 8 2" xfId="14180" xr:uid="{B62984EC-042D-4116-B0DF-018C60AD4CE2}"/>
    <cellStyle name="Normal 8 2 3 2 9" xfId="8938" xr:uid="{1EAF77CE-4DC3-40DC-AA9D-31320D478EE9}"/>
    <cellStyle name="Normal 8 2 3 2 9 2" xfId="18262" xr:uid="{72E3DF4F-93AC-4907-BB7E-E978330A2BBA}"/>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111F2CB8-4D44-48C3-862E-1CB2B8F5F918}"/>
    <cellStyle name="Normal 8 2 3 3 2 2 3" xfId="12523" xr:uid="{4476B445-CB26-40D7-8A58-5E591FD3BBD6}"/>
    <cellStyle name="Normal 8 2 3 3 2 3" xfId="5269" xr:uid="{00000000-0005-0000-0000-0000C01C0000}"/>
    <cellStyle name="Normal 8 2 3 3 2 3 2" xfId="14595" xr:uid="{41E21C2E-0FB1-44C5-92C0-49BC247523C5}"/>
    <cellStyle name="Normal 8 2 3 3 2 4" xfId="9467" xr:uid="{C16001D7-8508-4511-808F-E990F8EA0FE3}"/>
    <cellStyle name="Normal 8 2 3 3 2 4 2" xfId="18782" xr:uid="{40C65BCC-358C-4DFF-B8CD-CC891456D4A6}"/>
    <cellStyle name="Normal 8 2 3 3 2 5" xfId="10378" xr:uid="{F199ED9B-B391-4184-A316-B516220A29D7}"/>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8D11A6C7-6BC2-4806-84C2-AEF7AF1AB860}"/>
    <cellStyle name="Normal 8 2 3 3 3 2 3" xfId="12936" xr:uid="{804B593A-8335-49BD-A30C-FA8519F69955}"/>
    <cellStyle name="Normal 8 2 3 3 3 3" xfId="5682" xr:uid="{00000000-0005-0000-0000-0000C41C0000}"/>
    <cellStyle name="Normal 8 2 3 3 3 3 2" xfId="15008" xr:uid="{E5A1DD61-D457-44DF-A219-5F90B643D6FA}"/>
    <cellStyle name="Normal 8 2 3 3 3 4" xfId="10791" xr:uid="{10AC8331-6415-4B77-A8AD-9D7F2933F09E}"/>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BE954944-CD78-4285-9F54-11A93AAF271F}"/>
    <cellStyle name="Normal 8 2 3 3 4 2 3" xfId="13349" xr:uid="{BE46F93B-B6F3-4BC0-9495-455CD9844CFB}"/>
    <cellStyle name="Normal 8 2 3 3 4 3" xfId="6095" xr:uid="{00000000-0005-0000-0000-0000C81C0000}"/>
    <cellStyle name="Normal 8 2 3 3 4 3 2" xfId="15421" xr:uid="{42C15B32-3139-4BA5-8962-4F06398E6D67}"/>
    <cellStyle name="Normal 8 2 3 3 4 4" xfId="11204" xr:uid="{D36180E9-9D08-4322-819B-2712FC76CF52}"/>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13ECB8E2-73C5-493E-A176-8F466BCAECA8}"/>
    <cellStyle name="Normal 8 2 3 3 5 2 3" xfId="13762" xr:uid="{1B120E26-FDF9-427A-B245-5ED6CCA6AB32}"/>
    <cellStyle name="Normal 8 2 3 3 5 3" xfId="6508" xr:uid="{00000000-0005-0000-0000-0000CC1C0000}"/>
    <cellStyle name="Normal 8 2 3 3 5 3 2" xfId="15834" xr:uid="{2F19137C-A57B-4ACC-A316-CC11DFE774E7}"/>
    <cellStyle name="Normal 8 2 3 3 5 4" xfId="11617" xr:uid="{29683A4E-B1AE-46BF-B240-9260E570CACA}"/>
    <cellStyle name="Normal 8 2 3 3 6" xfId="2638" xr:uid="{00000000-0005-0000-0000-0000CD1C0000}"/>
    <cellStyle name="Normal 8 2 3 3 6 2" xfId="6921" xr:uid="{00000000-0005-0000-0000-0000CE1C0000}"/>
    <cellStyle name="Normal 8 2 3 3 6 2 2" xfId="16247" xr:uid="{ADAD5C3B-12E8-4A64-9302-A992FE6A3067}"/>
    <cellStyle name="Normal 8 2 3 3 6 3" xfId="12030" xr:uid="{DC897351-1971-4110-AD6D-FBA8950210E7}"/>
    <cellStyle name="Normal 8 2 3 3 7" xfId="4856" xr:uid="{00000000-0005-0000-0000-0000CF1C0000}"/>
    <cellStyle name="Normal 8 2 3 3 7 2" xfId="14182" xr:uid="{2B9DE94C-685D-455A-86A1-9190DE42ECAA}"/>
    <cellStyle name="Normal 8 2 3 3 8" xfId="9042" xr:uid="{D820ED39-BAB1-48C1-A68D-2017E247E432}"/>
    <cellStyle name="Normal 8 2 3 3 8 2" xfId="18366" xr:uid="{15799266-BE84-44ED-8C23-DEE99622CFDC}"/>
    <cellStyle name="Normal 8 2 3 3 9" xfId="9965" xr:uid="{7A1E65B8-125F-4FC1-A835-70F66054D803}"/>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94BC20B3-8725-46BA-82B8-7B4DCEA7F717}"/>
    <cellStyle name="Normal 8 2 3 4 2 3" xfId="12520" xr:uid="{3FE5BE45-F720-4C5E-B9FF-05DB000E076A}"/>
    <cellStyle name="Normal 8 2 3 4 3" xfId="5266" xr:uid="{00000000-0005-0000-0000-0000D31C0000}"/>
    <cellStyle name="Normal 8 2 3 4 3 2" xfId="14592" xr:uid="{1FB84ED5-C36F-4F78-AE29-A82B0F364EFE}"/>
    <cellStyle name="Normal 8 2 3 4 4" xfId="9260" xr:uid="{70FF5A16-C89A-42B7-A603-E23A7C2F443C}"/>
    <cellStyle name="Normal 8 2 3 4 4 2" xfId="18575" xr:uid="{58F369A5-65AA-4970-A282-08DF62EC08E3}"/>
    <cellStyle name="Normal 8 2 3 4 5" xfId="10375" xr:uid="{573B8E5C-7C5B-4D86-B5CD-F2ECA243D3E2}"/>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8737C654-F704-4B23-8DD1-3D38B43CA29A}"/>
    <cellStyle name="Normal 8 2 3 5 2 3" xfId="12933" xr:uid="{F9C6DD8F-A898-4CF2-91A3-64B5733AF574}"/>
    <cellStyle name="Normal 8 2 3 5 3" xfId="5679" xr:uid="{00000000-0005-0000-0000-0000D71C0000}"/>
    <cellStyle name="Normal 8 2 3 5 3 2" xfId="15005" xr:uid="{6248341A-AE0F-4DF6-9D11-1033B525B114}"/>
    <cellStyle name="Normal 8 2 3 5 4" xfId="10788" xr:uid="{4666F539-31C2-47AF-9655-44E2062C71EE}"/>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6389B783-84AD-4135-A49B-F690BBC77F67}"/>
    <cellStyle name="Normal 8 2 3 6 2 3" xfId="13346" xr:uid="{FBC291D1-4C12-4E99-B3E1-8FE90179FCA2}"/>
    <cellStyle name="Normal 8 2 3 6 3" xfId="6092" xr:uid="{00000000-0005-0000-0000-0000DB1C0000}"/>
    <cellStyle name="Normal 8 2 3 6 3 2" xfId="15418" xr:uid="{6A0F6ECE-5915-419A-BE0A-D9E33664AFE2}"/>
    <cellStyle name="Normal 8 2 3 6 4" xfId="11201" xr:uid="{CA2D96EB-23DB-4215-BDBD-A72A2CAB6017}"/>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874FEB56-E337-4C57-A89A-0F03F44044E0}"/>
    <cellStyle name="Normal 8 2 3 7 2 3" xfId="13759" xr:uid="{F8B049F4-0A7A-4837-9E49-77685578A575}"/>
    <cellStyle name="Normal 8 2 3 7 3" xfId="6505" xr:uid="{00000000-0005-0000-0000-0000DF1C0000}"/>
    <cellStyle name="Normal 8 2 3 7 3 2" xfId="15831" xr:uid="{B2FFC97D-E033-4CD5-9F56-4D71A49AF519}"/>
    <cellStyle name="Normal 8 2 3 7 4" xfId="11614" xr:uid="{90293FA2-3171-47DB-B64B-005310ABEE26}"/>
    <cellStyle name="Normal 8 2 3 8" xfId="2635" xr:uid="{00000000-0005-0000-0000-0000E01C0000}"/>
    <cellStyle name="Normal 8 2 3 8 2" xfId="6918" xr:uid="{00000000-0005-0000-0000-0000E11C0000}"/>
    <cellStyle name="Normal 8 2 3 8 2 2" xfId="16244" xr:uid="{B777591F-FA73-4D44-8AB3-E5330EADEA9A}"/>
    <cellStyle name="Normal 8 2 3 8 3" xfId="12027" xr:uid="{AAA03EBA-BF8A-45F8-91BA-2F750B4F7D24}"/>
    <cellStyle name="Normal 8 2 3 9" xfId="4853" xr:uid="{00000000-0005-0000-0000-0000E21C0000}"/>
    <cellStyle name="Normal 8 2 3 9 2" xfId="14179" xr:uid="{50F6E65C-29BE-459A-A609-9ECEBED0F026}"/>
    <cellStyle name="Normal 8 2 4" xfId="492" xr:uid="{00000000-0005-0000-0000-0000E31C0000}"/>
    <cellStyle name="Normal 8 2 4 10" xfId="9966" xr:uid="{5FB58A99-8999-4A34-A470-7C85CCA2B93F}"/>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D6613A00-2CF6-4403-9FAC-F737C5C4D1F3}"/>
    <cellStyle name="Normal 8 2 4 2 2 2 3" xfId="12525" xr:uid="{79A37ECF-2151-480E-978E-7D7D3272FA38}"/>
    <cellStyle name="Normal 8 2 4 2 2 3" xfId="5271" xr:uid="{00000000-0005-0000-0000-0000E81C0000}"/>
    <cellStyle name="Normal 8 2 4 2 2 3 2" xfId="14597" xr:uid="{2F590534-DC9D-49E6-BBF5-5B9F78DFD379}"/>
    <cellStyle name="Normal 8 2 4 2 2 4" xfId="9486" xr:uid="{9F6EBE4C-F02F-43A6-A388-D5EACB1B3099}"/>
    <cellStyle name="Normal 8 2 4 2 2 4 2" xfId="18801" xr:uid="{A8A92369-ECD7-41DB-A3AC-F7E0C6E55850}"/>
    <cellStyle name="Normal 8 2 4 2 2 5" xfId="10380" xr:uid="{298FCEA5-1A76-47DB-AD4E-0CE1B6A525F6}"/>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34571CF2-0E8D-4315-9427-FF239CCC7BBB}"/>
    <cellStyle name="Normal 8 2 4 2 3 2 3" xfId="12938" xr:uid="{D1242A9B-C6B7-4151-9162-3B820C22D010}"/>
    <cellStyle name="Normal 8 2 4 2 3 3" xfId="5684" xr:uid="{00000000-0005-0000-0000-0000EC1C0000}"/>
    <cellStyle name="Normal 8 2 4 2 3 3 2" xfId="15010" xr:uid="{D4210924-EF16-406C-90EC-ABE11B25735D}"/>
    <cellStyle name="Normal 8 2 4 2 3 4" xfId="10793" xr:uid="{FE1D5CCD-B584-45A1-AB99-2D69F1E3116E}"/>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6B80420D-2966-4D41-B7BA-6B813F60678C}"/>
    <cellStyle name="Normal 8 2 4 2 4 2 3" xfId="13351" xr:uid="{87B988FC-1DEE-4668-AE40-3D05296C9575}"/>
    <cellStyle name="Normal 8 2 4 2 4 3" xfId="6097" xr:uid="{00000000-0005-0000-0000-0000F01C0000}"/>
    <cellStyle name="Normal 8 2 4 2 4 3 2" xfId="15423" xr:uid="{7A843263-41E7-46A0-B190-D2998DF65297}"/>
    <cellStyle name="Normal 8 2 4 2 4 4" xfId="11206" xr:uid="{EFA12CED-E969-43CF-9B85-F093345BDC88}"/>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9349E754-A521-414F-A11E-7C2F4F384681}"/>
    <cellStyle name="Normal 8 2 4 2 5 2 3" xfId="13764" xr:uid="{703D8C45-4EFD-4DCA-86C6-C0FD0492FDDF}"/>
    <cellStyle name="Normal 8 2 4 2 5 3" xfId="6510" xr:uid="{00000000-0005-0000-0000-0000F41C0000}"/>
    <cellStyle name="Normal 8 2 4 2 5 3 2" xfId="15836" xr:uid="{1781FC32-9F8C-49EF-A8A3-ABBD7A0D0D14}"/>
    <cellStyle name="Normal 8 2 4 2 5 4" xfId="11619" xr:uid="{9D424223-D5EE-4906-9FA5-22002F6DB5B1}"/>
    <cellStyle name="Normal 8 2 4 2 6" xfId="2640" xr:uid="{00000000-0005-0000-0000-0000F51C0000}"/>
    <cellStyle name="Normal 8 2 4 2 6 2" xfId="6923" xr:uid="{00000000-0005-0000-0000-0000F61C0000}"/>
    <cellStyle name="Normal 8 2 4 2 6 2 2" xfId="16249" xr:uid="{C09D515A-6CF5-4A55-88C8-23CC28603838}"/>
    <cellStyle name="Normal 8 2 4 2 6 3" xfId="12032" xr:uid="{E2BF975B-A228-4306-8AB3-11F1D6862FF7}"/>
    <cellStyle name="Normal 8 2 4 2 7" xfId="4858" xr:uid="{00000000-0005-0000-0000-0000F71C0000}"/>
    <cellStyle name="Normal 8 2 4 2 7 2" xfId="14184" xr:uid="{EDF6F354-5C9D-4553-9F22-275998EFEEB9}"/>
    <cellStyle name="Normal 8 2 4 2 8" xfId="9061" xr:uid="{7295DB82-9441-436C-AA3E-91B68F6E59B3}"/>
    <cellStyle name="Normal 8 2 4 2 8 2" xfId="18385" xr:uid="{C3B6753A-BC11-4F99-B199-E504CC4DC3CB}"/>
    <cellStyle name="Normal 8 2 4 2 9" xfId="9967" xr:uid="{6718D428-B78D-4D1C-99CA-8FF87E2BF426}"/>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2FC8D044-968E-4BB5-B78C-B469FD9598DC}"/>
    <cellStyle name="Normal 8 2 4 3 2 3" xfId="12524" xr:uid="{A6F5D62A-8A93-4868-AB71-342D947CED7B}"/>
    <cellStyle name="Normal 8 2 4 3 3" xfId="5270" xr:uid="{00000000-0005-0000-0000-0000FB1C0000}"/>
    <cellStyle name="Normal 8 2 4 3 3 2" xfId="14596" xr:uid="{6C55DCD6-6E6D-4C91-9E52-18065377646F}"/>
    <cellStyle name="Normal 8 2 4 3 4" xfId="9279" xr:uid="{BA09D30D-BEBA-4223-83E6-57FB46A1EFA8}"/>
    <cellStyle name="Normal 8 2 4 3 4 2" xfId="18594" xr:uid="{333AF93D-E041-42A8-8B2A-5B021B68EC91}"/>
    <cellStyle name="Normal 8 2 4 3 5" xfId="10379" xr:uid="{D863F8AB-6F21-485A-AF39-51AA6580C702}"/>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F63C7241-D81B-4447-A0DA-189D20D2A25E}"/>
    <cellStyle name="Normal 8 2 4 4 2 3" xfId="12937" xr:uid="{85BF2165-7707-47CC-AE45-075E026BCA2E}"/>
    <cellStyle name="Normal 8 2 4 4 3" xfId="5683" xr:uid="{00000000-0005-0000-0000-0000FF1C0000}"/>
    <cellStyle name="Normal 8 2 4 4 3 2" xfId="15009" xr:uid="{E60E362D-2A59-4E15-997D-9FB2347B2ED9}"/>
    <cellStyle name="Normal 8 2 4 4 4" xfId="10792" xr:uid="{801884A3-2A0F-45F0-BDD4-F32B5DF19BF4}"/>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7ABB6040-A2BA-48C0-A986-4B0215AB3373}"/>
    <cellStyle name="Normal 8 2 4 5 2 3" xfId="13350" xr:uid="{F0FD54E3-55F9-481A-9EC1-5408549779F9}"/>
    <cellStyle name="Normal 8 2 4 5 3" xfId="6096" xr:uid="{00000000-0005-0000-0000-0000031D0000}"/>
    <cellStyle name="Normal 8 2 4 5 3 2" xfId="15422" xr:uid="{8ADE53E3-47C3-4A1A-A3B1-4EB88DE13E0B}"/>
    <cellStyle name="Normal 8 2 4 5 4" xfId="11205" xr:uid="{CDD204B8-194E-4B20-B622-449362956716}"/>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C385074E-FE26-4355-B5F2-45435957B196}"/>
    <cellStyle name="Normal 8 2 4 6 2 3" xfId="13763" xr:uid="{5214F6D8-A0DC-4631-A354-35396DB2190A}"/>
    <cellStyle name="Normal 8 2 4 6 3" xfId="6509" xr:uid="{00000000-0005-0000-0000-0000071D0000}"/>
    <cellStyle name="Normal 8 2 4 6 3 2" xfId="15835" xr:uid="{20DCC493-DCF3-4094-B63D-6FC59758C795}"/>
    <cellStyle name="Normal 8 2 4 6 4" xfId="11618" xr:uid="{2CAE835E-53BE-48AB-80D1-6E9A4E3FBBC4}"/>
    <cellStyle name="Normal 8 2 4 7" xfId="2639" xr:uid="{00000000-0005-0000-0000-0000081D0000}"/>
    <cellStyle name="Normal 8 2 4 7 2" xfId="6922" xr:uid="{00000000-0005-0000-0000-0000091D0000}"/>
    <cellStyle name="Normal 8 2 4 7 2 2" xfId="16248" xr:uid="{A1DB0AC7-6C24-4D40-AF38-43B458B98141}"/>
    <cellStyle name="Normal 8 2 4 7 3" xfId="12031" xr:uid="{810EDFC7-7727-4452-AC51-1168858E49F2}"/>
    <cellStyle name="Normal 8 2 4 8" xfId="4857" xr:uid="{00000000-0005-0000-0000-00000A1D0000}"/>
    <cellStyle name="Normal 8 2 4 8 2" xfId="14183" xr:uid="{A8E95EE0-2701-4F3E-930B-9D4348ECA354}"/>
    <cellStyle name="Normal 8 2 4 9" xfId="8854" xr:uid="{F1F9C500-F3E2-475A-983E-BD697F4BACD1}"/>
    <cellStyle name="Normal 8 2 4 9 2" xfId="18178" xr:uid="{A653ECF5-6C35-4033-B23A-CA1D96FF8524}"/>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870782E1-5BCC-49A3-BE4B-AD3C5AAF9977}"/>
    <cellStyle name="Normal 8 2 5 2 2 3" xfId="12526" xr:uid="{6CC61460-09C4-4C46-8474-0D8B1A825F2A}"/>
    <cellStyle name="Normal 8 2 5 2 3" xfId="5272" xr:uid="{00000000-0005-0000-0000-00000F1D0000}"/>
    <cellStyle name="Normal 8 2 5 2 3 2" xfId="14598" xr:uid="{B392FEA1-20AE-4C99-83F3-686F5CD7FC86}"/>
    <cellStyle name="Normal 8 2 5 2 4" xfId="9395" xr:uid="{D5766EF3-6042-484F-B510-7448518CF571}"/>
    <cellStyle name="Normal 8 2 5 2 4 2" xfId="18710" xr:uid="{43855821-791F-45D9-8FEF-D2E7C9CCE60E}"/>
    <cellStyle name="Normal 8 2 5 2 5" xfId="10381" xr:uid="{33FEBE08-0422-41C4-8E39-57994A375A10}"/>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7169D4D1-1315-48DA-803F-DBE97077C93B}"/>
    <cellStyle name="Normal 8 2 5 3 2 3" xfId="12939" xr:uid="{CEBB8210-461D-46FB-A729-D5792E26FB82}"/>
    <cellStyle name="Normal 8 2 5 3 3" xfId="5685" xr:uid="{00000000-0005-0000-0000-0000131D0000}"/>
    <cellStyle name="Normal 8 2 5 3 3 2" xfId="15011" xr:uid="{7907C527-3976-4AAB-9B23-E8C8BFCCB2EE}"/>
    <cellStyle name="Normal 8 2 5 3 4" xfId="10794" xr:uid="{6E721CAC-44B1-4600-A31C-3ACAE875ACAC}"/>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23256569-9B88-4C90-8F02-8D11B8EEF083}"/>
    <cellStyle name="Normal 8 2 5 4 2 3" xfId="13352" xr:uid="{0CAF2017-9BF7-4969-B21C-1447A9B650D3}"/>
    <cellStyle name="Normal 8 2 5 4 3" xfId="6098" xr:uid="{00000000-0005-0000-0000-0000171D0000}"/>
    <cellStyle name="Normal 8 2 5 4 3 2" xfId="15424" xr:uid="{C145DC83-56B1-432C-B5D2-8C3758B3A76D}"/>
    <cellStyle name="Normal 8 2 5 4 4" xfId="11207" xr:uid="{3444C632-E7E7-4FF6-8059-512F6A67B055}"/>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787355AA-08D2-4F6C-9A5F-8D91009ACFA1}"/>
    <cellStyle name="Normal 8 2 5 5 2 3" xfId="13765" xr:uid="{A5703582-B7AE-458E-8CAD-0803DF6B7098}"/>
    <cellStyle name="Normal 8 2 5 5 3" xfId="6511" xr:uid="{00000000-0005-0000-0000-00001B1D0000}"/>
    <cellStyle name="Normal 8 2 5 5 3 2" xfId="15837" xr:uid="{4B03C8E1-1EC4-4883-84BC-5948ACED34AA}"/>
    <cellStyle name="Normal 8 2 5 5 4" xfId="11620" xr:uid="{AA956DE2-9AD9-4327-814B-DA89BC869CD8}"/>
    <cellStyle name="Normal 8 2 5 6" xfId="2641" xr:uid="{00000000-0005-0000-0000-00001C1D0000}"/>
    <cellStyle name="Normal 8 2 5 6 2" xfId="6924" xr:uid="{00000000-0005-0000-0000-00001D1D0000}"/>
    <cellStyle name="Normal 8 2 5 6 2 2" xfId="16250" xr:uid="{DE4600D8-5518-4591-93D1-FC4B2881C29B}"/>
    <cellStyle name="Normal 8 2 5 6 3" xfId="12033" xr:uid="{7D420FE1-5870-4C5B-83B1-85FF744BD491}"/>
    <cellStyle name="Normal 8 2 5 7" xfId="4859" xr:uid="{00000000-0005-0000-0000-00001E1D0000}"/>
    <cellStyle name="Normal 8 2 5 7 2" xfId="14185" xr:uid="{86D66A77-269B-432E-BAD1-887D7EB7C5DE}"/>
    <cellStyle name="Normal 8 2 5 8" xfId="8970" xr:uid="{7E9ACEFF-1680-45D8-BC32-8CA9BA1D63D4}"/>
    <cellStyle name="Normal 8 2 5 8 2" xfId="18294" xr:uid="{210F94F3-9690-4B49-94AB-EBEC2C012F96}"/>
    <cellStyle name="Normal 8 2 5 9" xfId="9968" xr:uid="{B6EBA212-6D2D-40B1-BB3C-8AADE5BF7827}"/>
    <cellStyle name="Normal 8 2 6" xfId="946" xr:uid="{00000000-0005-0000-0000-00001F1D0000}"/>
    <cellStyle name="Normal 8 2 6 2" xfId="3180" xr:uid="{00000000-0005-0000-0000-0000201D0000}"/>
    <cellStyle name="Normal 8 2 6 2 2" xfId="7402" xr:uid="{00000000-0005-0000-0000-0000211D0000}"/>
    <cellStyle name="Normal 8 2 6 2 2 2" xfId="16728" xr:uid="{8F9C4FB7-94B0-4443-BD5F-1875C9430349}"/>
    <cellStyle name="Normal 8 2 6 2 3" xfId="12511" xr:uid="{C14E5237-9A59-4C11-81DF-07D8C7ACFAE1}"/>
    <cellStyle name="Normal 8 2 6 3" xfId="5257" xr:uid="{00000000-0005-0000-0000-0000221D0000}"/>
    <cellStyle name="Normal 8 2 6 3 2" xfId="14583" xr:uid="{92F9C542-9364-472B-83C1-CBA0594A23AD}"/>
    <cellStyle name="Normal 8 2 6 4" xfId="9173" xr:uid="{C36295B3-E6F0-4A6D-AEE5-72C8177C13EE}"/>
    <cellStyle name="Normal 8 2 6 4 2" xfId="18491" xr:uid="{7BA15038-247B-47F5-A967-2C064347511F}"/>
    <cellStyle name="Normal 8 2 6 5" xfId="10366" xr:uid="{5A3A70D3-3317-4135-91D4-4C8C16F0460E}"/>
    <cellStyle name="Normal 8 2 7" xfId="1363" xr:uid="{00000000-0005-0000-0000-0000231D0000}"/>
    <cellStyle name="Normal 8 2 7 2" xfId="3593" xr:uid="{00000000-0005-0000-0000-0000241D0000}"/>
    <cellStyle name="Normal 8 2 7 2 2" xfId="7815" xr:uid="{00000000-0005-0000-0000-0000251D0000}"/>
    <cellStyle name="Normal 8 2 7 2 2 2" xfId="17141" xr:uid="{0F1FBC83-E027-4E52-8FFD-2E4FA416D6E5}"/>
    <cellStyle name="Normal 8 2 7 2 3" xfId="12924" xr:uid="{BC2E7C65-EC93-4C3E-ADCB-ED8A03705A84}"/>
    <cellStyle name="Normal 8 2 7 3" xfId="5670" xr:uid="{00000000-0005-0000-0000-0000261D0000}"/>
    <cellStyle name="Normal 8 2 7 3 2" xfId="14996" xr:uid="{39AB79AA-9F2F-4A48-8AEF-607D42CC1D42}"/>
    <cellStyle name="Normal 8 2 7 4" xfId="10779" xr:uid="{FCE5F444-8F35-45B1-958E-B7FE70C2A527}"/>
    <cellStyle name="Normal 8 2 8" xfId="1776" xr:uid="{00000000-0005-0000-0000-0000271D0000}"/>
    <cellStyle name="Normal 8 2 8 2" xfId="4006" xr:uid="{00000000-0005-0000-0000-0000281D0000}"/>
    <cellStyle name="Normal 8 2 8 2 2" xfId="8228" xr:uid="{00000000-0005-0000-0000-0000291D0000}"/>
    <cellStyle name="Normal 8 2 8 2 2 2" xfId="17554" xr:uid="{01E938C4-DC13-4C2F-8848-F6B8C2A35DBA}"/>
    <cellStyle name="Normal 8 2 8 2 3" xfId="13337" xr:uid="{32DBBDB5-3C13-449D-B872-3BAC55D75557}"/>
    <cellStyle name="Normal 8 2 8 3" xfId="6083" xr:uid="{00000000-0005-0000-0000-00002A1D0000}"/>
    <cellStyle name="Normal 8 2 8 3 2" xfId="15409" xr:uid="{558B6F78-498B-41BB-A0D1-CDC14A4A1457}"/>
    <cellStyle name="Normal 8 2 8 4" xfId="11192" xr:uid="{93E1002A-EFB0-4756-9D97-6F5DC929C5EB}"/>
    <cellStyle name="Normal 8 2 9" xfId="2190" xr:uid="{00000000-0005-0000-0000-00002B1D0000}"/>
    <cellStyle name="Normal 8 2 9 2" xfId="4419" xr:uid="{00000000-0005-0000-0000-00002C1D0000}"/>
    <cellStyle name="Normal 8 2 9 2 2" xfId="8641" xr:uid="{00000000-0005-0000-0000-00002D1D0000}"/>
    <cellStyle name="Normal 8 2 9 2 2 2" xfId="17967" xr:uid="{25626873-8075-43A7-89FA-138D54C8F891}"/>
    <cellStyle name="Normal 8 2 9 2 3" xfId="13750" xr:uid="{7CE128EE-6D0F-4721-B9BA-49EAA7D9525D}"/>
    <cellStyle name="Normal 8 2 9 3" xfId="6496" xr:uid="{00000000-0005-0000-0000-00002E1D0000}"/>
    <cellStyle name="Normal 8 2 9 3 2" xfId="15822" xr:uid="{AA72B676-376D-4A54-9473-F9199BE54D2A}"/>
    <cellStyle name="Normal 8 2 9 4" xfId="11605" xr:uid="{36BD94D6-1FA0-43D6-804B-44D7638EAB35}"/>
    <cellStyle name="Normal 8 3" xfId="495" xr:uid="{00000000-0005-0000-0000-00002F1D0000}"/>
    <cellStyle name="Normal 8 3 10" xfId="4860" xr:uid="{00000000-0005-0000-0000-0000301D0000}"/>
    <cellStyle name="Normal 8 3 10 2" xfId="14186" xr:uid="{4B15DA87-F46C-4573-B491-47DDB72FB82A}"/>
    <cellStyle name="Normal 8 3 11" xfId="8774" xr:uid="{81BDDADD-940D-4F3A-BD6C-7E4719C8A3D2}"/>
    <cellStyle name="Normal 8 3 11 2" xfId="18098" xr:uid="{3D36FD1A-5122-45B9-9748-72ED7F72E362}"/>
    <cellStyle name="Normal 8 3 12" xfId="9969" xr:uid="{62084383-89CA-40CE-8523-D8E0CAED1A9C}"/>
    <cellStyle name="Normal 8 3 2" xfId="496" xr:uid="{00000000-0005-0000-0000-0000311D0000}"/>
    <cellStyle name="Normal 8 3 2 10" xfId="8837" xr:uid="{392842AA-84B1-4A71-AE94-A1B631487B7E}"/>
    <cellStyle name="Normal 8 3 2 10 2" xfId="18161" xr:uid="{5F2D983C-B336-406A-A8F9-2373B42B82B2}"/>
    <cellStyle name="Normal 8 3 2 11" xfId="9970" xr:uid="{61966EA5-1793-4998-9B42-EA14259E2713}"/>
    <cellStyle name="Normal 8 3 2 2" xfId="497" xr:uid="{00000000-0005-0000-0000-0000321D0000}"/>
    <cellStyle name="Normal 8 3 2 2 10" xfId="9971" xr:uid="{A29880BC-37E7-4CAD-B8CC-2308B709744E}"/>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FC617EB9-1E23-414A-A265-74538376BA82}"/>
    <cellStyle name="Normal 8 3 2 2 2 2 2 3" xfId="12530" xr:uid="{807281F0-C943-474A-896D-40A266A3F2ED}"/>
    <cellStyle name="Normal 8 3 2 2 2 2 3" xfId="5276" xr:uid="{00000000-0005-0000-0000-0000371D0000}"/>
    <cellStyle name="Normal 8 3 2 2 2 2 3 2" xfId="14602" xr:uid="{7F1ECD88-E9CE-479B-99FA-A3D9881F4121}"/>
    <cellStyle name="Normal 8 3 2 2 2 2 4" xfId="9572" xr:uid="{83269435-2305-4677-BD8B-8CB801DC108A}"/>
    <cellStyle name="Normal 8 3 2 2 2 2 4 2" xfId="18887" xr:uid="{3BE2F438-0700-4539-87D0-D33CB9BA6E8B}"/>
    <cellStyle name="Normal 8 3 2 2 2 2 5" xfId="10385" xr:uid="{C0F26E8D-BC36-4C2C-AF6C-527B8D56A4A4}"/>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14E9A3C1-F378-4FD5-9410-4733EA05FEF9}"/>
    <cellStyle name="Normal 8 3 2 2 2 3 2 3" xfId="12943" xr:uid="{35D7117A-7A8D-4EAD-BA6C-EF202FB69F54}"/>
    <cellStyle name="Normal 8 3 2 2 2 3 3" xfId="5689" xr:uid="{00000000-0005-0000-0000-00003B1D0000}"/>
    <cellStyle name="Normal 8 3 2 2 2 3 3 2" xfId="15015" xr:uid="{0FE3D3A4-79D5-4359-A730-001547CF82ED}"/>
    <cellStyle name="Normal 8 3 2 2 2 3 4" xfId="10798" xr:uid="{F9394BCF-0C91-404C-BC7D-1180E3D91EAD}"/>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31B3BE81-6674-440F-85E1-5C5A6DFF3F8B}"/>
    <cellStyle name="Normal 8 3 2 2 2 4 2 3" xfId="13356" xr:uid="{1DDAA592-3034-4577-9EE3-3E3CA46534CA}"/>
    <cellStyle name="Normal 8 3 2 2 2 4 3" xfId="6102" xr:uid="{00000000-0005-0000-0000-00003F1D0000}"/>
    <cellStyle name="Normal 8 3 2 2 2 4 3 2" xfId="15428" xr:uid="{95441B0A-3272-46A8-B259-F81BF1E8B609}"/>
    <cellStyle name="Normal 8 3 2 2 2 4 4" xfId="11211" xr:uid="{1F0D0BC3-F5FB-4409-BA79-12FD10AE0A1A}"/>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9BDEDFC3-3F6E-4127-9134-D616F5A29776}"/>
    <cellStyle name="Normal 8 3 2 2 2 5 2 3" xfId="13769" xr:uid="{E1E89591-5795-45F5-A570-FDF241CFCC27}"/>
    <cellStyle name="Normal 8 3 2 2 2 5 3" xfId="6515" xr:uid="{00000000-0005-0000-0000-0000431D0000}"/>
    <cellStyle name="Normal 8 3 2 2 2 5 3 2" xfId="15841" xr:uid="{21740987-3B8B-4CA6-BD5C-50094D59A060}"/>
    <cellStyle name="Normal 8 3 2 2 2 5 4" xfId="11624" xr:uid="{E3D2C781-94AD-476A-9C06-AA5C037852D0}"/>
    <cellStyle name="Normal 8 3 2 2 2 6" xfId="2645" xr:uid="{00000000-0005-0000-0000-0000441D0000}"/>
    <cellStyle name="Normal 8 3 2 2 2 6 2" xfId="6928" xr:uid="{00000000-0005-0000-0000-0000451D0000}"/>
    <cellStyle name="Normal 8 3 2 2 2 6 2 2" xfId="16254" xr:uid="{2CFEB50B-129D-4968-AD93-0ED54931EFD1}"/>
    <cellStyle name="Normal 8 3 2 2 2 6 3" xfId="12037" xr:uid="{7C84B8AE-C97A-4D94-8682-8509964E7C1A}"/>
    <cellStyle name="Normal 8 3 2 2 2 7" xfId="4863" xr:uid="{00000000-0005-0000-0000-0000461D0000}"/>
    <cellStyle name="Normal 8 3 2 2 2 7 2" xfId="14189" xr:uid="{6DA25E40-83A6-4670-B825-9BB9222CC3CE}"/>
    <cellStyle name="Normal 8 3 2 2 2 8" xfId="9147" xr:uid="{16780743-13F5-44BF-919B-157B86988913}"/>
    <cellStyle name="Normal 8 3 2 2 2 8 2" xfId="18471" xr:uid="{B6591CCE-92BB-4D77-9D99-4573F5FC1634}"/>
    <cellStyle name="Normal 8 3 2 2 2 9" xfId="9972" xr:uid="{8FF49F3B-ADAD-4BF7-B7A8-385580E16902}"/>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A0BF3B12-BC2C-4ECC-8F6D-5E1DBADF9EF2}"/>
    <cellStyle name="Normal 8 3 2 2 3 2 3" xfId="12529" xr:uid="{78B24FFA-4F7B-45D0-8AC5-A618C2040219}"/>
    <cellStyle name="Normal 8 3 2 2 3 3" xfId="5275" xr:uid="{00000000-0005-0000-0000-00004A1D0000}"/>
    <cellStyle name="Normal 8 3 2 2 3 3 2" xfId="14601" xr:uid="{CE5C117E-FB4D-42F6-8E15-6FCABA1BBCA6}"/>
    <cellStyle name="Normal 8 3 2 2 3 4" xfId="9365" xr:uid="{47FF7C14-7484-41B9-856F-11398F7B2C7C}"/>
    <cellStyle name="Normal 8 3 2 2 3 4 2" xfId="18680" xr:uid="{D4090AB6-155E-4806-B0CE-76C88BE79CB9}"/>
    <cellStyle name="Normal 8 3 2 2 3 5" xfId="10384" xr:uid="{8DAA12FA-376F-4C89-9EDD-F3835F0792AA}"/>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533A82B4-8B48-478B-864E-15519A233DEE}"/>
    <cellStyle name="Normal 8 3 2 2 4 2 3" xfId="12942" xr:uid="{1550FECB-A876-46C2-BF84-49EBBE108B96}"/>
    <cellStyle name="Normal 8 3 2 2 4 3" xfId="5688" xr:uid="{00000000-0005-0000-0000-00004E1D0000}"/>
    <cellStyle name="Normal 8 3 2 2 4 3 2" xfId="15014" xr:uid="{447AE806-B433-4CE6-90D1-0BBBE2C97777}"/>
    <cellStyle name="Normal 8 3 2 2 4 4" xfId="10797" xr:uid="{ED192CA5-4E94-4143-AFED-D58110A4DEBA}"/>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6A934347-CC8A-4B63-AD26-DF6E2666074B}"/>
    <cellStyle name="Normal 8 3 2 2 5 2 3" xfId="13355" xr:uid="{2E66141F-3DAE-4106-80CA-011F0344470F}"/>
    <cellStyle name="Normal 8 3 2 2 5 3" xfId="6101" xr:uid="{00000000-0005-0000-0000-0000521D0000}"/>
    <cellStyle name="Normal 8 3 2 2 5 3 2" xfId="15427" xr:uid="{FB817A13-BFF2-4908-8A8D-FAA71CA4CB19}"/>
    <cellStyle name="Normal 8 3 2 2 5 4" xfId="11210" xr:uid="{F3FC8024-B569-4E17-AF4E-F1AC71B3E115}"/>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2736448E-7F08-49A6-A687-683030F3EC91}"/>
    <cellStyle name="Normal 8 3 2 2 6 2 3" xfId="13768" xr:uid="{BD0ECD4A-D21A-4A01-801F-1A0B7FEBE983}"/>
    <cellStyle name="Normal 8 3 2 2 6 3" xfId="6514" xr:uid="{00000000-0005-0000-0000-0000561D0000}"/>
    <cellStyle name="Normal 8 3 2 2 6 3 2" xfId="15840" xr:uid="{88BD0DCB-3571-4784-B835-25C9AB5A7658}"/>
    <cellStyle name="Normal 8 3 2 2 6 4" xfId="11623" xr:uid="{3C21B30D-8ADC-4A01-880F-5F4AC5965E6F}"/>
    <cellStyle name="Normal 8 3 2 2 7" xfId="2644" xr:uid="{00000000-0005-0000-0000-0000571D0000}"/>
    <cellStyle name="Normal 8 3 2 2 7 2" xfId="6927" xr:uid="{00000000-0005-0000-0000-0000581D0000}"/>
    <cellStyle name="Normal 8 3 2 2 7 2 2" xfId="16253" xr:uid="{282B8905-33BA-4A58-8FA6-F427849682EC}"/>
    <cellStyle name="Normal 8 3 2 2 7 3" xfId="12036" xr:uid="{4A49E1C5-02F7-4848-8DCA-C95DD959DCAC}"/>
    <cellStyle name="Normal 8 3 2 2 8" xfId="4862" xr:uid="{00000000-0005-0000-0000-0000591D0000}"/>
    <cellStyle name="Normal 8 3 2 2 8 2" xfId="14188" xr:uid="{484A7610-7D2A-443C-89C5-5D847EAC4D84}"/>
    <cellStyle name="Normal 8 3 2 2 9" xfId="8940" xr:uid="{63944EF0-E10A-4406-A758-3BD135650136}"/>
    <cellStyle name="Normal 8 3 2 2 9 2" xfId="18264" xr:uid="{1EC48DC9-0705-47BF-9C65-6C341CED8474}"/>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A004F0E2-9AC7-4526-A1A0-3D25C9380C43}"/>
    <cellStyle name="Normal 8 3 2 3 2 2 3" xfId="12531" xr:uid="{C8D7CE22-6B05-4A3D-85B5-9CDFA944F884}"/>
    <cellStyle name="Normal 8 3 2 3 2 3" xfId="5277" xr:uid="{00000000-0005-0000-0000-00005E1D0000}"/>
    <cellStyle name="Normal 8 3 2 3 2 3 2" xfId="14603" xr:uid="{46C9C638-69AB-43DB-8444-D51344BAAF4B}"/>
    <cellStyle name="Normal 8 3 2 3 2 4" xfId="9469" xr:uid="{7CA6C380-A6E9-4AF4-A29A-E40C8E9B5B5F}"/>
    <cellStyle name="Normal 8 3 2 3 2 4 2" xfId="18784" xr:uid="{3A9ADB4F-73E6-4018-9307-FF221548483B}"/>
    <cellStyle name="Normal 8 3 2 3 2 5" xfId="10386" xr:uid="{956A9585-8FEF-4476-9421-CD01CA9BC65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C0D47B99-1430-4884-B805-07E684D2FC87}"/>
    <cellStyle name="Normal 8 3 2 3 3 2 3" xfId="12944" xr:uid="{CB8F9D81-6294-47AA-B9CE-CB9FF6C6EF6F}"/>
    <cellStyle name="Normal 8 3 2 3 3 3" xfId="5690" xr:uid="{00000000-0005-0000-0000-0000621D0000}"/>
    <cellStyle name="Normal 8 3 2 3 3 3 2" xfId="15016" xr:uid="{11C2BC53-0848-4FAF-AE5C-20D7F302A79B}"/>
    <cellStyle name="Normal 8 3 2 3 3 4" xfId="10799" xr:uid="{C04EB98C-0A11-46E7-8321-9A42CBA0BC4E}"/>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60E22082-513C-4790-B217-F45686592E30}"/>
    <cellStyle name="Normal 8 3 2 3 4 2 3" xfId="13357" xr:uid="{E3FBC5A8-8197-4E8E-AFF7-9B3374FDA28C}"/>
    <cellStyle name="Normal 8 3 2 3 4 3" xfId="6103" xr:uid="{00000000-0005-0000-0000-0000661D0000}"/>
    <cellStyle name="Normal 8 3 2 3 4 3 2" xfId="15429" xr:uid="{D3054ACD-8E9B-4095-8A1C-B97300A51BC7}"/>
    <cellStyle name="Normal 8 3 2 3 4 4" xfId="11212" xr:uid="{2A160995-A56F-4DDA-9058-33C7D7FBD9B1}"/>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C3C0173B-882E-40A8-9F27-D8DC3BA80740}"/>
    <cellStyle name="Normal 8 3 2 3 5 2 3" xfId="13770" xr:uid="{3B570764-916A-49A4-AAD0-84084978A35E}"/>
    <cellStyle name="Normal 8 3 2 3 5 3" xfId="6516" xr:uid="{00000000-0005-0000-0000-00006A1D0000}"/>
    <cellStyle name="Normal 8 3 2 3 5 3 2" xfId="15842" xr:uid="{A8FA190F-6C78-49D7-9114-A3A49FC98619}"/>
    <cellStyle name="Normal 8 3 2 3 5 4" xfId="11625" xr:uid="{58125B2B-6780-4B5D-82E6-F7E88D6AE959}"/>
    <cellStyle name="Normal 8 3 2 3 6" xfId="2646" xr:uid="{00000000-0005-0000-0000-00006B1D0000}"/>
    <cellStyle name="Normal 8 3 2 3 6 2" xfId="6929" xr:uid="{00000000-0005-0000-0000-00006C1D0000}"/>
    <cellStyle name="Normal 8 3 2 3 6 2 2" xfId="16255" xr:uid="{8E4525CB-E7F1-42FB-A121-7E5109D6CEF8}"/>
    <cellStyle name="Normal 8 3 2 3 6 3" xfId="12038" xr:uid="{A829681C-5062-4739-80D7-879F06130188}"/>
    <cellStyle name="Normal 8 3 2 3 7" xfId="4864" xr:uid="{00000000-0005-0000-0000-00006D1D0000}"/>
    <cellStyle name="Normal 8 3 2 3 7 2" xfId="14190" xr:uid="{98ABBDC0-3D73-4BCD-8F94-A1072F8511F9}"/>
    <cellStyle name="Normal 8 3 2 3 8" xfId="9044" xr:uid="{5ED49706-9CA9-4EE9-B01D-112CD1DB587C}"/>
    <cellStyle name="Normal 8 3 2 3 8 2" xfId="18368" xr:uid="{28F46706-A30F-4D7F-B27F-54F16843F522}"/>
    <cellStyle name="Normal 8 3 2 3 9" xfId="9973" xr:uid="{F0A79165-3046-4FE0-8708-FAFA813C89BF}"/>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480E3AA8-BAB9-4459-8599-2B1BF65FFC59}"/>
    <cellStyle name="Normal 8 3 2 4 2 3" xfId="12528" xr:uid="{064F33AD-67F5-4FDD-BB43-8A5A099B344F}"/>
    <cellStyle name="Normal 8 3 2 4 3" xfId="5274" xr:uid="{00000000-0005-0000-0000-0000711D0000}"/>
    <cellStyle name="Normal 8 3 2 4 3 2" xfId="14600" xr:uid="{D493E6C0-2A25-4D65-A770-58E1CF2A5011}"/>
    <cellStyle name="Normal 8 3 2 4 4" xfId="9262" xr:uid="{8842595C-CD28-4B10-9BE6-37883B4C2AA9}"/>
    <cellStyle name="Normal 8 3 2 4 4 2" xfId="18577" xr:uid="{9CCF0F72-43DB-4648-8880-300875BCDFF7}"/>
    <cellStyle name="Normal 8 3 2 4 5" xfId="10383" xr:uid="{B8CABF9F-FB56-4F56-A6C4-9BF5AB135808}"/>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D8B034FF-FB17-45EA-A3CE-565445BCBC63}"/>
    <cellStyle name="Normal 8 3 2 5 2 3" xfId="12941" xr:uid="{96D216D2-B7DB-40F3-B385-0803B50274AC}"/>
    <cellStyle name="Normal 8 3 2 5 3" xfId="5687" xr:uid="{00000000-0005-0000-0000-0000751D0000}"/>
    <cellStyle name="Normal 8 3 2 5 3 2" xfId="15013" xr:uid="{11AD0FBE-B730-41AD-8615-9D8390A56A44}"/>
    <cellStyle name="Normal 8 3 2 5 4" xfId="10796" xr:uid="{28FC13FE-B414-4676-B2A8-153055E976CE}"/>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31065B02-1143-4673-8547-AE9C376007B2}"/>
    <cellStyle name="Normal 8 3 2 6 2 3" xfId="13354" xr:uid="{056309EF-1D1F-447A-B018-8502C25D3C29}"/>
    <cellStyle name="Normal 8 3 2 6 3" xfId="6100" xr:uid="{00000000-0005-0000-0000-0000791D0000}"/>
    <cellStyle name="Normal 8 3 2 6 3 2" xfId="15426" xr:uid="{1348D19E-CC5A-4963-9E4E-078FDC845D55}"/>
    <cellStyle name="Normal 8 3 2 6 4" xfId="11209" xr:uid="{56C204C3-EC66-44B3-ACAE-A8700EBAD017}"/>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F712E335-A772-4AE9-8414-D8BE7EF54110}"/>
    <cellStyle name="Normal 8 3 2 7 2 3" xfId="13767" xr:uid="{1021EB36-D10B-4E6F-ADAD-CD7EC4A137FB}"/>
    <cellStyle name="Normal 8 3 2 7 3" xfId="6513" xr:uid="{00000000-0005-0000-0000-00007D1D0000}"/>
    <cellStyle name="Normal 8 3 2 7 3 2" xfId="15839" xr:uid="{60D8C536-4DBA-42C6-88E6-9D58DA351161}"/>
    <cellStyle name="Normal 8 3 2 7 4" xfId="11622" xr:uid="{ACF64174-3362-47A4-A969-384DF67C2D9D}"/>
    <cellStyle name="Normal 8 3 2 8" xfId="2643" xr:uid="{00000000-0005-0000-0000-00007E1D0000}"/>
    <cellStyle name="Normal 8 3 2 8 2" xfId="6926" xr:uid="{00000000-0005-0000-0000-00007F1D0000}"/>
    <cellStyle name="Normal 8 3 2 8 2 2" xfId="16252" xr:uid="{5561F912-94D8-43BF-846A-75D3D1376ED1}"/>
    <cellStyle name="Normal 8 3 2 8 3" xfId="12035" xr:uid="{51364BAD-7648-4421-ADC0-36331395D2F2}"/>
    <cellStyle name="Normal 8 3 2 9" xfId="4861" xr:uid="{00000000-0005-0000-0000-0000801D0000}"/>
    <cellStyle name="Normal 8 3 2 9 2" xfId="14187" xr:uid="{06043BF6-E11E-44E8-A11B-34DE7B3E1C4B}"/>
    <cellStyle name="Normal 8 3 3" xfId="500" xr:uid="{00000000-0005-0000-0000-0000811D0000}"/>
    <cellStyle name="Normal 8 3 3 10" xfId="9974" xr:uid="{FCBE14CE-BF1C-4D5D-9D8A-38D976D95C37}"/>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9FEC7BC3-9046-46E1-9495-E61447BDF3B1}"/>
    <cellStyle name="Normal 8 3 3 2 2 2 3" xfId="12533" xr:uid="{AB56AFE7-18B5-4EB7-A299-67F8896D39C0}"/>
    <cellStyle name="Normal 8 3 3 2 2 3" xfId="5279" xr:uid="{00000000-0005-0000-0000-0000861D0000}"/>
    <cellStyle name="Normal 8 3 3 2 2 3 2" xfId="14605" xr:uid="{EB9145B3-1465-41BD-A2BF-46BB313CFA72}"/>
    <cellStyle name="Normal 8 3 3 2 2 4" xfId="9509" xr:uid="{3B4378D3-7C51-4B91-822B-758528BFF352}"/>
    <cellStyle name="Normal 8 3 3 2 2 4 2" xfId="18824" xr:uid="{A4ADD342-34F5-4695-8E8D-533A2E5EB59F}"/>
    <cellStyle name="Normal 8 3 3 2 2 5" xfId="10388" xr:uid="{9B10F861-5BB5-4567-BA08-8D9B23F5AE80}"/>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2321307B-4EF3-4FB1-845C-74F05850958E}"/>
    <cellStyle name="Normal 8 3 3 2 3 2 3" xfId="12946" xr:uid="{90271A92-4304-4FB5-9F74-F029AFFA859D}"/>
    <cellStyle name="Normal 8 3 3 2 3 3" xfId="5692" xr:uid="{00000000-0005-0000-0000-00008A1D0000}"/>
    <cellStyle name="Normal 8 3 3 2 3 3 2" xfId="15018" xr:uid="{D9DE39D1-EC63-45A0-A178-61D0F99793A1}"/>
    <cellStyle name="Normal 8 3 3 2 3 4" xfId="10801" xr:uid="{34D9BD28-39C7-4822-897F-A0E0B13156CE}"/>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A84D261C-0177-4BE7-A28F-210FB9125D5C}"/>
    <cellStyle name="Normal 8 3 3 2 4 2 3" xfId="13359" xr:uid="{AED33903-405C-4E71-AD80-821E43EE428B}"/>
    <cellStyle name="Normal 8 3 3 2 4 3" xfId="6105" xr:uid="{00000000-0005-0000-0000-00008E1D0000}"/>
    <cellStyle name="Normal 8 3 3 2 4 3 2" xfId="15431" xr:uid="{83A924B5-EF00-4CDE-AECB-26DCEA4207B1}"/>
    <cellStyle name="Normal 8 3 3 2 4 4" xfId="11214" xr:uid="{3A5EAC2F-2C0D-431B-B6F8-678F5ECF1AF0}"/>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C82A77A8-F4E5-40F4-8AD6-408B93E2C3CD}"/>
    <cellStyle name="Normal 8 3 3 2 5 2 3" xfId="13772" xr:uid="{64BB972F-13A6-48B1-AC77-65390B1B946B}"/>
    <cellStyle name="Normal 8 3 3 2 5 3" xfId="6518" xr:uid="{00000000-0005-0000-0000-0000921D0000}"/>
    <cellStyle name="Normal 8 3 3 2 5 3 2" xfId="15844" xr:uid="{72B2A322-93F5-4C5D-8D7D-28F58534BED1}"/>
    <cellStyle name="Normal 8 3 3 2 5 4" xfId="11627" xr:uid="{5F780966-D773-443C-9B20-D7ECEDE7B6EB}"/>
    <cellStyle name="Normal 8 3 3 2 6" xfId="2648" xr:uid="{00000000-0005-0000-0000-0000931D0000}"/>
    <cellStyle name="Normal 8 3 3 2 6 2" xfId="6931" xr:uid="{00000000-0005-0000-0000-0000941D0000}"/>
    <cellStyle name="Normal 8 3 3 2 6 2 2" xfId="16257" xr:uid="{719582DA-9219-4789-AF06-4FAFB0909F3C}"/>
    <cellStyle name="Normal 8 3 3 2 6 3" xfId="12040" xr:uid="{405B0646-42B8-4F7B-8480-56333EB6497B}"/>
    <cellStyle name="Normal 8 3 3 2 7" xfId="4866" xr:uid="{00000000-0005-0000-0000-0000951D0000}"/>
    <cellStyle name="Normal 8 3 3 2 7 2" xfId="14192" xr:uid="{B671197C-BF8C-4B0C-86D3-90143079996C}"/>
    <cellStyle name="Normal 8 3 3 2 8" xfId="9084" xr:uid="{94243AB7-0454-4C95-8E94-054E46718167}"/>
    <cellStyle name="Normal 8 3 3 2 8 2" xfId="18408" xr:uid="{FE28C258-F2CA-44D7-A6E1-79FDECA4F364}"/>
    <cellStyle name="Normal 8 3 3 2 9" xfId="9975" xr:uid="{C723B58A-75B0-428C-8CA3-69A5239728D8}"/>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B2AA7EE2-6D1D-417C-8F51-121ED57863FE}"/>
    <cellStyle name="Normal 8 3 3 3 2 3" xfId="12532" xr:uid="{693DB276-A824-44FE-9533-76030459144D}"/>
    <cellStyle name="Normal 8 3 3 3 3" xfId="5278" xr:uid="{00000000-0005-0000-0000-0000991D0000}"/>
    <cellStyle name="Normal 8 3 3 3 3 2" xfId="14604" xr:uid="{C6355013-BDE0-4927-9BAA-7BBCF8112769}"/>
    <cellStyle name="Normal 8 3 3 3 4" xfId="9302" xr:uid="{3985B908-2B56-4F9B-BEA3-8962926FD004}"/>
    <cellStyle name="Normal 8 3 3 3 4 2" xfId="18617" xr:uid="{460053CA-1E67-46C4-8CF5-BD96B9E0C72A}"/>
    <cellStyle name="Normal 8 3 3 3 5" xfId="10387" xr:uid="{62A89350-66C5-441A-BFB1-DA891ECA3C2B}"/>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1D505AE6-94DE-433B-95AA-BD9323355D80}"/>
    <cellStyle name="Normal 8 3 3 4 2 3" xfId="12945" xr:uid="{489B7D4D-C2E8-44FA-B0FA-E8A99781F75A}"/>
    <cellStyle name="Normal 8 3 3 4 3" xfId="5691" xr:uid="{00000000-0005-0000-0000-00009D1D0000}"/>
    <cellStyle name="Normal 8 3 3 4 3 2" xfId="15017" xr:uid="{9BDA30B1-06EC-4EC4-850C-D297ED6DF7F1}"/>
    <cellStyle name="Normal 8 3 3 4 4" xfId="10800" xr:uid="{D12EAEB9-F999-4A16-B6FC-388D95BD617B}"/>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0D89AAB7-B579-4C28-8BA1-1FDDEFFFA788}"/>
    <cellStyle name="Normal 8 3 3 5 2 3" xfId="13358" xr:uid="{C2C48323-3684-44DA-BEA4-518813D6629A}"/>
    <cellStyle name="Normal 8 3 3 5 3" xfId="6104" xr:uid="{00000000-0005-0000-0000-0000A11D0000}"/>
    <cellStyle name="Normal 8 3 3 5 3 2" xfId="15430" xr:uid="{8951BA19-C051-4330-BF8F-D947DDDBDB91}"/>
    <cellStyle name="Normal 8 3 3 5 4" xfId="11213" xr:uid="{DF5EB5FC-B7F4-411A-ACD5-2D7EA5F1C9CE}"/>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1F6839AE-FD6E-45F6-AA3B-34A2EF145565}"/>
    <cellStyle name="Normal 8 3 3 6 2 3" xfId="13771" xr:uid="{28758DA4-50FA-4505-9A92-4B62824200DC}"/>
    <cellStyle name="Normal 8 3 3 6 3" xfId="6517" xr:uid="{00000000-0005-0000-0000-0000A51D0000}"/>
    <cellStyle name="Normal 8 3 3 6 3 2" xfId="15843" xr:uid="{0CFFE0BC-84D8-4A03-B287-752034A221CA}"/>
    <cellStyle name="Normal 8 3 3 6 4" xfId="11626" xr:uid="{8F57D7E6-B052-4024-9B34-E4A2CB13BEF1}"/>
    <cellStyle name="Normal 8 3 3 7" xfId="2647" xr:uid="{00000000-0005-0000-0000-0000A61D0000}"/>
    <cellStyle name="Normal 8 3 3 7 2" xfId="6930" xr:uid="{00000000-0005-0000-0000-0000A71D0000}"/>
    <cellStyle name="Normal 8 3 3 7 2 2" xfId="16256" xr:uid="{45DCAF08-A000-4293-B94A-E9E1EDBB419D}"/>
    <cellStyle name="Normal 8 3 3 7 3" xfId="12039" xr:uid="{AB82DE35-CD02-43C2-ACA2-792B70ECBAB9}"/>
    <cellStyle name="Normal 8 3 3 8" xfId="4865" xr:uid="{00000000-0005-0000-0000-0000A81D0000}"/>
    <cellStyle name="Normal 8 3 3 8 2" xfId="14191" xr:uid="{1BC1392B-241A-4CAC-A476-DBFE23F9185B}"/>
    <cellStyle name="Normal 8 3 3 9" xfId="8877" xr:uid="{4F8231E3-800E-43E7-B1B6-9633EBFFFFE1}"/>
    <cellStyle name="Normal 8 3 3 9 2" xfId="18201" xr:uid="{2A796017-58FA-4C2C-BD7E-3FBE22F7021C}"/>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3F0F8B4A-399D-46BF-AB3F-BFADF47BBB0F}"/>
    <cellStyle name="Normal 8 3 4 2 2 3" xfId="12534" xr:uid="{84FC43C6-2872-4D40-8295-F7CF54642FB2}"/>
    <cellStyle name="Normal 8 3 4 2 3" xfId="5280" xr:uid="{00000000-0005-0000-0000-0000AD1D0000}"/>
    <cellStyle name="Normal 8 3 4 2 3 2" xfId="14606" xr:uid="{8628FDD1-CF99-4F51-8A9C-BFD5D24B2491}"/>
    <cellStyle name="Normal 8 3 4 2 4" xfId="9406" xr:uid="{8751BE45-E47B-4A0A-B0DE-04C14FAEA88D}"/>
    <cellStyle name="Normal 8 3 4 2 4 2" xfId="18721" xr:uid="{27D4513B-B415-43FF-BCE5-BBD1473C24F1}"/>
    <cellStyle name="Normal 8 3 4 2 5" xfId="10389" xr:uid="{F6A58744-001A-4339-806E-FE60E10051AE}"/>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FF6C2D1F-DE77-45A0-84F8-6528C2C39DA7}"/>
    <cellStyle name="Normal 8 3 4 3 2 3" xfId="12947" xr:uid="{499A6318-84EB-4F69-A4AA-04C804DA2E66}"/>
    <cellStyle name="Normal 8 3 4 3 3" xfId="5693" xr:uid="{00000000-0005-0000-0000-0000B11D0000}"/>
    <cellStyle name="Normal 8 3 4 3 3 2" xfId="15019" xr:uid="{86E78612-8B40-4DFB-9D09-7002E9D8C71A}"/>
    <cellStyle name="Normal 8 3 4 3 4" xfId="10802" xr:uid="{2B28059B-5B46-43C9-AFE5-744018A191FB}"/>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F9F0313D-2CA1-4D66-A558-A79AC7ED48F8}"/>
    <cellStyle name="Normal 8 3 4 4 2 3" xfId="13360" xr:uid="{FE51ABC7-7218-4C1F-BBF3-1391E0A6EA96}"/>
    <cellStyle name="Normal 8 3 4 4 3" xfId="6106" xr:uid="{00000000-0005-0000-0000-0000B51D0000}"/>
    <cellStyle name="Normal 8 3 4 4 3 2" xfId="15432" xr:uid="{C1BDD777-C3C9-4A71-A384-85251EA0AAFC}"/>
    <cellStyle name="Normal 8 3 4 4 4" xfId="11215" xr:uid="{85D7BD60-7835-4FB8-BE0A-4DAF38F7899F}"/>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C6341FEC-248C-41A5-83F1-54CCA1D245CB}"/>
    <cellStyle name="Normal 8 3 4 5 2 3" xfId="13773" xr:uid="{D1219F75-F984-48A7-AF5F-50684C351448}"/>
    <cellStyle name="Normal 8 3 4 5 3" xfId="6519" xr:uid="{00000000-0005-0000-0000-0000B91D0000}"/>
    <cellStyle name="Normal 8 3 4 5 3 2" xfId="15845" xr:uid="{BDFD100C-A9EC-4DD0-97FE-3BCCF8398D1C}"/>
    <cellStyle name="Normal 8 3 4 5 4" xfId="11628" xr:uid="{A8AA5C3F-4263-4728-83FB-357DD518F240}"/>
    <cellStyle name="Normal 8 3 4 6" xfId="2649" xr:uid="{00000000-0005-0000-0000-0000BA1D0000}"/>
    <cellStyle name="Normal 8 3 4 6 2" xfId="6932" xr:uid="{00000000-0005-0000-0000-0000BB1D0000}"/>
    <cellStyle name="Normal 8 3 4 6 2 2" xfId="16258" xr:uid="{179A108A-59AC-4EDA-AD6F-480A96C5DF66}"/>
    <cellStyle name="Normal 8 3 4 6 3" xfId="12041" xr:uid="{C1038178-DA8A-4C28-B338-220A02ACA628}"/>
    <cellStyle name="Normal 8 3 4 7" xfId="4867" xr:uid="{00000000-0005-0000-0000-0000BC1D0000}"/>
    <cellStyle name="Normal 8 3 4 7 2" xfId="14193" xr:uid="{9064FD7F-1894-4028-9F68-135A030C9AE8}"/>
    <cellStyle name="Normal 8 3 4 8" xfId="8981" xr:uid="{BEE184E9-ECE6-4107-B29A-CC8BC7F28FA3}"/>
    <cellStyle name="Normal 8 3 4 8 2" xfId="18305" xr:uid="{AA48860C-C6F1-449E-A13C-60343053E979}"/>
    <cellStyle name="Normal 8 3 4 9" xfId="9976" xr:uid="{44830DE6-7043-40D7-B57F-04751F7DC927}"/>
    <cellStyle name="Normal 8 3 5" xfId="962" xr:uid="{00000000-0005-0000-0000-0000BD1D0000}"/>
    <cellStyle name="Normal 8 3 5 2" xfId="3196" xr:uid="{00000000-0005-0000-0000-0000BE1D0000}"/>
    <cellStyle name="Normal 8 3 5 2 2" xfId="7418" xr:uid="{00000000-0005-0000-0000-0000BF1D0000}"/>
    <cellStyle name="Normal 8 3 5 2 2 2" xfId="16744" xr:uid="{074999CF-5908-4728-96E6-E16180FD9745}"/>
    <cellStyle name="Normal 8 3 5 2 3" xfId="12527" xr:uid="{F2299B0D-1217-49CD-BB7A-40E1F045F8A5}"/>
    <cellStyle name="Normal 8 3 5 3" xfId="5273" xr:uid="{00000000-0005-0000-0000-0000C01D0000}"/>
    <cellStyle name="Normal 8 3 5 3 2" xfId="14599" xr:uid="{EE4009EA-7FC6-4320-8AD9-C039FE43B25E}"/>
    <cellStyle name="Normal 8 3 5 4" xfId="9198" xr:uid="{FA5A5C79-C3AC-4E17-9344-90C4E411EE0B}"/>
    <cellStyle name="Normal 8 3 5 4 2" xfId="18514" xr:uid="{8EE07592-AE3F-42EC-9460-B4B587927962}"/>
    <cellStyle name="Normal 8 3 5 5" xfId="10382" xr:uid="{A4B861A8-B248-4BA2-A705-BC0C9B943A06}"/>
    <cellStyle name="Normal 8 3 6" xfId="1379" xr:uid="{00000000-0005-0000-0000-0000C11D0000}"/>
    <cellStyle name="Normal 8 3 6 2" xfId="3609" xr:uid="{00000000-0005-0000-0000-0000C21D0000}"/>
    <cellStyle name="Normal 8 3 6 2 2" xfId="7831" xr:uid="{00000000-0005-0000-0000-0000C31D0000}"/>
    <cellStyle name="Normal 8 3 6 2 2 2" xfId="17157" xr:uid="{E1E26241-4EBD-4ABC-A122-B049CD8C487D}"/>
    <cellStyle name="Normal 8 3 6 2 3" xfId="12940" xr:uid="{3C74E46A-5292-4EA7-AD4F-BBA9BA150A31}"/>
    <cellStyle name="Normal 8 3 6 3" xfId="5686" xr:uid="{00000000-0005-0000-0000-0000C41D0000}"/>
    <cellStyle name="Normal 8 3 6 3 2" xfId="15012" xr:uid="{F228B960-E6A7-41B4-8096-C5DF399DC9AB}"/>
    <cellStyle name="Normal 8 3 6 4" xfId="10795" xr:uid="{D8BC15F7-CB69-4343-AC3D-FCD22E7BA9B2}"/>
    <cellStyle name="Normal 8 3 7" xfId="1792" xr:uid="{00000000-0005-0000-0000-0000C51D0000}"/>
    <cellStyle name="Normal 8 3 7 2" xfId="4022" xr:uid="{00000000-0005-0000-0000-0000C61D0000}"/>
    <cellStyle name="Normal 8 3 7 2 2" xfId="8244" xr:uid="{00000000-0005-0000-0000-0000C71D0000}"/>
    <cellStyle name="Normal 8 3 7 2 2 2" xfId="17570" xr:uid="{D16656E3-9ECE-49CF-A2E1-D985F2E5CDE9}"/>
    <cellStyle name="Normal 8 3 7 2 3" xfId="13353" xr:uid="{E71AD3B7-EBCE-41D0-AC57-6C11538D3D63}"/>
    <cellStyle name="Normal 8 3 7 3" xfId="6099" xr:uid="{00000000-0005-0000-0000-0000C81D0000}"/>
    <cellStyle name="Normal 8 3 7 3 2" xfId="15425" xr:uid="{046FF13E-A323-41C0-813F-12563797E23B}"/>
    <cellStyle name="Normal 8 3 7 4" xfId="11208" xr:uid="{0B23A134-6A3C-4A58-A9BD-09B0E35902C2}"/>
    <cellStyle name="Normal 8 3 8" xfId="2206" xr:uid="{00000000-0005-0000-0000-0000C91D0000}"/>
    <cellStyle name="Normal 8 3 8 2" xfId="4435" xr:uid="{00000000-0005-0000-0000-0000CA1D0000}"/>
    <cellStyle name="Normal 8 3 8 2 2" xfId="8657" xr:uid="{00000000-0005-0000-0000-0000CB1D0000}"/>
    <cellStyle name="Normal 8 3 8 2 2 2" xfId="17983" xr:uid="{67317BCF-D8D9-471D-99AE-E1D51F854ECB}"/>
    <cellStyle name="Normal 8 3 8 2 3" xfId="13766" xr:uid="{767C972E-A456-4A72-90A1-75ED7F9CAB92}"/>
    <cellStyle name="Normal 8 3 8 3" xfId="6512" xr:uid="{00000000-0005-0000-0000-0000CC1D0000}"/>
    <cellStyle name="Normal 8 3 8 3 2" xfId="15838" xr:uid="{2E4C1227-0192-48DB-8AAE-A9EB88BBB12D}"/>
    <cellStyle name="Normal 8 3 8 4" xfId="11621" xr:uid="{217317A4-79D8-450E-A1C5-0071F1FEEB18}"/>
    <cellStyle name="Normal 8 3 9" xfId="2642" xr:uid="{00000000-0005-0000-0000-0000CD1D0000}"/>
    <cellStyle name="Normal 8 3 9 2" xfId="6925" xr:uid="{00000000-0005-0000-0000-0000CE1D0000}"/>
    <cellStyle name="Normal 8 3 9 2 2" xfId="16251" xr:uid="{CE5FF052-1305-43F6-BA6C-C0BE6E8C5E9A}"/>
    <cellStyle name="Normal 8 3 9 3" xfId="12034" xr:uid="{008A120C-F4D7-46A8-B6B6-DE19C457476F}"/>
    <cellStyle name="Normal 8 4" xfId="503" xr:uid="{00000000-0005-0000-0000-0000CF1D0000}"/>
    <cellStyle name="Normal 8 4 10" xfId="8834" xr:uid="{78848A4E-06FA-4050-B553-A3A7DEA1B047}"/>
    <cellStyle name="Normal 8 4 10 2" xfId="18158" xr:uid="{9D9F76A6-0CDE-401A-B461-047960E3C2D1}"/>
    <cellStyle name="Normal 8 4 11" xfId="9977" xr:uid="{BC0470E5-1196-4CCC-823A-F55C1199B18B}"/>
    <cellStyle name="Normal 8 4 2" xfId="504" xr:uid="{00000000-0005-0000-0000-0000D01D0000}"/>
    <cellStyle name="Normal 8 4 2 10" xfId="9978" xr:uid="{F3A89D3D-4CA4-4B03-A543-D43296FDB715}"/>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2FA0C5BD-1B0B-4D68-8D0B-54C12ABA0576}"/>
    <cellStyle name="Normal 8 4 2 2 2 2 3" xfId="12537" xr:uid="{35144946-5A50-4DE9-A1EF-64195F66F798}"/>
    <cellStyle name="Normal 8 4 2 2 2 3" xfId="5283" xr:uid="{00000000-0005-0000-0000-0000D51D0000}"/>
    <cellStyle name="Normal 8 4 2 2 2 3 2" xfId="14609" xr:uid="{66688293-A5DB-404F-9EE0-85D91643B3EC}"/>
    <cellStyle name="Normal 8 4 2 2 2 4" xfId="9569" xr:uid="{F21122F8-27BB-4D46-891E-281F736F5353}"/>
    <cellStyle name="Normal 8 4 2 2 2 4 2" xfId="18884" xr:uid="{A0AB07A1-039D-42BC-8C80-31861ACEB739}"/>
    <cellStyle name="Normal 8 4 2 2 2 5" xfId="10392" xr:uid="{53D380E6-04AC-4A48-8FB7-9D126E6C79FC}"/>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0F3E062E-3A49-4D76-B130-40AE7B0BD294}"/>
    <cellStyle name="Normal 8 4 2 2 3 2 3" xfId="12950" xr:uid="{CF5CE7C1-5351-460E-85CD-F909405FC681}"/>
    <cellStyle name="Normal 8 4 2 2 3 3" xfId="5696" xr:uid="{00000000-0005-0000-0000-0000D91D0000}"/>
    <cellStyle name="Normal 8 4 2 2 3 3 2" xfId="15022" xr:uid="{612B3ECF-2117-46D1-8EE4-E89B5E98699E}"/>
    <cellStyle name="Normal 8 4 2 2 3 4" xfId="10805" xr:uid="{1A8639C8-AF76-4345-9572-388B7EFBFADB}"/>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EC6880FB-619F-4407-B775-5EB04F5F0FEA}"/>
    <cellStyle name="Normal 8 4 2 2 4 2 3" xfId="13363" xr:uid="{C9B21169-815B-49F4-8E42-FD6C3E93C3DE}"/>
    <cellStyle name="Normal 8 4 2 2 4 3" xfId="6109" xr:uid="{00000000-0005-0000-0000-0000DD1D0000}"/>
    <cellStyle name="Normal 8 4 2 2 4 3 2" xfId="15435" xr:uid="{439731FB-C568-4290-98EE-3B49B2E2AA33}"/>
    <cellStyle name="Normal 8 4 2 2 4 4" xfId="11218" xr:uid="{262A8AAE-2C4E-4E12-9F6C-D7E62FF26663}"/>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0228C1CE-BE70-451B-85AA-878B99957183}"/>
    <cellStyle name="Normal 8 4 2 2 5 2 3" xfId="13776" xr:uid="{4CEF4AE2-4328-4C34-A54A-4E30E3237743}"/>
    <cellStyle name="Normal 8 4 2 2 5 3" xfId="6522" xr:uid="{00000000-0005-0000-0000-0000E11D0000}"/>
    <cellStyle name="Normal 8 4 2 2 5 3 2" xfId="15848" xr:uid="{0EA90F03-EC84-4B02-8497-9E1F0B73FFB5}"/>
    <cellStyle name="Normal 8 4 2 2 5 4" xfId="11631" xr:uid="{35AE6E10-387F-4A44-BE16-33ECC8BD2548}"/>
    <cellStyle name="Normal 8 4 2 2 6" xfId="2652" xr:uid="{00000000-0005-0000-0000-0000E21D0000}"/>
    <cellStyle name="Normal 8 4 2 2 6 2" xfId="6935" xr:uid="{00000000-0005-0000-0000-0000E31D0000}"/>
    <cellStyle name="Normal 8 4 2 2 6 2 2" xfId="16261" xr:uid="{91DF7854-9C14-453A-BE12-75D9937AEB6F}"/>
    <cellStyle name="Normal 8 4 2 2 6 3" xfId="12044" xr:uid="{3CC41962-AD42-4596-8A17-16B85B9108D7}"/>
    <cellStyle name="Normal 8 4 2 2 7" xfId="4870" xr:uid="{00000000-0005-0000-0000-0000E41D0000}"/>
    <cellStyle name="Normal 8 4 2 2 7 2" xfId="14196" xr:uid="{CDAEAE6E-B24A-4878-A5CC-001F619BFE54}"/>
    <cellStyle name="Normal 8 4 2 2 8" xfId="9144" xr:uid="{EF6B0978-3DE8-47DC-990C-0B47AAC8F1DC}"/>
    <cellStyle name="Normal 8 4 2 2 8 2" xfId="18468" xr:uid="{F2C4A695-CD96-4470-915A-0D30BCAB4965}"/>
    <cellStyle name="Normal 8 4 2 2 9" xfId="9979" xr:uid="{6142DA52-8A29-47D4-8252-27C503B03A6D}"/>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88EE0C3E-F6A8-4633-A952-BEE62D0DF165}"/>
    <cellStyle name="Normal 8 4 2 3 2 3" xfId="12536" xr:uid="{FC54FFCC-CE77-4046-8550-09F3D25722C3}"/>
    <cellStyle name="Normal 8 4 2 3 3" xfId="5282" xr:uid="{00000000-0005-0000-0000-0000E81D0000}"/>
    <cellStyle name="Normal 8 4 2 3 3 2" xfId="14608" xr:uid="{76C476D8-70D6-4A33-9E00-28171C93ACF8}"/>
    <cellStyle name="Normal 8 4 2 3 4" xfId="9362" xr:uid="{206856BB-FDDB-4012-ABFE-5E991E477A14}"/>
    <cellStyle name="Normal 8 4 2 3 4 2" xfId="18677" xr:uid="{2603EEB0-0F93-43ED-9D0B-AB95C554A8B8}"/>
    <cellStyle name="Normal 8 4 2 3 5" xfId="10391" xr:uid="{D4F420F4-DBA9-4BB7-AD27-AD6F32D14DA4}"/>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9C9EAAE4-93A1-46AB-A435-39C5253C2157}"/>
    <cellStyle name="Normal 8 4 2 4 2 3" xfId="12949" xr:uid="{E4BCA750-98FA-4943-AC71-6DCD30FD7A6C}"/>
    <cellStyle name="Normal 8 4 2 4 3" xfId="5695" xr:uid="{00000000-0005-0000-0000-0000EC1D0000}"/>
    <cellStyle name="Normal 8 4 2 4 3 2" xfId="15021" xr:uid="{1DCD64C3-CFCD-411B-9C48-1961202B766A}"/>
    <cellStyle name="Normal 8 4 2 4 4" xfId="10804" xr:uid="{A221C105-C5A0-4834-8D95-6DBFBDF33EB5}"/>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43C98918-F7AF-4EED-B4ED-CCEBA6F1CAFE}"/>
    <cellStyle name="Normal 8 4 2 5 2 3" xfId="13362" xr:uid="{F14FEB7F-AAAA-4C69-956A-9AE21DA1E35E}"/>
    <cellStyle name="Normal 8 4 2 5 3" xfId="6108" xr:uid="{00000000-0005-0000-0000-0000F01D0000}"/>
    <cellStyle name="Normal 8 4 2 5 3 2" xfId="15434" xr:uid="{3BF1303A-8B8C-4C68-B8FD-A539D1804DF8}"/>
    <cellStyle name="Normal 8 4 2 5 4" xfId="11217" xr:uid="{C001F245-2A33-44EE-80D9-31D4D74ED4AB}"/>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D8806B07-2DA1-4B03-B121-830B86FDD613}"/>
    <cellStyle name="Normal 8 4 2 6 2 3" xfId="13775" xr:uid="{FB27A856-DE0A-4F05-A3FA-65CE520BD8A3}"/>
    <cellStyle name="Normal 8 4 2 6 3" xfId="6521" xr:uid="{00000000-0005-0000-0000-0000F41D0000}"/>
    <cellStyle name="Normal 8 4 2 6 3 2" xfId="15847" xr:uid="{F196088D-3B01-4DD5-BC4C-93EE4F0D2BDE}"/>
    <cellStyle name="Normal 8 4 2 6 4" xfId="11630" xr:uid="{A67136DC-3234-44AE-BDFB-F7E34ECC931C}"/>
    <cellStyle name="Normal 8 4 2 7" xfId="2651" xr:uid="{00000000-0005-0000-0000-0000F51D0000}"/>
    <cellStyle name="Normal 8 4 2 7 2" xfId="6934" xr:uid="{00000000-0005-0000-0000-0000F61D0000}"/>
    <cellStyle name="Normal 8 4 2 7 2 2" xfId="16260" xr:uid="{40E3DA11-4E9D-40B4-B0C3-82A7926DEFFF}"/>
    <cellStyle name="Normal 8 4 2 7 3" xfId="12043" xr:uid="{F7B25076-7DB3-47ED-B5A5-4F1A3250F5E3}"/>
    <cellStyle name="Normal 8 4 2 8" xfId="4869" xr:uid="{00000000-0005-0000-0000-0000F71D0000}"/>
    <cellStyle name="Normal 8 4 2 8 2" xfId="14195" xr:uid="{4F62A3AF-33C1-424F-8ED4-B243A4A5ADDE}"/>
    <cellStyle name="Normal 8 4 2 9" xfId="8937" xr:uid="{B425CDA4-C1C1-4A6C-AB85-CE28E324A88F}"/>
    <cellStyle name="Normal 8 4 2 9 2" xfId="18261" xr:uid="{8C95DDBB-DED4-4042-9C22-3C30738C08B3}"/>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AF639DC5-896B-4866-878C-91BE4F2C0489}"/>
    <cellStyle name="Normal 8 4 3 2 2 3" xfId="12538" xr:uid="{7AD0EFE4-15AA-476E-8CA5-4BA0C104CBDE}"/>
    <cellStyle name="Normal 8 4 3 2 3" xfId="5284" xr:uid="{00000000-0005-0000-0000-0000FC1D0000}"/>
    <cellStyle name="Normal 8 4 3 2 3 2" xfId="14610" xr:uid="{613341E4-9718-4D6F-9B7E-256E9DE4AEB7}"/>
    <cellStyle name="Normal 8 4 3 2 4" xfId="9466" xr:uid="{4C42748F-6D34-4D0D-8AE2-FFD5C0CBE26F}"/>
    <cellStyle name="Normal 8 4 3 2 4 2" xfId="18781" xr:uid="{7E2BE35B-E0C1-4123-82CD-4523BFF1FDC9}"/>
    <cellStyle name="Normal 8 4 3 2 5" xfId="10393" xr:uid="{9E66CCA5-C771-4FB3-B276-F2615DA72258}"/>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25D5433A-6B11-4BC4-A767-4636AAA090D5}"/>
    <cellStyle name="Normal 8 4 3 3 2 3" xfId="12951" xr:uid="{B873D52E-4B6F-4A81-B5CC-C6B9A1BF7DF2}"/>
    <cellStyle name="Normal 8 4 3 3 3" xfId="5697" xr:uid="{00000000-0005-0000-0000-0000001E0000}"/>
    <cellStyle name="Normal 8 4 3 3 3 2" xfId="15023" xr:uid="{3BE6B238-72FB-4D69-A874-76C2F19A2558}"/>
    <cellStyle name="Normal 8 4 3 3 4" xfId="10806" xr:uid="{01F6C618-1010-4E9D-8238-A839998200DE}"/>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C7BE8C88-6E14-4401-9E0F-B4EB3E65B770}"/>
    <cellStyle name="Normal 8 4 3 4 2 3" xfId="13364" xr:uid="{57415034-E35D-432D-AF71-A03F5528FFE7}"/>
    <cellStyle name="Normal 8 4 3 4 3" xfId="6110" xr:uid="{00000000-0005-0000-0000-0000041E0000}"/>
    <cellStyle name="Normal 8 4 3 4 3 2" xfId="15436" xr:uid="{5F0B6CF7-2D73-464B-B260-40BC97DF3088}"/>
    <cellStyle name="Normal 8 4 3 4 4" xfId="11219" xr:uid="{F9E8F7C3-956C-4170-A6C4-ECFCFE8B324F}"/>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17C5FFF9-F7AB-43BD-BC8B-2D45C1DA1367}"/>
    <cellStyle name="Normal 8 4 3 5 2 3" xfId="13777" xr:uid="{557A6255-2F49-497F-93AD-04B95ADE6D5B}"/>
    <cellStyle name="Normal 8 4 3 5 3" xfId="6523" xr:uid="{00000000-0005-0000-0000-0000081E0000}"/>
    <cellStyle name="Normal 8 4 3 5 3 2" xfId="15849" xr:uid="{C97F6B64-8258-4F5C-9BC9-CA51F5D1077E}"/>
    <cellStyle name="Normal 8 4 3 5 4" xfId="11632" xr:uid="{9A06FE14-2B43-4975-BC3E-E3C89213F093}"/>
    <cellStyle name="Normal 8 4 3 6" xfId="2653" xr:uid="{00000000-0005-0000-0000-0000091E0000}"/>
    <cellStyle name="Normal 8 4 3 6 2" xfId="6936" xr:uid="{00000000-0005-0000-0000-00000A1E0000}"/>
    <cellStyle name="Normal 8 4 3 6 2 2" xfId="16262" xr:uid="{FB907F56-0979-4110-AB0A-69DFC37E0A3B}"/>
    <cellStyle name="Normal 8 4 3 6 3" xfId="12045" xr:uid="{3059672E-0D51-4D50-AFAB-CBA5AFF2356E}"/>
    <cellStyle name="Normal 8 4 3 7" xfId="4871" xr:uid="{00000000-0005-0000-0000-00000B1E0000}"/>
    <cellStyle name="Normal 8 4 3 7 2" xfId="14197" xr:uid="{BEE01128-310E-4770-AAC1-866F27A9F24F}"/>
    <cellStyle name="Normal 8 4 3 8" xfId="9041" xr:uid="{3EA15F1E-D38A-4BB8-BEC6-98D9A94BB79B}"/>
    <cellStyle name="Normal 8 4 3 8 2" xfId="18365" xr:uid="{17402582-0E20-45F2-B882-56A4473547B1}"/>
    <cellStyle name="Normal 8 4 3 9" xfId="9980" xr:uid="{555AFE56-EF80-4E09-9A71-1E41965C012D}"/>
    <cellStyle name="Normal 8 4 4" xfId="970" xr:uid="{00000000-0005-0000-0000-00000C1E0000}"/>
    <cellStyle name="Normal 8 4 4 2" xfId="3204" xr:uid="{00000000-0005-0000-0000-00000D1E0000}"/>
    <cellStyle name="Normal 8 4 4 2 2" xfId="7426" xr:uid="{00000000-0005-0000-0000-00000E1E0000}"/>
    <cellStyle name="Normal 8 4 4 2 2 2" xfId="16752" xr:uid="{D0913DE2-9E9C-45B7-B390-943CDF727731}"/>
    <cellStyle name="Normal 8 4 4 2 3" xfId="12535" xr:uid="{594D1863-A8BF-40F7-84A6-1D6570213FA4}"/>
    <cellStyle name="Normal 8 4 4 3" xfId="5281" xr:uid="{00000000-0005-0000-0000-00000F1E0000}"/>
    <cellStyle name="Normal 8 4 4 3 2" xfId="14607" xr:uid="{3C85572D-8673-47E5-BC44-DAFC8D6F08AB}"/>
    <cellStyle name="Normal 8 4 4 4" xfId="9259" xr:uid="{45904BAA-3C39-482B-A2B6-0FB84C0B889C}"/>
    <cellStyle name="Normal 8 4 4 4 2" xfId="18574" xr:uid="{45AAA043-963F-4B2A-8D28-2E25A8422916}"/>
    <cellStyle name="Normal 8 4 4 5" xfId="10390" xr:uid="{6E4408F5-057A-45C8-BAF8-2ADAE6FE84B9}"/>
    <cellStyle name="Normal 8 4 5" xfId="1387" xr:uid="{00000000-0005-0000-0000-0000101E0000}"/>
    <cellStyle name="Normal 8 4 5 2" xfId="3617" xr:uid="{00000000-0005-0000-0000-0000111E0000}"/>
    <cellStyle name="Normal 8 4 5 2 2" xfId="7839" xr:uid="{00000000-0005-0000-0000-0000121E0000}"/>
    <cellStyle name="Normal 8 4 5 2 2 2" xfId="17165" xr:uid="{0C648A57-F2D2-4F50-A569-CBF9428A7878}"/>
    <cellStyle name="Normal 8 4 5 2 3" xfId="12948" xr:uid="{90F70BAE-0D57-4B72-8189-E5B3C8606716}"/>
    <cellStyle name="Normal 8 4 5 3" xfId="5694" xr:uid="{00000000-0005-0000-0000-0000131E0000}"/>
    <cellStyle name="Normal 8 4 5 3 2" xfId="15020" xr:uid="{46C57639-854F-4FDE-A267-0354C77BA629}"/>
    <cellStyle name="Normal 8 4 5 4" xfId="10803" xr:uid="{82AE0313-BC59-481F-9981-4F47D7056FD9}"/>
    <cellStyle name="Normal 8 4 6" xfId="1800" xr:uid="{00000000-0005-0000-0000-0000141E0000}"/>
    <cellStyle name="Normal 8 4 6 2" xfId="4030" xr:uid="{00000000-0005-0000-0000-0000151E0000}"/>
    <cellStyle name="Normal 8 4 6 2 2" xfId="8252" xr:uid="{00000000-0005-0000-0000-0000161E0000}"/>
    <cellStyle name="Normal 8 4 6 2 2 2" xfId="17578" xr:uid="{F5294DFC-82F0-4425-938E-DA8031111513}"/>
    <cellStyle name="Normal 8 4 6 2 3" xfId="13361" xr:uid="{3A88947B-AEFB-4312-BF17-179BD9DB7B00}"/>
    <cellStyle name="Normal 8 4 6 3" xfId="6107" xr:uid="{00000000-0005-0000-0000-0000171E0000}"/>
    <cellStyle name="Normal 8 4 6 3 2" xfId="15433" xr:uid="{7FA19532-8B35-42A3-81DC-2EA5C2A0C2E0}"/>
    <cellStyle name="Normal 8 4 6 4" xfId="11216" xr:uid="{8A3D991F-6FD6-405E-AC5A-E8292AF2F022}"/>
    <cellStyle name="Normal 8 4 7" xfId="2214" xr:uid="{00000000-0005-0000-0000-0000181E0000}"/>
    <cellStyle name="Normal 8 4 7 2" xfId="4443" xr:uid="{00000000-0005-0000-0000-0000191E0000}"/>
    <cellStyle name="Normal 8 4 7 2 2" xfId="8665" xr:uid="{00000000-0005-0000-0000-00001A1E0000}"/>
    <cellStyle name="Normal 8 4 7 2 2 2" xfId="17991" xr:uid="{8C6018F8-C64C-4F03-ACB1-3EFCC6AEB1EC}"/>
    <cellStyle name="Normal 8 4 7 2 3" xfId="13774" xr:uid="{87C7BF87-F9D1-4D20-BD4C-1DE07349489C}"/>
    <cellStyle name="Normal 8 4 7 3" xfId="6520" xr:uid="{00000000-0005-0000-0000-00001B1E0000}"/>
    <cellStyle name="Normal 8 4 7 3 2" xfId="15846" xr:uid="{3CABFFCD-168F-43C8-B89D-696B723F549E}"/>
    <cellStyle name="Normal 8 4 7 4" xfId="11629" xr:uid="{9FFBBAA7-F1B0-4FDE-AB4C-01EBFD0BA57B}"/>
    <cellStyle name="Normal 8 4 8" xfId="2650" xr:uid="{00000000-0005-0000-0000-00001C1E0000}"/>
    <cellStyle name="Normal 8 4 8 2" xfId="6933" xr:uid="{00000000-0005-0000-0000-00001D1E0000}"/>
    <cellStyle name="Normal 8 4 8 2 2" xfId="16259" xr:uid="{20352B17-4E24-4084-895D-6BC8D7549F75}"/>
    <cellStyle name="Normal 8 4 8 3" xfId="12042" xr:uid="{8DAE31A2-C357-49CB-B1FB-E49A43CE9650}"/>
    <cellStyle name="Normal 8 4 9" xfId="4868" xr:uid="{00000000-0005-0000-0000-00001E1E0000}"/>
    <cellStyle name="Normal 8 4 9 2" xfId="14194" xr:uid="{06322763-5C83-425B-B03B-80A5E609D078}"/>
    <cellStyle name="Normal 8 5" xfId="507" xr:uid="{00000000-0005-0000-0000-00001F1E0000}"/>
    <cellStyle name="Normal 8 5 10" xfId="9981" xr:uid="{8D487926-0EAC-4C22-8EF3-F341827CB7B4}"/>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44370E23-F5EE-474E-9649-C771693A512D}"/>
    <cellStyle name="Normal 8 5 2 2 2 3" xfId="12540" xr:uid="{48B0718A-AC02-42E3-BDDE-6A1A3017C954}"/>
    <cellStyle name="Normal 8 5 2 2 3" xfId="5286" xr:uid="{00000000-0005-0000-0000-0000241E0000}"/>
    <cellStyle name="Normal 8 5 2 2 3 2" xfId="14612" xr:uid="{DF021CA7-BE93-43C1-89E9-BF9F6C9FB575}"/>
    <cellStyle name="Normal 8 5 2 2 4" xfId="9477" xr:uid="{62ED1F43-6081-4B0B-94C3-5999D37D11C7}"/>
    <cellStyle name="Normal 8 5 2 2 4 2" xfId="18792" xr:uid="{D791DACB-1AAE-4D68-9DD4-4E068F1B67E6}"/>
    <cellStyle name="Normal 8 5 2 2 5" xfId="10395" xr:uid="{0860B7B1-891B-42F2-8FCA-140D1A574E67}"/>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B92241DB-27C7-4260-B9CB-23A3822BE3CE}"/>
    <cellStyle name="Normal 8 5 2 3 2 3" xfId="12953" xr:uid="{1C22ABC8-6EE9-450D-8AE1-AB611F37F42D}"/>
    <cellStyle name="Normal 8 5 2 3 3" xfId="5699" xr:uid="{00000000-0005-0000-0000-0000281E0000}"/>
    <cellStyle name="Normal 8 5 2 3 3 2" xfId="15025" xr:uid="{560B3C94-EAB2-4331-A0C2-D6DFE141A2DB}"/>
    <cellStyle name="Normal 8 5 2 3 4" xfId="10808" xr:uid="{1D0DD09E-02FA-498F-8D4D-2CA4F547651A}"/>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2B6362E7-5C5B-4D8A-94DA-345F34D001D7}"/>
    <cellStyle name="Normal 8 5 2 4 2 3" xfId="13366" xr:uid="{71DE317A-148E-4C58-BEFB-A53632875F84}"/>
    <cellStyle name="Normal 8 5 2 4 3" xfId="6112" xr:uid="{00000000-0005-0000-0000-00002C1E0000}"/>
    <cellStyle name="Normal 8 5 2 4 3 2" xfId="15438" xr:uid="{E4A53999-AE3A-4595-B884-1F88A8DFFB7E}"/>
    <cellStyle name="Normal 8 5 2 4 4" xfId="11221" xr:uid="{05EBD4ED-928E-4223-93C7-762A86D75F34}"/>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F831B524-3A6E-4843-BCD7-C7BBA4AEE0AC}"/>
    <cellStyle name="Normal 8 5 2 5 2 3" xfId="13779" xr:uid="{A245DB34-E6C2-4D76-95B5-ADB8D1178376}"/>
    <cellStyle name="Normal 8 5 2 5 3" xfId="6525" xr:uid="{00000000-0005-0000-0000-0000301E0000}"/>
    <cellStyle name="Normal 8 5 2 5 3 2" xfId="15851" xr:uid="{076CCFA4-CA67-4E1C-9DD6-36DF0BB3BF85}"/>
    <cellStyle name="Normal 8 5 2 5 4" xfId="11634" xr:uid="{4009C096-9E30-449F-B8B6-DE571648B437}"/>
    <cellStyle name="Normal 8 5 2 6" xfId="2655" xr:uid="{00000000-0005-0000-0000-0000311E0000}"/>
    <cellStyle name="Normal 8 5 2 6 2" xfId="6938" xr:uid="{00000000-0005-0000-0000-0000321E0000}"/>
    <cellStyle name="Normal 8 5 2 6 2 2" xfId="16264" xr:uid="{275481A3-4844-4A0B-9F50-6E8566FA40A8}"/>
    <cellStyle name="Normal 8 5 2 6 3" xfId="12047" xr:uid="{BC6991ED-6759-40E0-8625-F35B3CAB8433}"/>
    <cellStyle name="Normal 8 5 2 7" xfId="4873" xr:uid="{00000000-0005-0000-0000-0000331E0000}"/>
    <cellStyle name="Normal 8 5 2 7 2" xfId="14199" xr:uid="{16A90681-8289-4DE0-AC90-48B3E68286C2}"/>
    <cellStyle name="Normal 8 5 2 8" xfId="9052" xr:uid="{D754D15A-EECE-4975-9542-AF3C340304E3}"/>
    <cellStyle name="Normal 8 5 2 8 2" xfId="18376" xr:uid="{67A82E4B-8B97-4037-BF14-94F8D6633E0A}"/>
    <cellStyle name="Normal 8 5 2 9" xfId="9982" xr:uid="{A6B9A5EA-B846-49E0-8A7C-BE8C1CC97487}"/>
    <cellStyle name="Normal 8 5 3" xfId="974" xr:uid="{00000000-0005-0000-0000-0000341E0000}"/>
    <cellStyle name="Normal 8 5 3 2" xfId="3208" xr:uid="{00000000-0005-0000-0000-0000351E0000}"/>
    <cellStyle name="Normal 8 5 3 2 2" xfId="7430" xr:uid="{00000000-0005-0000-0000-0000361E0000}"/>
    <cellStyle name="Normal 8 5 3 2 2 2" xfId="16756" xr:uid="{0DB458B2-665A-441D-BFEC-9C0420BCF444}"/>
    <cellStyle name="Normal 8 5 3 2 3" xfId="12539" xr:uid="{404767C6-90CC-4BAE-84D4-A523090B093F}"/>
    <cellStyle name="Normal 8 5 3 3" xfId="5285" xr:uid="{00000000-0005-0000-0000-0000371E0000}"/>
    <cellStyle name="Normal 8 5 3 3 2" xfId="14611" xr:uid="{5EC1B359-DD45-4A13-B04D-3E712A8EE956}"/>
    <cellStyle name="Normal 8 5 3 4" xfId="9270" xr:uid="{88F9D262-71F2-4DD2-A7F6-B0DCE74ABD45}"/>
    <cellStyle name="Normal 8 5 3 4 2" xfId="18585" xr:uid="{F8B6DA25-87A0-491E-A026-8BB4210F64C6}"/>
    <cellStyle name="Normal 8 5 3 5" xfId="10394" xr:uid="{E23EFEB6-59B5-4237-934F-86C958C1D9C8}"/>
    <cellStyle name="Normal 8 5 4" xfId="1391" xr:uid="{00000000-0005-0000-0000-0000381E0000}"/>
    <cellStyle name="Normal 8 5 4 2" xfId="3621" xr:uid="{00000000-0005-0000-0000-0000391E0000}"/>
    <cellStyle name="Normal 8 5 4 2 2" xfId="7843" xr:uid="{00000000-0005-0000-0000-00003A1E0000}"/>
    <cellStyle name="Normal 8 5 4 2 2 2" xfId="17169" xr:uid="{1735B82A-DFBB-4E6C-A37A-2F4BB826F16D}"/>
    <cellStyle name="Normal 8 5 4 2 3" xfId="12952" xr:uid="{ADE660C2-8A6B-433F-BE0B-A5E0428CD0B6}"/>
    <cellStyle name="Normal 8 5 4 3" xfId="5698" xr:uid="{00000000-0005-0000-0000-00003B1E0000}"/>
    <cellStyle name="Normal 8 5 4 3 2" xfId="15024" xr:uid="{1B12CC87-20B0-4872-A551-C35672E1BFF2}"/>
    <cellStyle name="Normal 8 5 4 4" xfId="10807" xr:uid="{274762AF-AFEA-44FE-B94A-031A7644A40F}"/>
    <cellStyle name="Normal 8 5 5" xfId="1804" xr:uid="{00000000-0005-0000-0000-00003C1E0000}"/>
    <cellStyle name="Normal 8 5 5 2" xfId="4034" xr:uid="{00000000-0005-0000-0000-00003D1E0000}"/>
    <cellStyle name="Normal 8 5 5 2 2" xfId="8256" xr:uid="{00000000-0005-0000-0000-00003E1E0000}"/>
    <cellStyle name="Normal 8 5 5 2 2 2" xfId="17582" xr:uid="{493495A9-9152-46F7-A3DF-76C4C67D73ED}"/>
    <cellStyle name="Normal 8 5 5 2 3" xfId="13365" xr:uid="{79A19A4A-B347-490B-8C07-551F8E727A77}"/>
    <cellStyle name="Normal 8 5 5 3" xfId="6111" xr:uid="{00000000-0005-0000-0000-00003F1E0000}"/>
    <cellStyle name="Normal 8 5 5 3 2" xfId="15437" xr:uid="{4F64DE59-E80C-4927-8DCF-98B087C6BEE6}"/>
    <cellStyle name="Normal 8 5 5 4" xfId="11220" xr:uid="{4634E22C-0195-4273-B3EE-3A66D473825D}"/>
    <cellStyle name="Normal 8 5 6" xfId="2218" xr:uid="{00000000-0005-0000-0000-0000401E0000}"/>
    <cellStyle name="Normal 8 5 6 2" xfId="4447" xr:uid="{00000000-0005-0000-0000-0000411E0000}"/>
    <cellStyle name="Normal 8 5 6 2 2" xfId="8669" xr:uid="{00000000-0005-0000-0000-0000421E0000}"/>
    <cellStyle name="Normal 8 5 6 2 2 2" xfId="17995" xr:uid="{F1EEBD0C-EACB-417D-8695-9C476AF33DBD}"/>
    <cellStyle name="Normal 8 5 6 2 3" xfId="13778" xr:uid="{7EF8D563-0DF9-42D9-9E20-DBD29EFB16EF}"/>
    <cellStyle name="Normal 8 5 6 3" xfId="6524" xr:uid="{00000000-0005-0000-0000-0000431E0000}"/>
    <cellStyle name="Normal 8 5 6 3 2" xfId="15850" xr:uid="{659EEB49-2182-4DCA-B12D-39CFD327F161}"/>
    <cellStyle name="Normal 8 5 6 4" xfId="11633" xr:uid="{57D68F26-DE53-4013-9FC4-D5EBF047280F}"/>
    <cellStyle name="Normal 8 5 7" xfId="2654" xr:uid="{00000000-0005-0000-0000-0000441E0000}"/>
    <cellStyle name="Normal 8 5 7 2" xfId="6937" xr:uid="{00000000-0005-0000-0000-0000451E0000}"/>
    <cellStyle name="Normal 8 5 7 2 2" xfId="16263" xr:uid="{E9D6C0D9-93AB-4FB2-AA63-56C83882B49A}"/>
    <cellStyle name="Normal 8 5 7 3" xfId="12046" xr:uid="{254A8C13-36EC-46B6-833A-7E3BC7B486DB}"/>
    <cellStyle name="Normal 8 5 8" xfId="4872" xr:uid="{00000000-0005-0000-0000-0000461E0000}"/>
    <cellStyle name="Normal 8 5 8 2" xfId="14198" xr:uid="{D5AE4CE3-E1B6-4139-95E9-61809E95F7DD}"/>
    <cellStyle name="Normal 8 5 9" xfId="8845" xr:uid="{C8167C67-59BC-42DE-816D-718433EFB28C}"/>
    <cellStyle name="Normal 8 5 9 2" xfId="18169" xr:uid="{EC9C97A2-8DC0-47EB-A916-1C0A0CE07467}"/>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4426CD41-9BE0-46FD-AC81-AE88FCF783F0}"/>
    <cellStyle name="Normal 8 6 2 2 3" xfId="12541" xr:uid="{2D87FEF6-1058-4705-B775-59D8E2F9F6B3}"/>
    <cellStyle name="Normal 8 6 2 3" xfId="5287" xr:uid="{00000000-0005-0000-0000-00004B1E0000}"/>
    <cellStyle name="Normal 8 6 2 3 2" xfId="14613" xr:uid="{E6FEFB27-9014-47E5-8AF8-99B59713DC57}"/>
    <cellStyle name="Normal 8 6 2 4" xfId="9386" xr:uid="{45A5CE0D-B006-45BB-A53E-22B23F4367E3}"/>
    <cellStyle name="Normal 8 6 2 4 2" xfId="18701" xr:uid="{8F8E8D75-DD1B-4876-944F-FA5B77FFDF55}"/>
    <cellStyle name="Normal 8 6 2 5" xfId="10396" xr:uid="{8A64B3AA-45FE-4213-82B5-BDD4B7BDF21F}"/>
    <cellStyle name="Normal 8 6 3" xfId="1393" xr:uid="{00000000-0005-0000-0000-00004C1E0000}"/>
    <cellStyle name="Normal 8 6 3 2" xfId="3623" xr:uid="{00000000-0005-0000-0000-00004D1E0000}"/>
    <cellStyle name="Normal 8 6 3 2 2" xfId="7845" xr:uid="{00000000-0005-0000-0000-00004E1E0000}"/>
    <cellStyle name="Normal 8 6 3 2 2 2" xfId="17171" xr:uid="{67CD51E5-BBA0-420E-A756-517EFD8F7C7B}"/>
    <cellStyle name="Normal 8 6 3 2 3" xfId="12954" xr:uid="{E9B0F4BD-AFD0-4CAE-ACBF-AFBD1FBC3B5A}"/>
    <cellStyle name="Normal 8 6 3 3" xfId="5700" xr:uid="{00000000-0005-0000-0000-00004F1E0000}"/>
    <cellStyle name="Normal 8 6 3 3 2" xfId="15026" xr:uid="{D3FD3F35-4EB8-4D7D-8738-A59DEF01CD57}"/>
    <cellStyle name="Normal 8 6 3 4" xfId="10809" xr:uid="{3706A085-3B79-4A31-84EE-0356FD6C87FB}"/>
    <cellStyle name="Normal 8 6 4" xfId="1806" xr:uid="{00000000-0005-0000-0000-0000501E0000}"/>
    <cellStyle name="Normal 8 6 4 2" xfId="4036" xr:uid="{00000000-0005-0000-0000-0000511E0000}"/>
    <cellStyle name="Normal 8 6 4 2 2" xfId="8258" xr:uid="{00000000-0005-0000-0000-0000521E0000}"/>
    <cellStyle name="Normal 8 6 4 2 2 2" xfId="17584" xr:uid="{C71E65F6-27F4-49BE-B846-9F48B38470C7}"/>
    <cellStyle name="Normal 8 6 4 2 3" xfId="13367" xr:uid="{2489241A-CE5C-4553-922E-3F21223E6A67}"/>
    <cellStyle name="Normal 8 6 4 3" xfId="6113" xr:uid="{00000000-0005-0000-0000-0000531E0000}"/>
    <cellStyle name="Normal 8 6 4 3 2" xfId="15439" xr:uid="{644BD7E2-FF96-4F35-9BF6-9AE557318D66}"/>
    <cellStyle name="Normal 8 6 4 4" xfId="11222" xr:uid="{393CEED8-E1A8-4633-94F9-74C5356914D6}"/>
    <cellStyle name="Normal 8 6 5" xfId="2220" xr:uid="{00000000-0005-0000-0000-0000541E0000}"/>
    <cellStyle name="Normal 8 6 5 2" xfId="4449" xr:uid="{00000000-0005-0000-0000-0000551E0000}"/>
    <cellStyle name="Normal 8 6 5 2 2" xfId="8671" xr:uid="{00000000-0005-0000-0000-0000561E0000}"/>
    <cellStyle name="Normal 8 6 5 2 2 2" xfId="17997" xr:uid="{A98A5A8A-6CDB-4540-B274-94CAC05A8731}"/>
    <cellStyle name="Normal 8 6 5 2 3" xfId="13780" xr:uid="{DEFDB2F6-AF20-418D-A29D-003C0A9177C2}"/>
    <cellStyle name="Normal 8 6 5 3" xfId="6526" xr:uid="{00000000-0005-0000-0000-0000571E0000}"/>
    <cellStyle name="Normal 8 6 5 3 2" xfId="15852" xr:uid="{8BECC41D-0C08-4D31-B1CC-FC9A642C273E}"/>
    <cellStyle name="Normal 8 6 5 4" xfId="11635" xr:uid="{C5ACD24E-877E-4C81-9DA8-D3FDF4FCDAFC}"/>
    <cellStyle name="Normal 8 6 6" xfId="2656" xr:uid="{00000000-0005-0000-0000-0000581E0000}"/>
    <cellStyle name="Normal 8 6 6 2" xfId="6939" xr:uid="{00000000-0005-0000-0000-0000591E0000}"/>
    <cellStyle name="Normal 8 6 6 2 2" xfId="16265" xr:uid="{BBE47034-7894-4BB5-AD2B-E325A1F63656}"/>
    <cellStyle name="Normal 8 6 6 3" xfId="12048" xr:uid="{3D90D17F-B1DC-45CE-AA7B-96E593BE0156}"/>
    <cellStyle name="Normal 8 6 7" xfId="4874" xr:uid="{00000000-0005-0000-0000-00005A1E0000}"/>
    <cellStyle name="Normal 8 6 7 2" xfId="14200" xr:uid="{FBD6DC67-CF7E-41E2-9722-D1821673FD05}"/>
    <cellStyle name="Normal 8 6 8" xfId="8961" xr:uid="{36060843-7B38-46C3-B2F1-7172ECB11EEE}"/>
    <cellStyle name="Normal 8 6 8 2" xfId="18285" xr:uid="{327E94C6-544D-4F78-A5FE-68BEEB27B4FB}"/>
    <cellStyle name="Normal 8 6 9" xfId="9983" xr:uid="{3558D1CF-B6F8-4D9B-B5F4-1620E1DF31E5}"/>
    <cellStyle name="Normal 8 7" xfId="945" xr:uid="{00000000-0005-0000-0000-00005B1E0000}"/>
    <cellStyle name="Normal 8 7 2" xfId="3179" xr:uid="{00000000-0005-0000-0000-00005C1E0000}"/>
    <cellStyle name="Normal 8 7 2 2" xfId="7401" xr:uid="{00000000-0005-0000-0000-00005D1E0000}"/>
    <cellStyle name="Normal 8 7 2 2 2" xfId="16727" xr:uid="{C2A0F116-DED5-416D-86BD-3DE5EFE07063}"/>
    <cellStyle name="Normal 8 7 2 3" xfId="12510" xr:uid="{658ABB38-1D6E-4425-867E-6DECFDB459B8}"/>
    <cellStyle name="Normal 8 7 3" xfId="5256" xr:uid="{00000000-0005-0000-0000-00005E1E0000}"/>
    <cellStyle name="Normal 8 7 3 2" xfId="14582" xr:uid="{DB3A554D-EDD3-4B54-9665-BC6932DE08CF}"/>
    <cellStyle name="Normal 8 7 4" xfId="9164" xr:uid="{EA2ADDDA-E9AC-4FF8-B08B-61B1D6489A46}"/>
    <cellStyle name="Normal 8 7 4 2" xfId="18482" xr:uid="{82BC41F5-20E1-4577-AC66-00F1BF079E3F}"/>
    <cellStyle name="Normal 8 7 5" xfId="10365" xr:uid="{261B9E78-C568-43F7-863B-14871D436E26}"/>
    <cellStyle name="Normal 8 8" xfId="1362" xr:uid="{00000000-0005-0000-0000-00005F1E0000}"/>
    <cellStyle name="Normal 8 8 2" xfId="3592" xr:uid="{00000000-0005-0000-0000-0000601E0000}"/>
    <cellStyle name="Normal 8 8 2 2" xfId="7814" xr:uid="{00000000-0005-0000-0000-0000611E0000}"/>
    <cellStyle name="Normal 8 8 2 2 2" xfId="17140" xr:uid="{93816D35-8FF7-4A76-A691-75B5C50BE82D}"/>
    <cellStyle name="Normal 8 8 2 3" xfId="12923" xr:uid="{C539FBC4-6FD0-4EBC-BBC1-46711545A170}"/>
    <cellStyle name="Normal 8 8 3" xfId="5669" xr:uid="{00000000-0005-0000-0000-0000621E0000}"/>
    <cellStyle name="Normal 8 8 3 2" xfId="14995" xr:uid="{5178A847-643B-466D-8E0C-0685F0BE7100}"/>
    <cellStyle name="Normal 8 8 4" xfId="10778" xr:uid="{16C861E9-C1E4-4114-A75B-9771DA571088}"/>
    <cellStyle name="Normal 8 9" xfId="1775" xr:uid="{00000000-0005-0000-0000-0000631E0000}"/>
    <cellStyle name="Normal 8 9 2" xfId="4005" xr:uid="{00000000-0005-0000-0000-0000641E0000}"/>
    <cellStyle name="Normal 8 9 2 2" xfId="8227" xr:uid="{00000000-0005-0000-0000-0000651E0000}"/>
    <cellStyle name="Normal 8 9 2 2 2" xfId="17553" xr:uid="{57A31696-3F16-4DD1-ABEE-7217DBF08FE3}"/>
    <cellStyle name="Normal 8 9 2 3" xfId="13336" xr:uid="{69D2A5E6-7D5C-4C0D-82B6-2900BD02F998}"/>
    <cellStyle name="Normal 8 9 3" xfId="6082" xr:uid="{00000000-0005-0000-0000-0000661E0000}"/>
    <cellStyle name="Normal 8 9 3 2" xfId="15408" xr:uid="{C0D68244-6203-4543-81C8-B1CC4107AF61}"/>
    <cellStyle name="Normal 8 9 4" xfId="11191" xr:uid="{2CA57846-45C2-40F8-B72D-D39B28030315}"/>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539D2AB8-2ED0-4468-BD53-494741A658EB}"/>
    <cellStyle name="Normal 9 2 10 3" xfId="12049" xr:uid="{348706A7-0732-425D-9E59-3B10DF260642}"/>
    <cellStyle name="Normal 9 2 11" xfId="4875" xr:uid="{00000000-0005-0000-0000-00006B1E0000}"/>
    <cellStyle name="Normal 9 2 11 2" xfId="14201" xr:uid="{E8A85A38-D677-4E26-A6C0-00FE852CB74C}"/>
    <cellStyle name="Normal 9 2 12" xfId="8754" xr:uid="{9024D06A-4C5F-4C89-BCDB-29B8C924FF52}"/>
    <cellStyle name="Normal 9 2 12 2" xfId="18078" xr:uid="{4B359306-9972-4277-8FE1-A390163CBD52}"/>
    <cellStyle name="Normal 9 2 13" xfId="9984" xr:uid="{40C53010-02B5-460F-B165-8F8EF66BD088}"/>
    <cellStyle name="Normal 9 2 2" xfId="512" xr:uid="{00000000-0005-0000-0000-00006C1E0000}"/>
    <cellStyle name="Normal 9 2 2 10" xfId="4876" xr:uid="{00000000-0005-0000-0000-00006D1E0000}"/>
    <cellStyle name="Normal 9 2 2 10 2" xfId="14202" xr:uid="{DD3B4BCB-EF1D-4B28-A76F-1425450B833D}"/>
    <cellStyle name="Normal 9 2 2 11" xfId="8785" xr:uid="{3048542E-ED39-45ED-9C91-0140D2CF60D9}"/>
    <cellStyle name="Normal 9 2 2 11 2" xfId="18109" xr:uid="{C03BC742-DAA0-48B9-9325-4F9A955C5278}"/>
    <cellStyle name="Normal 9 2 2 12" xfId="9985" xr:uid="{80122822-45AC-4DFA-A707-1797FE68226D}"/>
    <cellStyle name="Normal 9 2 2 2" xfId="513" xr:uid="{00000000-0005-0000-0000-00006E1E0000}"/>
    <cellStyle name="Normal 9 2 2 2 10" xfId="8839" xr:uid="{3B2DC7F4-4F49-4AE2-9279-EFD4857A149B}"/>
    <cellStyle name="Normal 9 2 2 2 10 2" xfId="18163" xr:uid="{FA2CC020-073B-4E12-AA21-D437D376810B}"/>
    <cellStyle name="Normal 9 2 2 2 11" xfId="9986" xr:uid="{328AFA12-F714-4536-8ECF-E238A8793E3F}"/>
    <cellStyle name="Normal 9 2 2 2 2" xfId="514" xr:uid="{00000000-0005-0000-0000-00006F1E0000}"/>
    <cellStyle name="Normal 9 2 2 2 2 10" xfId="9987" xr:uid="{8768B928-8150-4751-900E-EB4EBA15584E}"/>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EEA4FBC7-C469-489D-BEED-9103E6E6F8E2}"/>
    <cellStyle name="Normal 9 2 2 2 2 2 2 2 3" xfId="12546" xr:uid="{B9ADDC68-62E1-4F1B-8CCB-AB9D5FB55AC8}"/>
    <cellStyle name="Normal 9 2 2 2 2 2 2 3" xfId="5292" xr:uid="{00000000-0005-0000-0000-0000741E0000}"/>
    <cellStyle name="Normal 9 2 2 2 2 2 2 3 2" xfId="14618" xr:uid="{97D1DD70-287D-4788-83B1-2CF465DCC507}"/>
    <cellStyle name="Normal 9 2 2 2 2 2 2 4" xfId="9574" xr:uid="{00EB170D-8A20-4280-B781-E452C3590555}"/>
    <cellStyle name="Normal 9 2 2 2 2 2 2 4 2" xfId="18889" xr:uid="{14D42072-E7C5-44D6-9A23-0525FE1A92DF}"/>
    <cellStyle name="Normal 9 2 2 2 2 2 2 5" xfId="10401" xr:uid="{D6F002B8-E14E-45B9-B093-A4E71EC68427}"/>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CC7422F4-9BBA-4023-93B5-C098C83C6BA9}"/>
    <cellStyle name="Normal 9 2 2 2 2 2 3 2 3" xfId="12959" xr:uid="{A6CDB11B-7353-41EA-9DBB-DF5090C030DD}"/>
    <cellStyle name="Normal 9 2 2 2 2 2 3 3" xfId="5705" xr:uid="{00000000-0005-0000-0000-0000781E0000}"/>
    <cellStyle name="Normal 9 2 2 2 2 2 3 3 2" xfId="15031" xr:uid="{67E170F1-1FAF-4DAC-B859-A2CC08A7603D}"/>
    <cellStyle name="Normal 9 2 2 2 2 2 3 4" xfId="10814" xr:uid="{A24CBF48-6681-4F40-9819-8F11FF77CD72}"/>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FC681A9D-6D23-4318-9DF4-7311EE86EE8D}"/>
    <cellStyle name="Normal 9 2 2 2 2 2 4 2 3" xfId="13372" xr:uid="{FA5DC9EE-6C6F-4106-A1E7-ABE0BE3F88EC}"/>
    <cellStyle name="Normal 9 2 2 2 2 2 4 3" xfId="6118" xr:uid="{00000000-0005-0000-0000-00007C1E0000}"/>
    <cellStyle name="Normal 9 2 2 2 2 2 4 3 2" xfId="15444" xr:uid="{455BFCE5-911E-4340-8385-A8FCBC027237}"/>
    <cellStyle name="Normal 9 2 2 2 2 2 4 4" xfId="11227" xr:uid="{C79B37CD-2E5C-422E-9D7E-1630FD87FF67}"/>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59691082-A122-4680-B05D-369C1C4D6BF4}"/>
    <cellStyle name="Normal 9 2 2 2 2 2 5 2 3" xfId="13785" xr:uid="{2C8834BD-F4A8-4B14-87CE-E323D981ED94}"/>
    <cellStyle name="Normal 9 2 2 2 2 2 5 3" xfId="6531" xr:uid="{00000000-0005-0000-0000-0000801E0000}"/>
    <cellStyle name="Normal 9 2 2 2 2 2 5 3 2" xfId="15857" xr:uid="{719405BA-6CB3-4DEB-ADC6-197F8E45550D}"/>
    <cellStyle name="Normal 9 2 2 2 2 2 5 4" xfId="11640" xr:uid="{68FF61CA-A190-4142-B9E5-3ED4E38809CE}"/>
    <cellStyle name="Normal 9 2 2 2 2 2 6" xfId="2661" xr:uid="{00000000-0005-0000-0000-0000811E0000}"/>
    <cellStyle name="Normal 9 2 2 2 2 2 6 2" xfId="6944" xr:uid="{00000000-0005-0000-0000-0000821E0000}"/>
    <cellStyle name="Normal 9 2 2 2 2 2 6 2 2" xfId="16270" xr:uid="{C7F1A723-EC64-4D0C-9BE0-6FA946FA09F4}"/>
    <cellStyle name="Normal 9 2 2 2 2 2 6 3" xfId="12053" xr:uid="{AEAE23ED-4231-4390-AC42-D62FF8BFB33D}"/>
    <cellStyle name="Normal 9 2 2 2 2 2 7" xfId="4879" xr:uid="{00000000-0005-0000-0000-0000831E0000}"/>
    <cellStyle name="Normal 9 2 2 2 2 2 7 2" xfId="14205" xr:uid="{112AA16C-0AFD-4FFE-80CC-DA829F2B4EAD}"/>
    <cellStyle name="Normal 9 2 2 2 2 2 8" xfId="9149" xr:uid="{6C0BEC1E-EE3B-4956-830C-8775C93DB46A}"/>
    <cellStyle name="Normal 9 2 2 2 2 2 8 2" xfId="18473" xr:uid="{595EDCE6-E4E8-43D1-83F7-E200C9689C3D}"/>
    <cellStyle name="Normal 9 2 2 2 2 2 9" xfId="9988" xr:uid="{274CFD16-D7E7-4BA2-863B-99A91F41FE65}"/>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63865B8C-4A0B-498C-98D6-442A9DC9AC1C}"/>
    <cellStyle name="Normal 9 2 2 2 2 3 2 3" xfId="12545" xr:uid="{38C71F0F-EAA7-454C-B630-F7EDAB5AB9FE}"/>
    <cellStyle name="Normal 9 2 2 2 2 3 3" xfId="5291" xr:uid="{00000000-0005-0000-0000-0000871E0000}"/>
    <cellStyle name="Normal 9 2 2 2 2 3 3 2" xfId="14617" xr:uid="{7B7D46FF-E025-445C-8C0D-69D778686793}"/>
    <cellStyle name="Normal 9 2 2 2 2 3 4" xfId="9367" xr:uid="{4A654E22-020A-4B0F-8753-639C44EA908A}"/>
    <cellStyle name="Normal 9 2 2 2 2 3 4 2" xfId="18682" xr:uid="{83CCFBAE-E142-4B5F-ABE9-19B06C35863D}"/>
    <cellStyle name="Normal 9 2 2 2 2 3 5" xfId="10400" xr:uid="{2501D26D-FC21-475F-855D-B8E6BD3D4A1D}"/>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B3E5A015-843B-41A5-A2E0-5BE00C70F3B7}"/>
    <cellStyle name="Normal 9 2 2 2 2 4 2 3" xfId="12958" xr:uid="{F92188AC-118C-456D-86FB-A3BA3A57DC60}"/>
    <cellStyle name="Normal 9 2 2 2 2 4 3" xfId="5704" xr:uid="{00000000-0005-0000-0000-00008B1E0000}"/>
    <cellStyle name="Normal 9 2 2 2 2 4 3 2" xfId="15030" xr:uid="{6D096A8D-63ED-44EC-9F20-57964FF32D5C}"/>
    <cellStyle name="Normal 9 2 2 2 2 4 4" xfId="10813" xr:uid="{57AD3855-8621-4360-BC64-9E7F21EF1EA4}"/>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764EE679-C11F-47F4-8356-9E7166ABF123}"/>
    <cellStyle name="Normal 9 2 2 2 2 5 2 3" xfId="13371" xr:uid="{884D5EE6-CDA0-4A43-AC24-9077FFFF81D6}"/>
    <cellStyle name="Normal 9 2 2 2 2 5 3" xfId="6117" xr:uid="{00000000-0005-0000-0000-00008F1E0000}"/>
    <cellStyle name="Normal 9 2 2 2 2 5 3 2" xfId="15443" xr:uid="{2D9D67C7-E415-447C-9D13-E2D1A7F3FAB3}"/>
    <cellStyle name="Normal 9 2 2 2 2 5 4" xfId="11226" xr:uid="{93418368-C287-4BE3-81A5-C44ADDE32607}"/>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B086AE13-CA6A-419E-A0F1-4FBE50D51054}"/>
    <cellStyle name="Normal 9 2 2 2 2 6 2 3" xfId="13784" xr:uid="{8350D932-8B17-4545-BDC9-522D9EAED9D3}"/>
    <cellStyle name="Normal 9 2 2 2 2 6 3" xfId="6530" xr:uid="{00000000-0005-0000-0000-0000931E0000}"/>
    <cellStyle name="Normal 9 2 2 2 2 6 3 2" xfId="15856" xr:uid="{2A2708D6-D077-47FF-81F7-338BE19E529C}"/>
    <cellStyle name="Normal 9 2 2 2 2 6 4" xfId="11639" xr:uid="{4698CCFA-3E34-420E-B87B-5D66C4EEBE5B}"/>
    <cellStyle name="Normal 9 2 2 2 2 7" xfId="2660" xr:uid="{00000000-0005-0000-0000-0000941E0000}"/>
    <cellStyle name="Normal 9 2 2 2 2 7 2" xfId="6943" xr:uid="{00000000-0005-0000-0000-0000951E0000}"/>
    <cellStyle name="Normal 9 2 2 2 2 7 2 2" xfId="16269" xr:uid="{8A1368B1-348B-4320-A2BA-ED2934BC23BF}"/>
    <cellStyle name="Normal 9 2 2 2 2 7 3" xfId="12052" xr:uid="{7A6F3E93-F4E4-417A-AFF3-F6EE55966F65}"/>
    <cellStyle name="Normal 9 2 2 2 2 8" xfId="4878" xr:uid="{00000000-0005-0000-0000-0000961E0000}"/>
    <cellStyle name="Normal 9 2 2 2 2 8 2" xfId="14204" xr:uid="{58AE7E19-53D9-4D1F-B409-60E92BF98AE0}"/>
    <cellStyle name="Normal 9 2 2 2 2 9" xfId="8942" xr:uid="{0DE8A022-819C-4D6A-B102-31C1C7F429A5}"/>
    <cellStyle name="Normal 9 2 2 2 2 9 2" xfId="18266" xr:uid="{AAF3F01B-6DF9-4924-BE78-2212B3D65D0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CEF51F9C-9789-433C-A5B4-4C9764C82306}"/>
    <cellStyle name="Normal 9 2 2 2 3 2 2 3" xfId="12547" xr:uid="{8899BFCA-F768-41F5-864E-E7E6153EBEBB}"/>
    <cellStyle name="Normal 9 2 2 2 3 2 3" xfId="5293" xr:uid="{00000000-0005-0000-0000-00009B1E0000}"/>
    <cellStyle name="Normal 9 2 2 2 3 2 3 2" xfId="14619" xr:uid="{850CEF76-15A2-475B-87F5-4C842E1F975F}"/>
    <cellStyle name="Normal 9 2 2 2 3 2 4" xfId="9471" xr:uid="{E472D827-532E-42C0-B781-9E63FEBCFCF5}"/>
    <cellStyle name="Normal 9 2 2 2 3 2 4 2" xfId="18786" xr:uid="{6E3A3980-FEA4-4EB5-8B34-ACA7EA12BB35}"/>
    <cellStyle name="Normal 9 2 2 2 3 2 5" xfId="10402" xr:uid="{B784CFD3-1DB1-4F9B-9A53-B16FF84E9802}"/>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5CE413E6-036C-46CA-8F76-CC0EAE5BA3AC}"/>
    <cellStyle name="Normal 9 2 2 2 3 3 2 3" xfId="12960" xr:uid="{CB0A7FF4-7945-4826-938A-47C2C383EFC8}"/>
    <cellStyle name="Normal 9 2 2 2 3 3 3" xfId="5706" xr:uid="{00000000-0005-0000-0000-00009F1E0000}"/>
    <cellStyle name="Normal 9 2 2 2 3 3 3 2" xfId="15032" xr:uid="{4F4B3554-8687-4F62-AB39-BD63E01556E9}"/>
    <cellStyle name="Normal 9 2 2 2 3 3 4" xfId="10815" xr:uid="{24280FE9-3033-47BC-B50A-0A8EE770790C}"/>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360FBD3A-2721-4A6D-AB44-C856071AEACE}"/>
    <cellStyle name="Normal 9 2 2 2 3 4 2 3" xfId="13373" xr:uid="{D89B715C-DA4A-474A-AC75-73A0E15D252D}"/>
    <cellStyle name="Normal 9 2 2 2 3 4 3" xfId="6119" xr:uid="{00000000-0005-0000-0000-0000A31E0000}"/>
    <cellStyle name="Normal 9 2 2 2 3 4 3 2" xfId="15445" xr:uid="{35F33B13-30B9-4B1E-A37F-EB009B3E264D}"/>
    <cellStyle name="Normal 9 2 2 2 3 4 4" xfId="11228" xr:uid="{06D53D70-2582-4E09-AC80-E850036956CD}"/>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7DAB13CE-6A02-4C9E-BAFA-E2F6426C8925}"/>
    <cellStyle name="Normal 9 2 2 2 3 5 2 3" xfId="13786" xr:uid="{08C8F1B0-6CDF-4A81-BC29-A821605FBDC5}"/>
    <cellStyle name="Normal 9 2 2 2 3 5 3" xfId="6532" xr:uid="{00000000-0005-0000-0000-0000A71E0000}"/>
    <cellStyle name="Normal 9 2 2 2 3 5 3 2" xfId="15858" xr:uid="{24501254-7238-4D09-9B38-F0FF83A0E6B3}"/>
    <cellStyle name="Normal 9 2 2 2 3 5 4" xfId="11641" xr:uid="{06A050BB-10B4-42C4-9196-92CABB35202F}"/>
    <cellStyle name="Normal 9 2 2 2 3 6" xfId="2662" xr:uid="{00000000-0005-0000-0000-0000A81E0000}"/>
    <cellStyle name="Normal 9 2 2 2 3 6 2" xfId="6945" xr:uid="{00000000-0005-0000-0000-0000A91E0000}"/>
    <cellStyle name="Normal 9 2 2 2 3 6 2 2" xfId="16271" xr:uid="{9494653F-7049-4EB6-9DE9-3C41E1328EBD}"/>
    <cellStyle name="Normal 9 2 2 2 3 6 3" xfId="12054" xr:uid="{FF040063-4A79-4B73-B241-F9A6BECFF4A3}"/>
    <cellStyle name="Normal 9 2 2 2 3 7" xfId="4880" xr:uid="{00000000-0005-0000-0000-0000AA1E0000}"/>
    <cellStyle name="Normal 9 2 2 2 3 7 2" xfId="14206" xr:uid="{D6DE420F-F6C6-49AF-8A07-551FF515CBE7}"/>
    <cellStyle name="Normal 9 2 2 2 3 8" xfId="9046" xr:uid="{6B7E07C7-E90B-4AE9-8FE8-76EF28E8FC85}"/>
    <cellStyle name="Normal 9 2 2 2 3 8 2" xfId="18370" xr:uid="{49171EEB-8969-4DAE-A082-615056498667}"/>
    <cellStyle name="Normal 9 2 2 2 3 9" xfId="9989" xr:uid="{32F6235B-FFA0-4C80-8F11-5CF61EA17B97}"/>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092B4B83-7BE9-4835-85CA-FEDFD5426054}"/>
    <cellStyle name="Normal 9 2 2 2 4 2 3" xfId="12544" xr:uid="{2C25FBC3-3094-4DE4-BBAE-2B5F4665FCE1}"/>
    <cellStyle name="Normal 9 2 2 2 4 3" xfId="5290" xr:uid="{00000000-0005-0000-0000-0000AE1E0000}"/>
    <cellStyle name="Normal 9 2 2 2 4 3 2" xfId="14616" xr:uid="{BBEF5E6C-A209-4DF1-B029-B5920E0C1FCA}"/>
    <cellStyle name="Normal 9 2 2 2 4 4" xfId="9264" xr:uid="{0137E036-48D9-4B3B-9B73-0002A19DDE9E}"/>
    <cellStyle name="Normal 9 2 2 2 4 4 2" xfId="18579" xr:uid="{F2254BDC-7628-4BE8-889A-888106848732}"/>
    <cellStyle name="Normal 9 2 2 2 4 5" xfId="10399" xr:uid="{8DD702F0-0639-468B-A5B6-BB8F2059E0ED}"/>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B7794205-3572-4A58-957B-1A820EC3315A}"/>
    <cellStyle name="Normal 9 2 2 2 5 2 3" xfId="12957" xr:uid="{6DC263E8-027E-4C21-8A48-55A1C82B975D}"/>
    <cellStyle name="Normal 9 2 2 2 5 3" xfId="5703" xr:uid="{00000000-0005-0000-0000-0000B21E0000}"/>
    <cellStyle name="Normal 9 2 2 2 5 3 2" xfId="15029" xr:uid="{DD4D4D0F-F6ED-466B-BFAD-555C98D9D81A}"/>
    <cellStyle name="Normal 9 2 2 2 5 4" xfId="10812" xr:uid="{575FDA09-67CB-4182-BBA6-57AC40E7886D}"/>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E4AE70BA-676B-425E-BF16-DE1DF01FBDF8}"/>
    <cellStyle name="Normal 9 2 2 2 6 2 3" xfId="13370" xr:uid="{E200C306-B541-4C78-AE73-2FC6FE21DFDF}"/>
    <cellStyle name="Normal 9 2 2 2 6 3" xfId="6116" xr:uid="{00000000-0005-0000-0000-0000B61E0000}"/>
    <cellStyle name="Normal 9 2 2 2 6 3 2" xfId="15442" xr:uid="{9903732E-FE38-4681-BE0B-00EDF27461B6}"/>
    <cellStyle name="Normal 9 2 2 2 6 4" xfId="11225" xr:uid="{4212F333-A662-4368-8A1E-D8411D8E7BC9}"/>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DC8F1331-B0A3-49D5-9A36-638EA67E82F8}"/>
    <cellStyle name="Normal 9 2 2 2 7 2 3" xfId="13783" xr:uid="{30478943-6225-4F66-9516-9B97E359A5D5}"/>
    <cellStyle name="Normal 9 2 2 2 7 3" xfId="6529" xr:uid="{00000000-0005-0000-0000-0000BA1E0000}"/>
    <cellStyle name="Normal 9 2 2 2 7 3 2" xfId="15855" xr:uid="{A3FB1E2C-915A-4306-B33E-15244A4310D0}"/>
    <cellStyle name="Normal 9 2 2 2 7 4" xfId="11638" xr:uid="{AE208C01-CB9F-4F64-A1CC-54F01C444269}"/>
    <cellStyle name="Normal 9 2 2 2 8" xfId="2659" xr:uid="{00000000-0005-0000-0000-0000BB1E0000}"/>
    <cellStyle name="Normal 9 2 2 2 8 2" xfId="6942" xr:uid="{00000000-0005-0000-0000-0000BC1E0000}"/>
    <cellStyle name="Normal 9 2 2 2 8 2 2" xfId="16268" xr:uid="{2F348EBB-D9BC-4975-8442-C471C4E74615}"/>
    <cellStyle name="Normal 9 2 2 2 8 3" xfId="12051" xr:uid="{E162F95E-E541-42A9-8FC0-8F1BE18ED427}"/>
    <cellStyle name="Normal 9 2 2 2 9" xfId="4877" xr:uid="{00000000-0005-0000-0000-0000BD1E0000}"/>
    <cellStyle name="Normal 9 2 2 2 9 2" xfId="14203" xr:uid="{D745E761-6951-484D-833D-B3F37F292F78}"/>
    <cellStyle name="Normal 9 2 2 3" xfId="517" xr:uid="{00000000-0005-0000-0000-0000BE1E0000}"/>
    <cellStyle name="Normal 9 2 2 3 10" xfId="9990" xr:uid="{C7C41B2C-6174-4F41-9F83-DAA1C0C2AAE2}"/>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E197084C-9828-4AEB-B2D0-0FD47E390DA8}"/>
    <cellStyle name="Normal 9 2 2 3 2 2 2 3" xfId="12549" xr:uid="{C9C8A794-A8A5-4329-AB09-ED0454005945}"/>
    <cellStyle name="Normal 9 2 2 3 2 2 3" xfId="5295" xr:uid="{00000000-0005-0000-0000-0000C31E0000}"/>
    <cellStyle name="Normal 9 2 2 3 2 2 3 2" xfId="14621" xr:uid="{A982601B-B83D-41E5-9C22-A5A5179D00DA}"/>
    <cellStyle name="Normal 9 2 2 3 2 2 4" xfId="9520" xr:uid="{57CFBD10-691F-4DF8-8020-B75E98FF60DD}"/>
    <cellStyle name="Normal 9 2 2 3 2 2 4 2" xfId="18835" xr:uid="{3916B1D1-BA60-42E5-BFAB-D4735E7092A5}"/>
    <cellStyle name="Normal 9 2 2 3 2 2 5" xfId="10404" xr:uid="{F4B59BD0-D53C-4A1C-843B-FBADE2237098}"/>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B030E499-2E71-4806-8EEF-9275603971B1}"/>
    <cellStyle name="Normal 9 2 2 3 2 3 2 3" xfId="12962" xr:uid="{DAB5C200-CE91-4B1F-A12F-2C1B58A05355}"/>
    <cellStyle name="Normal 9 2 2 3 2 3 3" xfId="5708" xr:uid="{00000000-0005-0000-0000-0000C71E0000}"/>
    <cellStyle name="Normal 9 2 2 3 2 3 3 2" xfId="15034" xr:uid="{D101CA52-6B5D-4C9B-B335-4C5C27B86540}"/>
    <cellStyle name="Normal 9 2 2 3 2 3 4" xfId="10817" xr:uid="{666FF4A0-2DF1-4284-93F3-F8BF9A3D213C}"/>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4654FE48-BE12-4667-87BF-428ABD02265A}"/>
    <cellStyle name="Normal 9 2 2 3 2 4 2 3" xfId="13375" xr:uid="{5ED0BB9A-74CD-41AB-90CB-DE637B0588A6}"/>
    <cellStyle name="Normal 9 2 2 3 2 4 3" xfId="6121" xr:uid="{00000000-0005-0000-0000-0000CB1E0000}"/>
    <cellStyle name="Normal 9 2 2 3 2 4 3 2" xfId="15447" xr:uid="{267DC1AF-0030-431F-89AC-8C571D7D595F}"/>
    <cellStyle name="Normal 9 2 2 3 2 4 4" xfId="11230" xr:uid="{48AD7B24-392D-4CB3-889B-0B89C52EB3EC}"/>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92BB5D3A-959F-4C3E-84B2-EC21EC19728F}"/>
    <cellStyle name="Normal 9 2 2 3 2 5 2 3" xfId="13788" xr:uid="{C66E9A56-DB2F-4BE9-9B35-7A5FE408367A}"/>
    <cellStyle name="Normal 9 2 2 3 2 5 3" xfId="6534" xr:uid="{00000000-0005-0000-0000-0000CF1E0000}"/>
    <cellStyle name="Normal 9 2 2 3 2 5 3 2" xfId="15860" xr:uid="{EEB1B80F-F29D-4BF5-86A0-53A37F76B173}"/>
    <cellStyle name="Normal 9 2 2 3 2 5 4" xfId="11643" xr:uid="{CC966553-CE3E-4FE8-B30F-2C43653B778E}"/>
    <cellStyle name="Normal 9 2 2 3 2 6" xfId="2664" xr:uid="{00000000-0005-0000-0000-0000D01E0000}"/>
    <cellStyle name="Normal 9 2 2 3 2 6 2" xfId="6947" xr:uid="{00000000-0005-0000-0000-0000D11E0000}"/>
    <cellStyle name="Normal 9 2 2 3 2 6 2 2" xfId="16273" xr:uid="{D7A728D5-4DB4-48B1-9D05-5C0AED55EA79}"/>
    <cellStyle name="Normal 9 2 2 3 2 6 3" xfId="12056" xr:uid="{9E6534EC-1DE6-480B-A694-D24327DFEBCE}"/>
    <cellStyle name="Normal 9 2 2 3 2 7" xfId="4882" xr:uid="{00000000-0005-0000-0000-0000D21E0000}"/>
    <cellStyle name="Normal 9 2 2 3 2 7 2" xfId="14208" xr:uid="{A75DEAEC-5B1C-4105-A82F-C967D4E133E8}"/>
    <cellStyle name="Normal 9 2 2 3 2 8" xfId="9095" xr:uid="{D95088B7-D227-4E97-A9B9-DA61436DD386}"/>
    <cellStyle name="Normal 9 2 2 3 2 8 2" xfId="18419" xr:uid="{4D3C73B3-9CAA-44EC-BB82-3271981CE3F2}"/>
    <cellStyle name="Normal 9 2 2 3 2 9" xfId="9991" xr:uid="{7B4F4BA9-9668-4FBD-BB0F-FCACF22D0BCF}"/>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B37A3031-A906-4743-AD2D-DAFBE24D7045}"/>
    <cellStyle name="Normal 9 2 2 3 3 2 3" xfId="12548" xr:uid="{43F31C91-15F5-440C-A093-D5C3C9E1174E}"/>
    <cellStyle name="Normal 9 2 2 3 3 3" xfId="5294" xr:uid="{00000000-0005-0000-0000-0000D61E0000}"/>
    <cellStyle name="Normal 9 2 2 3 3 3 2" xfId="14620" xr:uid="{65EA8FB8-501D-4F9B-BBA6-2B8E56E4D99D}"/>
    <cellStyle name="Normal 9 2 2 3 3 4" xfId="9313" xr:uid="{FDDC600D-FDDD-4FFC-9820-DFD7E0768F33}"/>
    <cellStyle name="Normal 9 2 2 3 3 4 2" xfId="18628" xr:uid="{BDBBC447-2B5B-4C0C-A4DD-39A12B02339A}"/>
    <cellStyle name="Normal 9 2 2 3 3 5" xfId="10403" xr:uid="{49870277-F472-4C5A-A11A-3DE3110A3749}"/>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FEB98096-9A16-4DAE-9B6F-B54C740C343C}"/>
    <cellStyle name="Normal 9 2 2 3 4 2 3" xfId="12961" xr:uid="{1E9ECBA5-BE80-4662-B0D9-3E598AACC171}"/>
    <cellStyle name="Normal 9 2 2 3 4 3" xfId="5707" xr:uid="{00000000-0005-0000-0000-0000DA1E0000}"/>
    <cellStyle name="Normal 9 2 2 3 4 3 2" xfId="15033" xr:uid="{498F0091-0676-4FF8-BEDD-4623EA284731}"/>
    <cellStyle name="Normal 9 2 2 3 4 4" xfId="10816" xr:uid="{DC891E79-2095-4F29-A7BA-EE1F46EF905A}"/>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571FEDCB-D1BB-41F6-A73D-EDCD76CD13D5}"/>
    <cellStyle name="Normal 9 2 2 3 5 2 3" xfId="13374" xr:uid="{EE8615BF-02C8-4DA7-B9D3-AED64BE64A15}"/>
    <cellStyle name="Normal 9 2 2 3 5 3" xfId="6120" xr:uid="{00000000-0005-0000-0000-0000DE1E0000}"/>
    <cellStyle name="Normal 9 2 2 3 5 3 2" xfId="15446" xr:uid="{17F3FEC3-35E5-4563-BD6A-B3DAB222049A}"/>
    <cellStyle name="Normal 9 2 2 3 5 4" xfId="11229" xr:uid="{C1C10C7D-1BDF-47F7-A96A-D4A1FA7B7966}"/>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717ADF82-A02C-4B84-8F19-8BF7D34298EB}"/>
    <cellStyle name="Normal 9 2 2 3 6 2 3" xfId="13787" xr:uid="{617F5ABA-CB8A-4706-9D9C-CD1921BC9E4F}"/>
    <cellStyle name="Normal 9 2 2 3 6 3" xfId="6533" xr:uid="{00000000-0005-0000-0000-0000E21E0000}"/>
    <cellStyle name="Normal 9 2 2 3 6 3 2" xfId="15859" xr:uid="{C819D556-DEAF-4577-96AF-EC28C0AEE4A3}"/>
    <cellStyle name="Normal 9 2 2 3 6 4" xfId="11642" xr:uid="{B2A1DE13-5E07-4931-B06B-0B0D818984BC}"/>
    <cellStyle name="Normal 9 2 2 3 7" xfId="2663" xr:uid="{00000000-0005-0000-0000-0000E31E0000}"/>
    <cellStyle name="Normal 9 2 2 3 7 2" xfId="6946" xr:uid="{00000000-0005-0000-0000-0000E41E0000}"/>
    <cellStyle name="Normal 9 2 2 3 7 2 2" xfId="16272" xr:uid="{1AD35030-4475-4A29-8CD0-EAC09D56FCB4}"/>
    <cellStyle name="Normal 9 2 2 3 7 3" xfId="12055" xr:uid="{E8BBAB03-B6CD-4607-A2A4-96B82E0DB344}"/>
    <cellStyle name="Normal 9 2 2 3 8" xfId="4881" xr:uid="{00000000-0005-0000-0000-0000E51E0000}"/>
    <cellStyle name="Normal 9 2 2 3 8 2" xfId="14207" xr:uid="{34BF9547-BEF4-4E97-8DE3-362175BDDC99}"/>
    <cellStyle name="Normal 9 2 2 3 9" xfId="8888" xr:uid="{47457178-62A7-4ACA-95A1-433BF4FD3D65}"/>
    <cellStyle name="Normal 9 2 2 3 9 2" xfId="18212" xr:uid="{35F0EC65-0909-4DBC-9780-30DD1AD28684}"/>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8E8AF6F0-9490-40EC-9C82-06FA8D723554}"/>
    <cellStyle name="Normal 9 2 2 4 2 2 3" xfId="12550" xr:uid="{615ACDF7-80C1-4CF5-BB33-323CACCEAE3A}"/>
    <cellStyle name="Normal 9 2 2 4 2 3" xfId="5296" xr:uid="{00000000-0005-0000-0000-0000EA1E0000}"/>
    <cellStyle name="Normal 9 2 2 4 2 3 2" xfId="14622" xr:uid="{B60881DF-0CBB-4458-8F0A-F9B0574D36D9}"/>
    <cellStyle name="Normal 9 2 2 4 2 4" xfId="9417" xr:uid="{FDB8A679-B5B8-4E9B-808D-E68F6CA01958}"/>
    <cellStyle name="Normal 9 2 2 4 2 4 2" xfId="18732" xr:uid="{DA532BE5-37A0-4021-9CAD-09C05956B595}"/>
    <cellStyle name="Normal 9 2 2 4 2 5" xfId="10405" xr:uid="{106A1174-B8A4-4673-87C1-B7645513A064}"/>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2833BB1B-F84A-4A46-8C7B-55B66372C565}"/>
    <cellStyle name="Normal 9 2 2 4 3 2 3" xfId="12963" xr:uid="{904B3545-3E0B-4BAA-89D3-E9DB8FB48050}"/>
    <cellStyle name="Normal 9 2 2 4 3 3" xfId="5709" xr:uid="{00000000-0005-0000-0000-0000EE1E0000}"/>
    <cellStyle name="Normal 9 2 2 4 3 3 2" xfId="15035" xr:uid="{0A77424F-4C9B-4B6A-BF0C-069C25F7CCA8}"/>
    <cellStyle name="Normal 9 2 2 4 3 4" xfId="10818" xr:uid="{4E12DCE3-02D8-4809-B38F-8CE01C63CECA}"/>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21D06B52-210B-4F4B-AB5B-443099BF3E7A}"/>
    <cellStyle name="Normal 9 2 2 4 4 2 3" xfId="13376" xr:uid="{DFBBD728-41AD-493F-B6D0-45B6FFDFBD31}"/>
    <cellStyle name="Normal 9 2 2 4 4 3" xfId="6122" xr:uid="{00000000-0005-0000-0000-0000F21E0000}"/>
    <cellStyle name="Normal 9 2 2 4 4 3 2" xfId="15448" xr:uid="{272A4577-C27D-48DC-966C-CC2FAA5FE5C4}"/>
    <cellStyle name="Normal 9 2 2 4 4 4" xfId="11231" xr:uid="{7BD845D3-23C2-4112-B1AE-D0D873448B61}"/>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4F46B2A2-536F-4F17-9EE7-15668000BC27}"/>
    <cellStyle name="Normal 9 2 2 4 5 2 3" xfId="13789" xr:uid="{A52DA9F7-1AC2-4BE8-987B-A08E32F90ED3}"/>
    <cellStyle name="Normal 9 2 2 4 5 3" xfId="6535" xr:uid="{00000000-0005-0000-0000-0000F61E0000}"/>
    <cellStyle name="Normal 9 2 2 4 5 3 2" xfId="15861" xr:uid="{90D06779-C8FA-466B-8237-AC18CDDF2DA4}"/>
    <cellStyle name="Normal 9 2 2 4 5 4" xfId="11644" xr:uid="{D1AD740C-E0CC-4BC3-8FEB-9A4410320168}"/>
    <cellStyle name="Normal 9 2 2 4 6" xfId="2665" xr:uid="{00000000-0005-0000-0000-0000F71E0000}"/>
    <cellStyle name="Normal 9 2 2 4 6 2" xfId="6948" xr:uid="{00000000-0005-0000-0000-0000F81E0000}"/>
    <cellStyle name="Normal 9 2 2 4 6 2 2" xfId="16274" xr:uid="{FF445D79-DE7C-4B2B-8127-F87BC9B21CA3}"/>
    <cellStyle name="Normal 9 2 2 4 6 3" xfId="12057" xr:uid="{FC270201-63E4-4121-ABB0-3C0542638CEF}"/>
    <cellStyle name="Normal 9 2 2 4 7" xfId="4883" xr:uid="{00000000-0005-0000-0000-0000F91E0000}"/>
    <cellStyle name="Normal 9 2 2 4 7 2" xfId="14209" xr:uid="{04CA8BFA-4F30-42C6-8FA0-0BFB086874C8}"/>
    <cellStyle name="Normal 9 2 2 4 8" xfId="8992" xr:uid="{8AFFF8AD-8552-4B33-AAFF-7DACAE25085E}"/>
    <cellStyle name="Normal 9 2 2 4 8 2" xfId="18316" xr:uid="{B6FCA28F-212D-478C-99D1-0D428F3DB67D}"/>
    <cellStyle name="Normal 9 2 2 4 9" xfId="9992" xr:uid="{9D50E57D-8535-4420-8B66-A2C333A5D9AA}"/>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9948D84E-A64A-4409-B8D5-001B3340540B}"/>
    <cellStyle name="Normal 9 2 2 5 2 3" xfId="12543" xr:uid="{18082954-1A20-4F7B-9E35-809D025CD350}"/>
    <cellStyle name="Normal 9 2 2 5 3" xfId="5289" xr:uid="{00000000-0005-0000-0000-0000FD1E0000}"/>
    <cellStyle name="Normal 9 2 2 5 3 2" xfId="14615" xr:uid="{523FE063-1359-4194-B799-F02B56014BE1}"/>
    <cellStyle name="Normal 9 2 2 5 4" xfId="9209" xr:uid="{66E66B93-842C-41D8-A807-A065C03CFEBD}"/>
    <cellStyle name="Normal 9 2 2 5 4 2" xfId="18525" xr:uid="{502D037C-89A0-4CFB-94B2-68895FE73870}"/>
    <cellStyle name="Normal 9 2 2 5 5" xfId="10398" xr:uid="{5FFE270E-E01A-4C78-9083-2BB806AD53EF}"/>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ACBA4D15-E706-45B3-87D6-F264AF029D5A}"/>
    <cellStyle name="Normal 9 2 2 6 2 3" xfId="12956" xr:uid="{D9ED4387-C007-49D6-ADF7-F63B7B7C0E85}"/>
    <cellStyle name="Normal 9 2 2 6 3" xfId="5702" xr:uid="{00000000-0005-0000-0000-0000011F0000}"/>
    <cellStyle name="Normal 9 2 2 6 3 2" xfId="15028" xr:uid="{30103A14-AB7C-4325-8F75-4DC0A594A4B6}"/>
    <cellStyle name="Normal 9 2 2 6 4" xfId="10811" xr:uid="{340774CA-21C3-4561-89FC-C13015E3D001}"/>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3BBC59DE-0734-4548-BAEB-1516572A0C93}"/>
    <cellStyle name="Normal 9 2 2 7 2 3" xfId="13369" xr:uid="{C9B05F17-6076-4D5F-BEA7-9B438BCB5158}"/>
    <cellStyle name="Normal 9 2 2 7 3" xfId="6115" xr:uid="{00000000-0005-0000-0000-0000051F0000}"/>
    <cellStyle name="Normal 9 2 2 7 3 2" xfId="15441" xr:uid="{114E15A3-6B79-4AFC-8EF9-364AAA46D62D}"/>
    <cellStyle name="Normal 9 2 2 7 4" xfId="11224" xr:uid="{81F2F4D7-B01F-4A96-ABDD-9438B87EAC3F}"/>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9F0E4D7A-B17E-455B-A4B6-99EC80D269C7}"/>
    <cellStyle name="Normal 9 2 2 8 2 3" xfId="13782" xr:uid="{D9B95DBF-0AE1-47D5-9ECE-95ADC92415D0}"/>
    <cellStyle name="Normal 9 2 2 8 3" xfId="6528" xr:uid="{00000000-0005-0000-0000-0000091F0000}"/>
    <cellStyle name="Normal 9 2 2 8 3 2" xfId="15854" xr:uid="{5205450B-626A-41E2-A2E9-8E8C6820A1DD}"/>
    <cellStyle name="Normal 9 2 2 8 4" xfId="11637" xr:uid="{1AE4944C-A6F7-46E4-B035-1A6716685913}"/>
    <cellStyle name="Normal 9 2 2 9" xfId="2658" xr:uid="{00000000-0005-0000-0000-00000A1F0000}"/>
    <cellStyle name="Normal 9 2 2 9 2" xfId="6941" xr:uid="{00000000-0005-0000-0000-00000B1F0000}"/>
    <cellStyle name="Normal 9 2 2 9 2 2" xfId="16267" xr:uid="{72E2557A-FA38-4D9A-B62F-DB7CC1C8CE55}"/>
    <cellStyle name="Normal 9 2 2 9 3" xfId="12050" xr:uid="{8FEB3664-67FF-4314-BAD4-56718E0CDAF4}"/>
    <cellStyle name="Normal 9 2 3" xfId="520" xr:uid="{00000000-0005-0000-0000-00000C1F0000}"/>
    <cellStyle name="Normal 9 2 3 10" xfId="8838" xr:uid="{3F59BADF-95CF-4831-9CE1-8ACBDD585DF1}"/>
    <cellStyle name="Normal 9 2 3 10 2" xfId="18162" xr:uid="{66554E95-924F-487A-A83D-58DFDAB2EE1A}"/>
    <cellStyle name="Normal 9 2 3 11" xfId="9993" xr:uid="{8D6D7D26-C386-4EEC-A749-78E775DDBFDF}"/>
    <cellStyle name="Normal 9 2 3 2" xfId="521" xr:uid="{00000000-0005-0000-0000-00000D1F0000}"/>
    <cellStyle name="Normal 9 2 3 2 10" xfId="9994" xr:uid="{CF5761B7-4612-4529-8D8C-D9F64C2D3E0E}"/>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3A0DB1F7-697D-4706-A2C7-AA37A41B6087}"/>
    <cellStyle name="Normal 9 2 3 2 2 2 2 3" xfId="12553" xr:uid="{5945AE43-30FD-4175-B92F-7A8939E3F522}"/>
    <cellStyle name="Normal 9 2 3 2 2 2 3" xfId="5299" xr:uid="{00000000-0005-0000-0000-0000121F0000}"/>
    <cellStyle name="Normal 9 2 3 2 2 2 3 2" xfId="14625" xr:uid="{7DAA105A-FD6F-49A4-9E99-FD25CFF66E93}"/>
    <cellStyle name="Normal 9 2 3 2 2 2 4" xfId="9573" xr:uid="{376F8566-2407-40B8-9531-D3E757BE7A23}"/>
    <cellStyle name="Normal 9 2 3 2 2 2 4 2" xfId="18888" xr:uid="{D8F6253F-E70B-471C-9A81-B787B6D57A42}"/>
    <cellStyle name="Normal 9 2 3 2 2 2 5" xfId="10408" xr:uid="{6D7068DD-30D0-4D52-AD0C-D26FB16E964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43AACB44-3554-47DC-B276-46EFAA148BFF}"/>
    <cellStyle name="Normal 9 2 3 2 2 3 2 3" xfId="12966" xr:uid="{7209EE5B-E292-43C7-BE49-79397269ACDF}"/>
    <cellStyle name="Normal 9 2 3 2 2 3 3" xfId="5712" xr:uid="{00000000-0005-0000-0000-0000161F0000}"/>
    <cellStyle name="Normal 9 2 3 2 2 3 3 2" xfId="15038" xr:uid="{62C8EF82-9344-42C7-B99C-E6838330327D}"/>
    <cellStyle name="Normal 9 2 3 2 2 3 4" xfId="10821" xr:uid="{A1AAA87D-7288-401E-AB32-24D50BF8C335}"/>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A018C8A2-6E2E-4ED9-B8AA-EB231BD2E128}"/>
    <cellStyle name="Normal 9 2 3 2 2 4 2 3" xfId="13379" xr:uid="{7BE8A189-ACB0-47A1-B8C9-02DD007D2E6F}"/>
    <cellStyle name="Normal 9 2 3 2 2 4 3" xfId="6125" xr:uid="{00000000-0005-0000-0000-00001A1F0000}"/>
    <cellStyle name="Normal 9 2 3 2 2 4 3 2" xfId="15451" xr:uid="{3A652E86-351B-4A68-8D35-02440FE7B71B}"/>
    <cellStyle name="Normal 9 2 3 2 2 4 4" xfId="11234" xr:uid="{C153D3FF-50ED-44DD-9C46-CF5F5DE97A1B}"/>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7C81103E-086B-470E-95F3-4A9CC67575A2}"/>
    <cellStyle name="Normal 9 2 3 2 2 5 2 3" xfId="13792" xr:uid="{34F36AC4-4AE9-498C-ACD7-5FE0C1722747}"/>
    <cellStyle name="Normal 9 2 3 2 2 5 3" xfId="6538" xr:uid="{00000000-0005-0000-0000-00001E1F0000}"/>
    <cellStyle name="Normal 9 2 3 2 2 5 3 2" xfId="15864" xr:uid="{1DA70A44-98C7-4849-B39B-ED1ABD673120}"/>
    <cellStyle name="Normal 9 2 3 2 2 5 4" xfId="11647" xr:uid="{31FAE849-EB66-4A3D-9FD6-3AFF1BAC58FD}"/>
    <cellStyle name="Normal 9 2 3 2 2 6" xfId="2668" xr:uid="{00000000-0005-0000-0000-00001F1F0000}"/>
    <cellStyle name="Normal 9 2 3 2 2 6 2" xfId="6951" xr:uid="{00000000-0005-0000-0000-0000201F0000}"/>
    <cellStyle name="Normal 9 2 3 2 2 6 2 2" xfId="16277" xr:uid="{8628477B-1446-425D-AF0D-69CBB028BBA1}"/>
    <cellStyle name="Normal 9 2 3 2 2 6 3" xfId="12060" xr:uid="{311797CD-0A08-425E-ACDE-4798A823E8F4}"/>
    <cellStyle name="Normal 9 2 3 2 2 7" xfId="4886" xr:uid="{00000000-0005-0000-0000-0000211F0000}"/>
    <cellStyle name="Normal 9 2 3 2 2 7 2" xfId="14212" xr:uid="{565183D5-E804-411B-AD92-93567D30B48E}"/>
    <cellStyle name="Normal 9 2 3 2 2 8" xfId="9148" xr:uid="{E1A2F3F0-C8EA-47FA-BB37-18F117041A87}"/>
    <cellStyle name="Normal 9 2 3 2 2 8 2" xfId="18472" xr:uid="{C9275FA3-354C-48B2-9860-934120634818}"/>
    <cellStyle name="Normal 9 2 3 2 2 9" xfId="9995" xr:uid="{9C7638DA-870B-4EFD-BED5-08A4A93F6A30}"/>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9FA6AEB5-918B-4A2D-9571-B41E70155BB6}"/>
    <cellStyle name="Normal 9 2 3 2 3 2 3" xfId="12552" xr:uid="{6F7661B8-1A03-4A56-BF0E-C2170307A7AB}"/>
    <cellStyle name="Normal 9 2 3 2 3 3" xfId="5298" xr:uid="{00000000-0005-0000-0000-0000251F0000}"/>
    <cellStyle name="Normal 9 2 3 2 3 3 2" xfId="14624" xr:uid="{B45E8171-E0E8-4CA4-96A0-DECDD1BE0F4A}"/>
    <cellStyle name="Normal 9 2 3 2 3 4" xfId="9366" xr:uid="{136A6B94-9CAA-4F6C-B09D-7385900FCA38}"/>
    <cellStyle name="Normal 9 2 3 2 3 4 2" xfId="18681" xr:uid="{BD9D5F68-A5B6-4467-94E6-ECBA8D4F8047}"/>
    <cellStyle name="Normal 9 2 3 2 3 5" xfId="10407" xr:uid="{1E8FF227-A60F-4346-B0E0-605D7365B877}"/>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D9EF5DA8-4D7C-4EC7-BCAC-627D49D4B966}"/>
    <cellStyle name="Normal 9 2 3 2 4 2 3" xfId="12965" xr:uid="{BC19C1AB-1CE9-459B-8D2F-487949965194}"/>
    <cellStyle name="Normal 9 2 3 2 4 3" xfId="5711" xr:uid="{00000000-0005-0000-0000-0000291F0000}"/>
    <cellStyle name="Normal 9 2 3 2 4 3 2" xfId="15037" xr:uid="{9149F6E0-1B62-4CFE-96EB-E0BEC856FE4A}"/>
    <cellStyle name="Normal 9 2 3 2 4 4" xfId="10820" xr:uid="{AA479DFF-5936-4705-A34F-625F3B65A6A8}"/>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B84550A8-EEDE-4DF3-BC02-3EF58D8596F4}"/>
    <cellStyle name="Normal 9 2 3 2 5 2 3" xfId="13378" xr:uid="{FD5E9693-4D6D-4E2C-BB18-C94BD85811D3}"/>
    <cellStyle name="Normal 9 2 3 2 5 3" xfId="6124" xr:uid="{00000000-0005-0000-0000-00002D1F0000}"/>
    <cellStyle name="Normal 9 2 3 2 5 3 2" xfId="15450" xr:uid="{406A248D-B56B-4828-B689-134CBCF4D653}"/>
    <cellStyle name="Normal 9 2 3 2 5 4" xfId="11233" xr:uid="{FC2E7408-F274-4B1E-A4F8-BDB95CD21C8F}"/>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52413061-A160-4158-9989-7F5AE7374051}"/>
    <cellStyle name="Normal 9 2 3 2 6 2 3" xfId="13791" xr:uid="{1266DF44-3AA8-4F0C-BACC-40313FA3C942}"/>
    <cellStyle name="Normal 9 2 3 2 6 3" xfId="6537" xr:uid="{00000000-0005-0000-0000-0000311F0000}"/>
    <cellStyle name="Normal 9 2 3 2 6 3 2" xfId="15863" xr:uid="{BBFC1FC4-7CEA-4FEF-8B62-235D590378E4}"/>
    <cellStyle name="Normal 9 2 3 2 6 4" xfId="11646" xr:uid="{DF649FC1-605C-419F-9995-106C083BF8B7}"/>
    <cellStyle name="Normal 9 2 3 2 7" xfId="2667" xr:uid="{00000000-0005-0000-0000-0000321F0000}"/>
    <cellStyle name="Normal 9 2 3 2 7 2" xfId="6950" xr:uid="{00000000-0005-0000-0000-0000331F0000}"/>
    <cellStyle name="Normal 9 2 3 2 7 2 2" xfId="16276" xr:uid="{366BA3EB-DA54-442A-827F-FBF9BC8BC692}"/>
    <cellStyle name="Normal 9 2 3 2 7 3" xfId="12059" xr:uid="{D4C55FCF-B31E-42F5-B860-069F2988AF7A}"/>
    <cellStyle name="Normal 9 2 3 2 8" xfId="4885" xr:uid="{00000000-0005-0000-0000-0000341F0000}"/>
    <cellStyle name="Normal 9 2 3 2 8 2" xfId="14211" xr:uid="{64B0212E-33A5-44E4-8FF8-132D66195F92}"/>
    <cellStyle name="Normal 9 2 3 2 9" xfId="8941" xr:uid="{DDA1E375-E708-45D0-9119-207D493A75BA}"/>
    <cellStyle name="Normal 9 2 3 2 9 2" xfId="18265" xr:uid="{055FC219-B083-48BD-A953-920093274A41}"/>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F4693870-632F-48CC-B2A4-C431CB80AC19}"/>
    <cellStyle name="Normal 9 2 3 3 2 2 3" xfId="12554" xr:uid="{39785861-11E4-47F4-9908-4A9D990FCDEF}"/>
    <cellStyle name="Normal 9 2 3 3 2 3" xfId="5300" xr:uid="{00000000-0005-0000-0000-0000391F0000}"/>
    <cellStyle name="Normal 9 2 3 3 2 3 2" xfId="14626" xr:uid="{50F5BCE4-653E-425D-8BE9-DAFE1870AC3A}"/>
    <cellStyle name="Normal 9 2 3 3 2 4" xfId="9470" xr:uid="{B46EA5E7-4A9D-405A-94B0-2C155F0DE1F1}"/>
    <cellStyle name="Normal 9 2 3 3 2 4 2" xfId="18785" xr:uid="{6ED77F77-4A6C-4916-9996-72B96A63B2AA}"/>
    <cellStyle name="Normal 9 2 3 3 2 5" xfId="10409" xr:uid="{9AD1ADA8-9902-4B0A-A5E5-30FCC7652CEE}"/>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1AB093A3-8772-41DF-998C-AB550AD26819}"/>
    <cellStyle name="Normal 9 2 3 3 3 2 3" xfId="12967" xr:uid="{C260DDE3-0512-45FB-9966-A78B9EDDF378}"/>
    <cellStyle name="Normal 9 2 3 3 3 3" xfId="5713" xr:uid="{00000000-0005-0000-0000-00003D1F0000}"/>
    <cellStyle name="Normal 9 2 3 3 3 3 2" xfId="15039" xr:uid="{57363B9F-48C8-4F4C-8DA4-0C92A99BB50D}"/>
    <cellStyle name="Normal 9 2 3 3 3 4" xfId="10822" xr:uid="{46D93C6E-9AB0-41D9-8A80-5059495DABD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863D0B70-0E33-4391-A444-5F561817C1F9}"/>
    <cellStyle name="Normal 9 2 3 3 4 2 3" xfId="13380" xr:uid="{CF37FD87-3C19-4A86-A9EE-AAF30D373326}"/>
    <cellStyle name="Normal 9 2 3 3 4 3" xfId="6126" xr:uid="{00000000-0005-0000-0000-0000411F0000}"/>
    <cellStyle name="Normal 9 2 3 3 4 3 2" xfId="15452" xr:uid="{6E4DDFDC-68EA-44C9-8897-E60A506342F5}"/>
    <cellStyle name="Normal 9 2 3 3 4 4" xfId="11235" xr:uid="{75984DCC-AA84-4CCC-9A79-B3E3718F0348}"/>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916E18B8-E90E-4857-92EE-C1BB12E7258F}"/>
    <cellStyle name="Normal 9 2 3 3 5 2 3" xfId="13793" xr:uid="{357EC717-FB18-4078-A8F7-F4421E254FF7}"/>
    <cellStyle name="Normal 9 2 3 3 5 3" xfId="6539" xr:uid="{00000000-0005-0000-0000-0000451F0000}"/>
    <cellStyle name="Normal 9 2 3 3 5 3 2" xfId="15865" xr:uid="{0551D7B7-C41B-45E9-8DBA-72E00030A946}"/>
    <cellStyle name="Normal 9 2 3 3 5 4" xfId="11648" xr:uid="{5CE49AF4-D1C7-433A-B248-60C3DF4BE467}"/>
    <cellStyle name="Normal 9 2 3 3 6" xfId="2669" xr:uid="{00000000-0005-0000-0000-0000461F0000}"/>
    <cellStyle name="Normal 9 2 3 3 6 2" xfId="6952" xr:uid="{00000000-0005-0000-0000-0000471F0000}"/>
    <cellStyle name="Normal 9 2 3 3 6 2 2" xfId="16278" xr:uid="{664FA574-517C-4B72-8194-0AD71C7A8FC3}"/>
    <cellStyle name="Normal 9 2 3 3 6 3" xfId="12061" xr:uid="{6A90327A-CDE6-41FA-B0A6-AD81C176D2FA}"/>
    <cellStyle name="Normal 9 2 3 3 7" xfId="4887" xr:uid="{00000000-0005-0000-0000-0000481F0000}"/>
    <cellStyle name="Normal 9 2 3 3 7 2" xfId="14213" xr:uid="{F525ECBC-933E-4619-9B9C-FD6C43D39F26}"/>
    <cellStyle name="Normal 9 2 3 3 8" xfId="9045" xr:uid="{CD23D75F-FCE1-471A-A55A-DAC6FB15D069}"/>
    <cellStyle name="Normal 9 2 3 3 8 2" xfId="18369" xr:uid="{99F4C58B-C5FF-4BE3-A166-7D522F6DF34B}"/>
    <cellStyle name="Normal 9 2 3 3 9" xfId="9996" xr:uid="{58F53F90-DF83-4D6B-B1A1-39AE73182982}"/>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79E7CB07-9B49-4674-AEB8-93879EC063F0}"/>
    <cellStyle name="Normal 9 2 3 4 2 3" xfId="12551" xr:uid="{5DFDB43F-4A1C-4CA5-892D-02E1AAE98620}"/>
    <cellStyle name="Normal 9 2 3 4 3" xfId="5297" xr:uid="{00000000-0005-0000-0000-00004C1F0000}"/>
    <cellStyle name="Normal 9 2 3 4 3 2" xfId="14623" xr:uid="{B40874C1-4313-49C3-92D4-8750C569FC1E}"/>
    <cellStyle name="Normal 9 2 3 4 4" xfId="9263" xr:uid="{8E7B719A-F76B-4A2B-A5A7-1A883FD6976F}"/>
    <cellStyle name="Normal 9 2 3 4 4 2" xfId="18578" xr:uid="{0D8B5972-DDD9-48E5-A0EB-044DC5EE36BF}"/>
    <cellStyle name="Normal 9 2 3 4 5" xfId="10406" xr:uid="{E20F5737-5B76-40BA-AAD1-95BBE48CD31F}"/>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3207447B-B3C6-4794-A758-D94FEE640C35}"/>
    <cellStyle name="Normal 9 2 3 5 2 3" xfId="12964" xr:uid="{92DD4B7F-5864-4856-8BB9-AC4750B7968C}"/>
    <cellStyle name="Normal 9 2 3 5 3" xfId="5710" xr:uid="{00000000-0005-0000-0000-0000501F0000}"/>
    <cellStyle name="Normal 9 2 3 5 3 2" xfId="15036" xr:uid="{B655641E-D4C2-4AAA-B373-A23E8E5A932B}"/>
    <cellStyle name="Normal 9 2 3 5 4" xfId="10819" xr:uid="{B4D5F865-FE13-420A-B96E-3F35E747A8B9}"/>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53DCD5A2-D015-4761-8B32-4BF77FC7E245}"/>
    <cellStyle name="Normal 9 2 3 6 2 3" xfId="13377" xr:uid="{B18F3BD1-5E3A-4D6E-8DD2-A1CEE7B97509}"/>
    <cellStyle name="Normal 9 2 3 6 3" xfId="6123" xr:uid="{00000000-0005-0000-0000-0000541F0000}"/>
    <cellStyle name="Normal 9 2 3 6 3 2" xfId="15449" xr:uid="{2C12C79C-BA3A-4306-90C6-9F4B33D7D7B8}"/>
    <cellStyle name="Normal 9 2 3 6 4" xfId="11232" xr:uid="{60250FCA-19B5-43C4-9E1B-335B2DB85ECD}"/>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02CDF4EC-5673-4F10-9FBA-28C74F3A043D}"/>
    <cellStyle name="Normal 9 2 3 7 2 3" xfId="13790" xr:uid="{BC1732E5-44D4-4BDC-B320-F355CEB36E62}"/>
    <cellStyle name="Normal 9 2 3 7 3" xfId="6536" xr:uid="{00000000-0005-0000-0000-0000581F0000}"/>
    <cellStyle name="Normal 9 2 3 7 3 2" xfId="15862" xr:uid="{90892F2D-AA20-473C-BF9D-F5A98E6C4C72}"/>
    <cellStyle name="Normal 9 2 3 7 4" xfId="11645" xr:uid="{21CB7597-A937-42CF-A651-3399D3AE6133}"/>
    <cellStyle name="Normal 9 2 3 8" xfId="2666" xr:uid="{00000000-0005-0000-0000-0000591F0000}"/>
    <cellStyle name="Normal 9 2 3 8 2" xfId="6949" xr:uid="{00000000-0005-0000-0000-00005A1F0000}"/>
    <cellStyle name="Normal 9 2 3 8 2 2" xfId="16275" xr:uid="{421228F9-C73A-4F75-BDD1-703F2665C4A5}"/>
    <cellStyle name="Normal 9 2 3 8 3" xfId="12058" xr:uid="{18A2B56E-C302-4860-8F58-8547B43C8D22}"/>
    <cellStyle name="Normal 9 2 3 9" xfId="4884" xr:uid="{00000000-0005-0000-0000-00005B1F0000}"/>
    <cellStyle name="Normal 9 2 3 9 2" xfId="14210" xr:uid="{96EC2761-35B7-4E11-A8B1-9B99B48EEAD1}"/>
    <cellStyle name="Normal 9 2 4" xfId="524" xr:uid="{00000000-0005-0000-0000-00005C1F0000}"/>
    <cellStyle name="Normal 9 2 4 10" xfId="9997" xr:uid="{530D77F2-8A98-489D-B66C-CD47C18C2AFA}"/>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3D4AC634-7971-4848-881F-8A0F6550E6F0}"/>
    <cellStyle name="Normal 9 2 4 2 2 2 3" xfId="12556" xr:uid="{FFD2172C-211A-4DBD-9C18-0EEDFA6C6002}"/>
    <cellStyle name="Normal 9 2 4 2 2 3" xfId="5302" xr:uid="{00000000-0005-0000-0000-0000611F0000}"/>
    <cellStyle name="Normal 9 2 4 2 2 3 2" xfId="14628" xr:uid="{F0EB394A-3854-446F-91F1-AD76257856B8}"/>
    <cellStyle name="Normal 9 2 4 2 2 4" xfId="9489" xr:uid="{4BA9DC16-58A7-4D6B-90A6-6BB0C51A0279}"/>
    <cellStyle name="Normal 9 2 4 2 2 4 2" xfId="18804" xr:uid="{63F0B785-6AAA-40AA-AC44-C45BF95E2179}"/>
    <cellStyle name="Normal 9 2 4 2 2 5" xfId="10411" xr:uid="{19F7E278-8D4C-444A-9409-9A5FB71E0D93}"/>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8EAAECEF-380B-47D4-85D5-2D73FF0D7F48}"/>
    <cellStyle name="Normal 9 2 4 2 3 2 3" xfId="12969" xr:uid="{D7409284-72A1-408D-B9AA-E5A1A03C9E5E}"/>
    <cellStyle name="Normal 9 2 4 2 3 3" xfId="5715" xr:uid="{00000000-0005-0000-0000-0000651F0000}"/>
    <cellStyle name="Normal 9 2 4 2 3 3 2" xfId="15041" xr:uid="{C8AD9705-4678-4092-8299-2A3BD3D32E30}"/>
    <cellStyle name="Normal 9 2 4 2 3 4" xfId="10824" xr:uid="{2EBE0004-CC5A-4BDA-A79C-7895E02642CD}"/>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D362FEF1-9FB8-4130-ABD2-0E4C69693AA9}"/>
    <cellStyle name="Normal 9 2 4 2 4 2 3" xfId="13382" xr:uid="{56457E48-1201-4A9F-9F8A-88CA674F079A}"/>
    <cellStyle name="Normal 9 2 4 2 4 3" xfId="6128" xr:uid="{00000000-0005-0000-0000-0000691F0000}"/>
    <cellStyle name="Normal 9 2 4 2 4 3 2" xfId="15454" xr:uid="{27FA8AD7-82DD-455B-AA95-AC2F518581B5}"/>
    <cellStyle name="Normal 9 2 4 2 4 4" xfId="11237" xr:uid="{EC91365B-11E0-45B3-B20A-066E82427DE1}"/>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B478EB08-16DB-40B0-B535-E11856C1428B}"/>
    <cellStyle name="Normal 9 2 4 2 5 2 3" xfId="13795" xr:uid="{7D4D2E74-E081-4B95-A6E8-136F6D5499C2}"/>
    <cellStyle name="Normal 9 2 4 2 5 3" xfId="6541" xr:uid="{00000000-0005-0000-0000-00006D1F0000}"/>
    <cellStyle name="Normal 9 2 4 2 5 3 2" xfId="15867" xr:uid="{179D60B3-70E4-4EB6-97F7-29E8BF27E573}"/>
    <cellStyle name="Normal 9 2 4 2 5 4" xfId="11650" xr:uid="{69F7E471-9A34-49C4-B105-C1E9D341A87E}"/>
    <cellStyle name="Normal 9 2 4 2 6" xfId="2671" xr:uid="{00000000-0005-0000-0000-00006E1F0000}"/>
    <cellStyle name="Normal 9 2 4 2 6 2" xfId="6954" xr:uid="{00000000-0005-0000-0000-00006F1F0000}"/>
    <cellStyle name="Normal 9 2 4 2 6 2 2" xfId="16280" xr:uid="{BE78577C-066A-47F0-8600-EA6AB4D84DEC}"/>
    <cellStyle name="Normal 9 2 4 2 6 3" xfId="12063" xr:uid="{871446E7-9975-482B-B35F-4833AC3C12C6}"/>
    <cellStyle name="Normal 9 2 4 2 7" xfId="4889" xr:uid="{00000000-0005-0000-0000-0000701F0000}"/>
    <cellStyle name="Normal 9 2 4 2 7 2" xfId="14215" xr:uid="{88753F75-8982-49FF-A54C-CEF03E67BB23}"/>
    <cellStyle name="Normal 9 2 4 2 8" xfId="9064" xr:uid="{7D4090C3-C767-4FFF-8A1F-282B2C8BAE68}"/>
    <cellStyle name="Normal 9 2 4 2 8 2" xfId="18388" xr:uid="{596F2F3A-6A45-4F1F-818A-6C0CF0956187}"/>
    <cellStyle name="Normal 9 2 4 2 9" xfId="9998" xr:uid="{E375BD8E-FAAF-4AE1-90F0-9898DA8F7080}"/>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DB771FBA-DC5D-4DBE-8F6D-4193437260D2}"/>
    <cellStyle name="Normal 9 2 4 3 2 3" xfId="12555" xr:uid="{D4152E49-DB0D-48D7-8953-1FF0C2FA388E}"/>
    <cellStyle name="Normal 9 2 4 3 3" xfId="5301" xr:uid="{00000000-0005-0000-0000-0000741F0000}"/>
    <cellStyle name="Normal 9 2 4 3 3 2" xfId="14627" xr:uid="{6E444F44-844A-47F2-9019-FC95A74FE5F0}"/>
    <cellStyle name="Normal 9 2 4 3 4" xfId="9282" xr:uid="{2471E5AC-3D06-4E90-9462-C54FACA9B22B}"/>
    <cellStyle name="Normal 9 2 4 3 4 2" xfId="18597" xr:uid="{5B027DD9-A20F-42C1-955E-7EE61149DFFA}"/>
    <cellStyle name="Normal 9 2 4 3 5" xfId="10410" xr:uid="{C3C69A65-6AB7-4302-A41C-794D694161FE}"/>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82024462-1403-47DF-8900-84121058CB1D}"/>
    <cellStyle name="Normal 9 2 4 4 2 3" xfId="12968" xr:uid="{1CFE7A25-7EA2-40AA-AA01-8F79D7A8989C}"/>
    <cellStyle name="Normal 9 2 4 4 3" xfId="5714" xr:uid="{00000000-0005-0000-0000-0000781F0000}"/>
    <cellStyle name="Normal 9 2 4 4 3 2" xfId="15040" xr:uid="{59C682F0-BA09-4DC9-B73D-4AE7BBB5D061}"/>
    <cellStyle name="Normal 9 2 4 4 4" xfId="10823" xr:uid="{01A2D074-CCD2-46DD-A88C-27AC4CB46DF4}"/>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AE6BBC52-5116-4C97-8B93-70335EB4D727}"/>
    <cellStyle name="Normal 9 2 4 5 2 3" xfId="13381" xr:uid="{7803224D-CACF-4C1E-BE22-44F9C802B374}"/>
    <cellStyle name="Normal 9 2 4 5 3" xfId="6127" xr:uid="{00000000-0005-0000-0000-00007C1F0000}"/>
    <cellStyle name="Normal 9 2 4 5 3 2" xfId="15453" xr:uid="{3CD21C0A-177D-4690-9E5D-0ADC9C2AABEE}"/>
    <cellStyle name="Normal 9 2 4 5 4" xfId="11236" xr:uid="{D156EAD6-F9CA-4DFB-93F3-BC9CBB4C9AED}"/>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3450DAEA-79F6-42C3-B85C-60331491AF77}"/>
    <cellStyle name="Normal 9 2 4 6 2 3" xfId="13794" xr:uid="{7EBFA0B8-EA9D-4508-B9B6-3C4BD8841650}"/>
    <cellStyle name="Normal 9 2 4 6 3" xfId="6540" xr:uid="{00000000-0005-0000-0000-0000801F0000}"/>
    <cellStyle name="Normal 9 2 4 6 3 2" xfId="15866" xr:uid="{81CB89BC-6ED8-43A2-B936-2A03B6BD2E12}"/>
    <cellStyle name="Normal 9 2 4 6 4" xfId="11649" xr:uid="{7A545545-DD6D-4E4C-9ED6-55C7C3BB15ED}"/>
    <cellStyle name="Normal 9 2 4 7" xfId="2670" xr:uid="{00000000-0005-0000-0000-0000811F0000}"/>
    <cellStyle name="Normal 9 2 4 7 2" xfId="6953" xr:uid="{00000000-0005-0000-0000-0000821F0000}"/>
    <cellStyle name="Normal 9 2 4 7 2 2" xfId="16279" xr:uid="{B64340DA-013B-4B0C-89F3-ECDC6E8C6B4C}"/>
    <cellStyle name="Normal 9 2 4 7 3" xfId="12062" xr:uid="{23D6CCC2-DD35-49A7-B328-5FC55663D0E5}"/>
    <cellStyle name="Normal 9 2 4 8" xfId="4888" xr:uid="{00000000-0005-0000-0000-0000831F0000}"/>
    <cellStyle name="Normal 9 2 4 8 2" xfId="14214" xr:uid="{2E0EADD2-85AC-47D8-AFF9-F3CE69632267}"/>
    <cellStyle name="Normal 9 2 4 9" xfId="8857" xr:uid="{D785C0E6-B403-4CCC-AB0B-78E822EF1E40}"/>
    <cellStyle name="Normal 9 2 4 9 2" xfId="18181" xr:uid="{598E4FC5-83C4-43DD-9362-06E3840E73AD}"/>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BD542DCD-52A7-4823-8052-D6941D49CFF1}"/>
    <cellStyle name="Normal 9 2 5 2 2 3" xfId="12557" xr:uid="{E512B872-104E-4E48-AA12-9EEE7EB4D8A8}"/>
    <cellStyle name="Normal 9 2 5 2 3" xfId="5303" xr:uid="{00000000-0005-0000-0000-0000881F0000}"/>
    <cellStyle name="Normal 9 2 5 2 3 2" xfId="14629" xr:uid="{9D3759A6-D726-4464-AC63-7BF579F75232}"/>
    <cellStyle name="Normal 9 2 5 2 4" xfId="9398" xr:uid="{5B2A416E-986C-4898-8893-9EAFDDDBCDD4}"/>
    <cellStyle name="Normal 9 2 5 2 4 2" xfId="18713" xr:uid="{2C08067A-E9AE-41AF-B3BE-383BE18271B9}"/>
    <cellStyle name="Normal 9 2 5 2 5" xfId="10412" xr:uid="{27D61DCC-B8A6-4D4E-BCF8-2A22F2122429}"/>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0113A3D6-4D05-4E92-8152-7A579E3B4CB4}"/>
    <cellStyle name="Normal 9 2 5 3 2 3" xfId="12970" xr:uid="{78B90817-46C0-474E-9BF6-C1DAEDEFE092}"/>
    <cellStyle name="Normal 9 2 5 3 3" xfId="5716" xr:uid="{00000000-0005-0000-0000-00008C1F0000}"/>
    <cellStyle name="Normal 9 2 5 3 3 2" xfId="15042" xr:uid="{532DE0E4-3F71-4AB9-9C20-06ABCF7E2042}"/>
    <cellStyle name="Normal 9 2 5 3 4" xfId="10825" xr:uid="{2073381F-3682-4ED6-BA31-E0526B74B8E4}"/>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6D417BB8-C11C-4A7D-B30C-35D2B7FDD507}"/>
    <cellStyle name="Normal 9 2 5 4 2 3" xfId="13383" xr:uid="{2D677855-3EE2-40C3-BEFA-A4671E09F3EF}"/>
    <cellStyle name="Normal 9 2 5 4 3" xfId="6129" xr:uid="{00000000-0005-0000-0000-0000901F0000}"/>
    <cellStyle name="Normal 9 2 5 4 3 2" xfId="15455" xr:uid="{43940128-5347-4198-B03F-CB28FCBC4EC7}"/>
    <cellStyle name="Normal 9 2 5 4 4" xfId="11238" xr:uid="{4F311364-4673-40E8-931B-CD1FF14E499F}"/>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D0E340D7-9578-43A9-A72D-C3A241BA1D15}"/>
    <cellStyle name="Normal 9 2 5 5 2 3" xfId="13796" xr:uid="{39756F60-57C3-4263-8999-DF8E9271B375}"/>
    <cellStyle name="Normal 9 2 5 5 3" xfId="6542" xr:uid="{00000000-0005-0000-0000-0000941F0000}"/>
    <cellStyle name="Normal 9 2 5 5 3 2" xfId="15868" xr:uid="{7D5D7BE7-8010-46F1-9431-1611A3C5B8FB}"/>
    <cellStyle name="Normal 9 2 5 5 4" xfId="11651" xr:uid="{1927C688-243D-4D39-BB30-3B7BB3EE3E5E}"/>
    <cellStyle name="Normal 9 2 5 6" xfId="2672" xr:uid="{00000000-0005-0000-0000-0000951F0000}"/>
    <cellStyle name="Normal 9 2 5 6 2" xfId="6955" xr:uid="{00000000-0005-0000-0000-0000961F0000}"/>
    <cellStyle name="Normal 9 2 5 6 2 2" xfId="16281" xr:uid="{E2F14595-5B66-4DF5-A603-39A23949ECD4}"/>
    <cellStyle name="Normal 9 2 5 6 3" xfId="12064" xr:uid="{20CF019F-0A21-45F1-994D-D612F83F166D}"/>
    <cellStyle name="Normal 9 2 5 7" xfId="4890" xr:uid="{00000000-0005-0000-0000-0000971F0000}"/>
    <cellStyle name="Normal 9 2 5 7 2" xfId="14216" xr:uid="{E976B1C1-E341-49FF-8945-49A1F9CFDA03}"/>
    <cellStyle name="Normal 9 2 5 8" xfId="8973" xr:uid="{BA9464C2-72F7-4B38-B1BD-6986FFA433D9}"/>
    <cellStyle name="Normal 9 2 5 8 2" xfId="18297" xr:uid="{1D856412-C2A3-4C10-994B-CD89CFABB59A}"/>
    <cellStyle name="Normal 9 2 5 9" xfId="9999" xr:uid="{64E83C17-55EE-4794-A9A9-587AE9CA0DDE}"/>
    <cellStyle name="Normal 9 2 6" xfId="978" xr:uid="{00000000-0005-0000-0000-0000981F0000}"/>
    <cellStyle name="Normal 9 2 6 2" xfId="3211" xr:uid="{00000000-0005-0000-0000-0000991F0000}"/>
    <cellStyle name="Normal 9 2 6 2 2" xfId="7433" xr:uid="{00000000-0005-0000-0000-00009A1F0000}"/>
    <cellStyle name="Normal 9 2 6 2 2 2" xfId="16759" xr:uid="{C843030E-135E-4683-9D3E-D71C139A5FE5}"/>
    <cellStyle name="Normal 9 2 6 2 3" xfId="12542" xr:uid="{B1A00297-2C61-4F5E-A212-31C811145F2D}"/>
    <cellStyle name="Normal 9 2 6 3" xfId="5288" xr:uid="{00000000-0005-0000-0000-00009B1F0000}"/>
    <cellStyle name="Normal 9 2 6 3 2" xfId="14614" xr:uid="{B363D42B-50C2-44DC-A0C3-60208DDE37FB}"/>
    <cellStyle name="Normal 9 2 6 4" xfId="9176" xr:uid="{F3933A08-5B20-47C9-B0FC-7B73F4B0BA7D}"/>
    <cellStyle name="Normal 9 2 6 4 2" xfId="18494" xr:uid="{A16D871C-027C-46F7-92DA-6D9D20DCD65E}"/>
    <cellStyle name="Normal 9 2 6 5" xfId="10397" xr:uid="{6F655039-0F78-4FD4-A63A-3250546F7121}"/>
    <cellStyle name="Normal 9 2 7" xfId="1394" xr:uid="{00000000-0005-0000-0000-00009C1F0000}"/>
    <cellStyle name="Normal 9 2 7 2" xfId="3624" xr:uid="{00000000-0005-0000-0000-00009D1F0000}"/>
    <cellStyle name="Normal 9 2 7 2 2" xfId="7846" xr:uid="{00000000-0005-0000-0000-00009E1F0000}"/>
    <cellStyle name="Normal 9 2 7 2 2 2" xfId="17172" xr:uid="{3435E1B8-64CE-4150-ADFD-EDC773D34795}"/>
    <cellStyle name="Normal 9 2 7 2 3" xfId="12955" xr:uid="{E0CDAF06-BAAD-4347-A4F5-EADEB004714C}"/>
    <cellStyle name="Normal 9 2 7 3" xfId="5701" xr:uid="{00000000-0005-0000-0000-00009F1F0000}"/>
    <cellStyle name="Normal 9 2 7 3 2" xfId="15027" xr:uid="{54999717-6D2D-4530-A419-7DA25BA710BF}"/>
    <cellStyle name="Normal 9 2 7 4" xfId="10810" xr:uid="{718D125B-2537-40C4-8729-DF8F7878F8D8}"/>
    <cellStyle name="Normal 9 2 8" xfId="1807" xr:uid="{00000000-0005-0000-0000-0000A01F0000}"/>
    <cellStyle name="Normal 9 2 8 2" xfId="4037" xr:uid="{00000000-0005-0000-0000-0000A11F0000}"/>
    <cellStyle name="Normal 9 2 8 2 2" xfId="8259" xr:uid="{00000000-0005-0000-0000-0000A21F0000}"/>
    <cellStyle name="Normal 9 2 8 2 2 2" xfId="17585" xr:uid="{AE183426-0900-4D37-8CD7-13EB2A7BB2FB}"/>
    <cellStyle name="Normal 9 2 8 2 3" xfId="13368" xr:uid="{EB091AFF-E47B-4CE6-A78A-D2FF12B4A00A}"/>
    <cellStyle name="Normal 9 2 8 3" xfId="6114" xr:uid="{00000000-0005-0000-0000-0000A31F0000}"/>
    <cellStyle name="Normal 9 2 8 3 2" xfId="15440" xr:uid="{EF0F9BBE-78FA-41C4-86DF-0968DF5F67A5}"/>
    <cellStyle name="Normal 9 2 8 4" xfId="11223" xr:uid="{92117FB1-7267-4D5F-8681-2B5083E72F3F}"/>
    <cellStyle name="Normal 9 2 9" xfId="2221" xr:uid="{00000000-0005-0000-0000-0000A41F0000}"/>
    <cellStyle name="Normal 9 2 9 2" xfId="4450" xr:uid="{00000000-0005-0000-0000-0000A51F0000}"/>
    <cellStyle name="Normal 9 2 9 2 2" xfId="8672" xr:uid="{00000000-0005-0000-0000-0000A61F0000}"/>
    <cellStyle name="Normal 9 2 9 2 2 2" xfId="17998" xr:uid="{EC637AE5-9137-4924-BAA6-9864A7367E4C}"/>
    <cellStyle name="Normal 9 2 9 2 3" xfId="13781" xr:uid="{6AC7C5A0-EE4A-4C6C-AF9B-C49A52D5668D}"/>
    <cellStyle name="Normal 9 2 9 3" xfId="6527" xr:uid="{00000000-0005-0000-0000-0000A71F0000}"/>
    <cellStyle name="Normal 9 2 9 3 2" xfId="15853" xr:uid="{9B5A7868-8608-4D84-A474-CEB09D8B7289}"/>
    <cellStyle name="Normal 9 2 9 4" xfId="11636" xr:uid="{8C2681E6-0EB4-48F1-A7A6-CAA7B4E4541E}"/>
    <cellStyle name="Normal 9 3" xfId="527" xr:uid="{00000000-0005-0000-0000-0000A81F0000}"/>
    <cellStyle name="Normal 9 3 10" xfId="4891" xr:uid="{00000000-0005-0000-0000-0000A91F0000}"/>
    <cellStyle name="Normal 9 3 10 2" xfId="14217" xr:uid="{6EC68991-47FB-4572-B3AE-F3ECB172F0C5}"/>
    <cellStyle name="Normal 9 3 11" xfId="8777" xr:uid="{1F3D7E21-FC22-4F0C-9371-3D8250746BB7}"/>
    <cellStyle name="Normal 9 3 11 2" xfId="18101" xr:uid="{102E50E0-1269-4BFC-8C5D-693BA500CB7C}"/>
    <cellStyle name="Normal 9 3 12" xfId="10000" xr:uid="{EE8FBDFC-2B67-443B-AE58-C83DC3E9ABF8}"/>
    <cellStyle name="Normal 9 3 2" xfId="528" xr:uid="{00000000-0005-0000-0000-0000AA1F0000}"/>
    <cellStyle name="Normal 9 3 2 10" xfId="8840" xr:uid="{94797BE2-1721-4871-A768-79D4D45F48BB}"/>
    <cellStyle name="Normal 9 3 2 10 2" xfId="18164" xr:uid="{719C812D-6928-4A46-8AA9-58379F81C4B6}"/>
    <cellStyle name="Normal 9 3 2 11" xfId="10001" xr:uid="{0AAF0DE5-8FB5-4261-B638-7C96A5A692AE}"/>
    <cellStyle name="Normal 9 3 2 2" xfId="529" xr:uid="{00000000-0005-0000-0000-0000AB1F0000}"/>
    <cellStyle name="Normal 9 3 2 2 10" xfId="10002" xr:uid="{2EF5809D-2F94-40F3-ADDE-635B3FE4B0E3}"/>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51A177CC-FE71-4295-87ED-3ADDE39168CE}"/>
    <cellStyle name="Normal 9 3 2 2 2 2 2 3" xfId="12561" xr:uid="{3B915534-6EDD-4333-BD85-0CD9EF63083B}"/>
    <cellStyle name="Normal 9 3 2 2 2 2 3" xfId="5307" xr:uid="{00000000-0005-0000-0000-0000B01F0000}"/>
    <cellStyle name="Normal 9 3 2 2 2 2 3 2" xfId="14633" xr:uid="{7AB86E8E-6827-404E-92B0-1E38EDB3FB4B}"/>
    <cellStyle name="Normal 9 3 2 2 2 2 4" xfId="9575" xr:uid="{DA05DE06-1987-4B8E-8439-C692853FF296}"/>
    <cellStyle name="Normal 9 3 2 2 2 2 4 2" xfId="18890" xr:uid="{300ED6A4-D445-4418-A101-60136B0D8CF4}"/>
    <cellStyle name="Normal 9 3 2 2 2 2 5" xfId="10416" xr:uid="{F37A6ABF-858E-48A8-A58B-F053F93074E1}"/>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49CF4BDF-22AF-4548-B4D9-970A66A1826B}"/>
    <cellStyle name="Normal 9 3 2 2 2 3 2 3" xfId="12974" xr:uid="{E721632B-1792-42BF-8A89-231EDC4604E0}"/>
    <cellStyle name="Normal 9 3 2 2 2 3 3" xfId="5720" xr:uid="{00000000-0005-0000-0000-0000B41F0000}"/>
    <cellStyle name="Normal 9 3 2 2 2 3 3 2" xfId="15046" xr:uid="{E8EBF8F8-C180-4554-A66E-19B3D737289D}"/>
    <cellStyle name="Normal 9 3 2 2 2 3 4" xfId="10829" xr:uid="{2BEF5100-6FA7-46E5-B7C1-213ECDCF7D0E}"/>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2372598E-CF1B-4691-8E5B-797ACFB78D8E}"/>
    <cellStyle name="Normal 9 3 2 2 2 4 2 3" xfId="13387" xr:uid="{99582599-D055-425B-A4B9-477C1EE5D314}"/>
    <cellStyle name="Normal 9 3 2 2 2 4 3" xfId="6133" xr:uid="{00000000-0005-0000-0000-0000B81F0000}"/>
    <cellStyle name="Normal 9 3 2 2 2 4 3 2" xfId="15459" xr:uid="{F4DBC018-E918-4F4A-9BED-E17D057FB6D2}"/>
    <cellStyle name="Normal 9 3 2 2 2 4 4" xfId="11242" xr:uid="{3DC02EED-1EC6-447B-B93F-C1F5F83AA92E}"/>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190B6419-6268-498B-9C77-8E7BA131EDD2}"/>
    <cellStyle name="Normal 9 3 2 2 2 5 2 3" xfId="13800" xr:uid="{099FA8A9-6CB7-4AC2-BC96-A2E6DF228677}"/>
    <cellStyle name="Normal 9 3 2 2 2 5 3" xfId="6546" xr:uid="{00000000-0005-0000-0000-0000BC1F0000}"/>
    <cellStyle name="Normal 9 3 2 2 2 5 3 2" xfId="15872" xr:uid="{76359706-3CFC-4DD2-B0C9-9A62EAA13F2F}"/>
    <cellStyle name="Normal 9 3 2 2 2 5 4" xfId="11655" xr:uid="{DDB6162A-AF46-40D6-AF3E-EBD76D6013BF}"/>
    <cellStyle name="Normal 9 3 2 2 2 6" xfId="2676" xr:uid="{00000000-0005-0000-0000-0000BD1F0000}"/>
    <cellStyle name="Normal 9 3 2 2 2 6 2" xfId="6959" xr:uid="{00000000-0005-0000-0000-0000BE1F0000}"/>
    <cellStyle name="Normal 9 3 2 2 2 6 2 2" xfId="16285" xr:uid="{7A94F291-7728-42E2-8CC4-E02715CD38FA}"/>
    <cellStyle name="Normal 9 3 2 2 2 6 3" xfId="12068" xr:uid="{682E95D9-0ABC-4F29-A402-391106EF7323}"/>
    <cellStyle name="Normal 9 3 2 2 2 7" xfId="4894" xr:uid="{00000000-0005-0000-0000-0000BF1F0000}"/>
    <cellStyle name="Normal 9 3 2 2 2 7 2" xfId="14220" xr:uid="{0590D8B0-E5B2-43D2-9DCB-DF0D3B87CDC1}"/>
    <cellStyle name="Normal 9 3 2 2 2 8" xfId="9150" xr:uid="{F54F74BE-A583-4C94-A198-8E0D27AD7F4F}"/>
    <cellStyle name="Normal 9 3 2 2 2 8 2" xfId="18474" xr:uid="{A1E0A6E5-3692-4D0C-82F3-6EFCCC098886}"/>
    <cellStyle name="Normal 9 3 2 2 2 9" xfId="10003" xr:uid="{2BFF9D2E-19EB-4157-A68E-2821A229F72D}"/>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ACB4A260-11F3-434C-8790-AAD460A4E83F}"/>
    <cellStyle name="Normal 9 3 2 2 3 2 3" xfId="12560" xr:uid="{0189EF98-847B-451E-8BC9-71B571890BA1}"/>
    <cellStyle name="Normal 9 3 2 2 3 3" xfId="5306" xr:uid="{00000000-0005-0000-0000-0000C31F0000}"/>
    <cellStyle name="Normal 9 3 2 2 3 3 2" xfId="14632" xr:uid="{6EE79D9E-E74F-42E3-9465-D30B5EF80438}"/>
    <cellStyle name="Normal 9 3 2 2 3 4" xfId="9368" xr:uid="{B3189122-1774-442D-BD5B-8DA329618536}"/>
    <cellStyle name="Normal 9 3 2 2 3 4 2" xfId="18683" xr:uid="{A8EE2D5D-270B-4D2C-849F-9C438CC43959}"/>
    <cellStyle name="Normal 9 3 2 2 3 5" xfId="10415" xr:uid="{00F44253-E28D-444F-B4C8-BA58A0F9336B}"/>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E0A071BD-37F9-4824-B78B-AF5A66669EEA}"/>
    <cellStyle name="Normal 9 3 2 2 4 2 3" xfId="12973" xr:uid="{42AFDDA0-504A-4483-9C98-12C8F34F4EE8}"/>
    <cellStyle name="Normal 9 3 2 2 4 3" xfId="5719" xr:uid="{00000000-0005-0000-0000-0000C71F0000}"/>
    <cellStyle name="Normal 9 3 2 2 4 3 2" xfId="15045" xr:uid="{7B9D37A4-C84D-4C6B-92F7-EDC331678FE3}"/>
    <cellStyle name="Normal 9 3 2 2 4 4" xfId="10828" xr:uid="{423A043B-ECF9-435E-9A02-1DA89FB734A2}"/>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65BD2BB0-3FE6-41AD-9864-76E090D50C82}"/>
    <cellStyle name="Normal 9 3 2 2 5 2 3" xfId="13386" xr:uid="{479B16FD-9598-4A21-A560-BFEDA0237336}"/>
    <cellStyle name="Normal 9 3 2 2 5 3" xfId="6132" xr:uid="{00000000-0005-0000-0000-0000CB1F0000}"/>
    <cellStyle name="Normal 9 3 2 2 5 3 2" xfId="15458" xr:uid="{27658715-6548-4426-9227-2891A433DF7F}"/>
    <cellStyle name="Normal 9 3 2 2 5 4" xfId="11241" xr:uid="{C2D5BB77-DDDD-46A2-9B5C-AB0130270F59}"/>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1CB9D96F-32DC-4A8C-8999-6EA85F2F3B4A}"/>
    <cellStyle name="Normal 9 3 2 2 6 2 3" xfId="13799" xr:uid="{474778E7-10DE-4DD1-A38C-6D57471B517B}"/>
    <cellStyle name="Normal 9 3 2 2 6 3" xfId="6545" xr:uid="{00000000-0005-0000-0000-0000CF1F0000}"/>
    <cellStyle name="Normal 9 3 2 2 6 3 2" xfId="15871" xr:uid="{9061C03C-7A31-46A5-94F6-0B6101375E8E}"/>
    <cellStyle name="Normal 9 3 2 2 6 4" xfId="11654" xr:uid="{813AD513-80FE-44CB-B52E-8845070CDF1D}"/>
    <cellStyle name="Normal 9 3 2 2 7" xfId="2675" xr:uid="{00000000-0005-0000-0000-0000D01F0000}"/>
    <cellStyle name="Normal 9 3 2 2 7 2" xfId="6958" xr:uid="{00000000-0005-0000-0000-0000D11F0000}"/>
    <cellStyle name="Normal 9 3 2 2 7 2 2" xfId="16284" xr:uid="{555CBD4C-6108-40E3-881C-75C7E1B2BF36}"/>
    <cellStyle name="Normal 9 3 2 2 7 3" xfId="12067" xr:uid="{1064742B-DA47-4872-B504-B102FD50C3D3}"/>
    <cellStyle name="Normal 9 3 2 2 8" xfId="4893" xr:uid="{00000000-0005-0000-0000-0000D21F0000}"/>
    <cellStyle name="Normal 9 3 2 2 8 2" xfId="14219" xr:uid="{4842A021-226C-4E57-AB38-C1D700E2A10F}"/>
    <cellStyle name="Normal 9 3 2 2 9" xfId="8943" xr:uid="{1E59706A-169E-45B8-A6E4-1A0514B9DDBD}"/>
    <cellStyle name="Normal 9 3 2 2 9 2" xfId="18267" xr:uid="{8D53048F-ED2C-46F3-86DC-821E3B1A1A09}"/>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7A1983A8-74C1-4B53-86A4-0534C800A186}"/>
    <cellStyle name="Normal 9 3 2 3 2 2 3" xfId="12562" xr:uid="{4CE589E7-2A72-4AD1-B3FE-E31B1E79BAE7}"/>
    <cellStyle name="Normal 9 3 2 3 2 3" xfId="5308" xr:uid="{00000000-0005-0000-0000-0000D71F0000}"/>
    <cellStyle name="Normal 9 3 2 3 2 3 2" xfId="14634" xr:uid="{0FCF7FE1-DDE8-46F1-B2C6-A10CD2EF28AB}"/>
    <cellStyle name="Normal 9 3 2 3 2 4" xfId="9472" xr:uid="{427A8E71-9BC4-47C0-A855-6886AF96C97E}"/>
    <cellStyle name="Normal 9 3 2 3 2 4 2" xfId="18787" xr:uid="{6947C504-2D7D-4124-9774-2C88E5341024}"/>
    <cellStyle name="Normal 9 3 2 3 2 5" xfId="10417" xr:uid="{C30FF4BA-4581-4EDA-B00B-D7CE867EB493}"/>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EC782D56-5D0F-4BDF-A91E-3DAA9982AA49}"/>
    <cellStyle name="Normal 9 3 2 3 3 2 3" xfId="12975" xr:uid="{8E47AC72-07EC-42BA-B429-30F0A48E91C9}"/>
    <cellStyle name="Normal 9 3 2 3 3 3" xfId="5721" xr:uid="{00000000-0005-0000-0000-0000DB1F0000}"/>
    <cellStyle name="Normal 9 3 2 3 3 3 2" xfId="15047" xr:uid="{795BD496-2F93-4825-AFBA-D181D4F99A95}"/>
    <cellStyle name="Normal 9 3 2 3 3 4" xfId="10830" xr:uid="{471274AA-CB0E-471E-B6DE-36B6D1D72CB9}"/>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B27B2547-1423-45E6-9FD0-1A0FB2A6E2CD}"/>
    <cellStyle name="Normal 9 3 2 3 4 2 3" xfId="13388" xr:uid="{2A350D3B-FBEA-4D6D-B48B-9B44C25E59C6}"/>
    <cellStyle name="Normal 9 3 2 3 4 3" xfId="6134" xr:uid="{00000000-0005-0000-0000-0000DF1F0000}"/>
    <cellStyle name="Normal 9 3 2 3 4 3 2" xfId="15460" xr:uid="{E7C0FA18-30A1-4B08-9208-D503C980FDCE}"/>
    <cellStyle name="Normal 9 3 2 3 4 4" xfId="11243" xr:uid="{CF18940B-E235-4E43-B84B-EAEAB2B0E540}"/>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B126B58D-082A-45FF-802C-52A168107C58}"/>
    <cellStyle name="Normal 9 3 2 3 5 2 3" xfId="13801" xr:uid="{55BA8B60-A118-4959-AA75-EA8352581803}"/>
    <cellStyle name="Normal 9 3 2 3 5 3" xfId="6547" xr:uid="{00000000-0005-0000-0000-0000E31F0000}"/>
    <cellStyle name="Normal 9 3 2 3 5 3 2" xfId="15873" xr:uid="{A80A242B-43C3-47AE-908B-38EDA401E1DF}"/>
    <cellStyle name="Normal 9 3 2 3 5 4" xfId="11656" xr:uid="{557666A6-B560-4E3B-953A-6E553FECA585}"/>
    <cellStyle name="Normal 9 3 2 3 6" xfId="2677" xr:uid="{00000000-0005-0000-0000-0000E41F0000}"/>
    <cellStyle name="Normal 9 3 2 3 6 2" xfId="6960" xr:uid="{00000000-0005-0000-0000-0000E51F0000}"/>
    <cellStyle name="Normal 9 3 2 3 6 2 2" xfId="16286" xr:uid="{984EF471-7F04-4590-9072-13D7166375DD}"/>
    <cellStyle name="Normal 9 3 2 3 6 3" xfId="12069" xr:uid="{AB2A4F1A-69C3-4EC9-971C-BD6953BE3595}"/>
    <cellStyle name="Normal 9 3 2 3 7" xfId="4895" xr:uid="{00000000-0005-0000-0000-0000E61F0000}"/>
    <cellStyle name="Normal 9 3 2 3 7 2" xfId="14221" xr:uid="{980DB95A-AF49-4729-82BC-4585AE28B7ED}"/>
    <cellStyle name="Normal 9 3 2 3 8" xfId="9047" xr:uid="{4CBBBE80-D24B-484D-910E-0072EA0E95DD}"/>
    <cellStyle name="Normal 9 3 2 3 8 2" xfId="18371" xr:uid="{E5801B0C-1D3E-49A9-B9D1-1B7C769FFB83}"/>
    <cellStyle name="Normal 9 3 2 3 9" xfId="10004" xr:uid="{A63B7CBC-2D44-4457-BAEA-533BEBDACC2A}"/>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4814BC36-5FEF-4D60-946B-3FEB47D74AAD}"/>
    <cellStyle name="Normal 9 3 2 4 2 3" xfId="12559" xr:uid="{12F0A3D3-470B-4A3D-8660-2C83CF6B1CDE}"/>
    <cellStyle name="Normal 9 3 2 4 3" xfId="5305" xr:uid="{00000000-0005-0000-0000-0000EA1F0000}"/>
    <cellStyle name="Normal 9 3 2 4 3 2" xfId="14631" xr:uid="{8377E207-79AF-4FF3-8525-8EE8903FC56F}"/>
    <cellStyle name="Normal 9 3 2 4 4" xfId="9265" xr:uid="{BF00A9B8-67BA-48F6-8D48-0E4380D60577}"/>
    <cellStyle name="Normal 9 3 2 4 4 2" xfId="18580" xr:uid="{E00015F6-4B83-4586-A743-050DA20ACF2E}"/>
    <cellStyle name="Normal 9 3 2 4 5" xfId="10414" xr:uid="{269D9EC7-4E8B-4592-BA08-BD5955405FC2}"/>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A008380F-2421-44BD-ABE2-A4EC218D979A}"/>
    <cellStyle name="Normal 9 3 2 5 2 3" xfId="12972" xr:uid="{56409E87-737C-4EB4-88BF-6DC3148175A9}"/>
    <cellStyle name="Normal 9 3 2 5 3" xfId="5718" xr:uid="{00000000-0005-0000-0000-0000EE1F0000}"/>
    <cellStyle name="Normal 9 3 2 5 3 2" xfId="15044" xr:uid="{E92D0BAB-EC46-4FA1-9336-52AC2CF238DF}"/>
    <cellStyle name="Normal 9 3 2 5 4" xfId="10827" xr:uid="{A22E7795-8B93-4D33-956B-9E12B944F478}"/>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E2E22EAC-F4A7-46B2-BB4C-5C7BA9C03D03}"/>
    <cellStyle name="Normal 9 3 2 6 2 3" xfId="13385" xr:uid="{9E6FE74F-7104-466C-8B5F-D41BCE22A2C1}"/>
    <cellStyle name="Normal 9 3 2 6 3" xfId="6131" xr:uid="{00000000-0005-0000-0000-0000F21F0000}"/>
    <cellStyle name="Normal 9 3 2 6 3 2" xfId="15457" xr:uid="{5BCBFC0D-E1AE-410F-AD95-880ED87EC78E}"/>
    <cellStyle name="Normal 9 3 2 6 4" xfId="11240" xr:uid="{7A3E2042-F1C2-4769-98DA-6F19438BF8F6}"/>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C1458D2A-4A56-4CB1-9EF6-CA72F1A8F3C2}"/>
    <cellStyle name="Normal 9 3 2 7 2 3" xfId="13798" xr:uid="{21706F89-B67A-4AC4-A186-ECBFB3B9B853}"/>
    <cellStyle name="Normal 9 3 2 7 3" xfId="6544" xr:uid="{00000000-0005-0000-0000-0000F61F0000}"/>
    <cellStyle name="Normal 9 3 2 7 3 2" xfId="15870" xr:uid="{A6625831-5E18-40A4-BBFC-5194D4433A63}"/>
    <cellStyle name="Normal 9 3 2 7 4" xfId="11653" xr:uid="{6E47B15D-9161-41AD-A6C1-BA2646B7A686}"/>
    <cellStyle name="Normal 9 3 2 8" xfId="2674" xr:uid="{00000000-0005-0000-0000-0000F71F0000}"/>
    <cellStyle name="Normal 9 3 2 8 2" xfId="6957" xr:uid="{00000000-0005-0000-0000-0000F81F0000}"/>
    <cellStyle name="Normal 9 3 2 8 2 2" xfId="16283" xr:uid="{9C76E300-9A35-4F8B-91F7-5B21505A776B}"/>
    <cellStyle name="Normal 9 3 2 8 3" xfId="12066" xr:uid="{7495931C-8EF9-4E51-BCAB-C5FEE6BDE4F4}"/>
    <cellStyle name="Normal 9 3 2 9" xfId="4892" xr:uid="{00000000-0005-0000-0000-0000F91F0000}"/>
    <cellStyle name="Normal 9 3 2 9 2" xfId="14218" xr:uid="{018F3449-F62F-4850-8DC3-5BC5A9AA9F24}"/>
    <cellStyle name="Normal 9 3 3" xfId="532" xr:uid="{00000000-0005-0000-0000-0000FA1F0000}"/>
    <cellStyle name="Normal 9 3 3 10" xfId="10005" xr:uid="{87A3D7A4-8090-4464-8881-E6E8BA59DB04}"/>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D39FE474-DE02-4CC5-99C8-881E8464DDF6}"/>
    <cellStyle name="Normal 9 3 3 2 2 2 3" xfId="12564" xr:uid="{A39DE0D3-51D7-4A0A-A248-5275CD0EC99C}"/>
    <cellStyle name="Normal 9 3 3 2 2 3" xfId="5310" xr:uid="{00000000-0005-0000-0000-0000FF1F0000}"/>
    <cellStyle name="Normal 9 3 3 2 2 3 2" xfId="14636" xr:uid="{4060E15D-3CF0-4429-B910-F83F5F3DACCB}"/>
    <cellStyle name="Normal 9 3 3 2 2 4" xfId="9512" xr:uid="{2D87B26D-94B2-43FF-B3AD-59DF0A117D21}"/>
    <cellStyle name="Normal 9 3 3 2 2 4 2" xfId="18827" xr:uid="{5E104CDD-A9FC-4D48-AA58-6D4AFFE6EE6A}"/>
    <cellStyle name="Normal 9 3 3 2 2 5" xfId="10419" xr:uid="{6F097FD6-4EC8-45B0-922D-DC2798D8ADC2}"/>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1935281F-D283-4DFD-BC02-DF76AA7D1969}"/>
    <cellStyle name="Normal 9 3 3 2 3 2 3" xfId="12977" xr:uid="{392904CA-24D5-42C4-804E-F951A4446D55}"/>
    <cellStyle name="Normal 9 3 3 2 3 3" xfId="5723" xr:uid="{00000000-0005-0000-0000-000003200000}"/>
    <cellStyle name="Normal 9 3 3 2 3 3 2" xfId="15049" xr:uid="{1E5F0823-E1A9-420C-9290-62203228BF3C}"/>
    <cellStyle name="Normal 9 3 3 2 3 4" xfId="10832" xr:uid="{42AF6A5A-E6EA-435D-AA08-A76B957BC7E9}"/>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F4475CED-7558-4D4B-80F0-EBD62BD4149D}"/>
    <cellStyle name="Normal 9 3 3 2 4 2 3" xfId="13390" xr:uid="{9738310C-029E-42CF-93B7-4E74E68AA3DE}"/>
    <cellStyle name="Normal 9 3 3 2 4 3" xfId="6136" xr:uid="{00000000-0005-0000-0000-000007200000}"/>
    <cellStyle name="Normal 9 3 3 2 4 3 2" xfId="15462" xr:uid="{8B1833EA-C25A-4A64-956C-33C4AC892A40}"/>
    <cellStyle name="Normal 9 3 3 2 4 4" xfId="11245" xr:uid="{90F3CE62-B7E9-4D18-A31D-6F207E903B5E}"/>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C17EBBC2-1E98-4E82-92CA-655D450B79C0}"/>
    <cellStyle name="Normal 9 3 3 2 5 2 3" xfId="13803" xr:uid="{177C3ED5-B023-41C8-BE37-896776EB6734}"/>
    <cellStyle name="Normal 9 3 3 2 5 3" xfId="6549" xr:uid="{00000000-0005-0000-0000-00000B200000}"/>
    <cellStyle name="Normal 9 3 3 2 5 3 2" xfId="15875" xr:uid="{4EACF579-7B6E-4DFE-9783-070762183BCD}"/>
    <cellStyle name="Normal 9 3 3 2 5 4" xfId="11658" xr:uid="{0496E8EE-E2B7-47F5-9AC7-9DE3528CDFE2}"/>
    <cellStyle name="Normal 9 3 3 2 6" xfId="2679" xr:uid="{00000000-0005-0000-0000-00000C200000}"/>
    <cellStyle name="Normal 9 3 3 2 6 2" xfId="6962" xr:uid="{00000000-0005-0000-0000-00000D200000}"/>
    <cellStyle name="Normal 9 3 3 2 6 2 2" xfId="16288" xr:uid="{D9DC84DC-5A04-4C65-B4D3-83D9F8B5B084}"/>
    <cellStyle name="Normal 9 3 3 2 6 3" xfId="12071" xr:uid="{8F2AB9DC-BA32-4585-974B-AE1D35ECEE33}"/>
    <cellStyle name="Normal 9 3 3 2 7" xfId="4897" xr:uid="{00000000-0005-0000-0000-00000E200000}"/>
    <cellStyle name="Normal 9 3 3 2 7 2" xfId="14223" xr:uid="{7F8EC7FB-3149-41BC-A058-62399488F5B6}"/>
    <cellStyle name="Normal 9 3 3 2 8" xfId="9087" xr:uid="{B1C8DB1F-59B6-4D6A-B3E7-0CFC4D29D9A9}"/>
    <cellStyle name="Normal 9 3 3 2 8 2" xfId="18411" xr:uid="{43A7DA61-08F4-47AA-A522-875775A998DC}"/>
    <cellStyle name="Normal 9 3 3 2 9" xfId="10006" xr:uid="{0AA2CE3E-9EEC-417F-8384-AFE93CB99F2C}"/>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3F420DC3-F98B-40C9-AF1B-0A30E7DAF52F}"/>
    <cellStyle name="Normal 9 3 3 3 2 3" xfId="12563" xr:uid="{802FB434-F47B-4E52-9311-561898F50347}"/>
    <cellStyle name="Normal 9 3 3 3 3" xfId="5309" xr:uid="{00000000-0005-0000-0000-000012200000}"/>
    <cellStyle name="Normal 9 3 3 3 3 2" xfId="14635" xr:uid="{75748163-D75A-4C86-AE81-C47032D7244A}"/>
    <cellStyle name="Normal 9 3 3 3 4" xfId="9305" xr:uid="{F54F3A88-B268-4905-B4D1-34B996B920C6}"/>
    <cellStyle name="Normal 9 3 3 3 4 2" xfId="18620" xr:uid="{C4B715DA-E47E-4830-8846-E3BDAEB89393}"/>
    <cellStyle name="Normal 9 3 3 3 5" xfId="10418" xr:uid="{40E66432-7ABB-4C4F-8A63-7CF5D3C51BD7}"/>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491B288F-3DEB-4C15-824F-AA1C4F463453}"/>
    <cellStyle name="Normal 9 3 3 4 2 3" xfId="12976" xr:uid="{4F3F9BC3-5DD4-4860-94BB-07FD0557983C}"/>
    <cellStyle name="Normal 9 3 3 4 3" xfId="5722" xr:uid="{00000000-0005-0000-0000-000016200000}"/>
    <cellStyle name="Normal 9 3 3 4 3 2" xfId="15048" xr:uid="{3F017555-0876-4DAB-840F-986B1EB4AF4B}"/>
    <cellStyle name="Normal 9 3 3 4 4" xfId="10831" xr:uid="{3D7F9508-D459-4419-856A-31C91E92CD27}"/>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65A56857-11D8-44BA-965B-067DA5FEEBB9}"/>
    <cellStyle name="Normal 9 3 3 5 2 3" xfId="13389" xr:uid="{18513A61-B56C-44DF-9C42-C0D24E571CEE}"/>
    <cellStyle name="Normal 9 3 3 5 3" xfId="6135" xr:uid="{00000000-0005-0000-0000-00001A200000}"/>
    <cellStyle name="Normal 9 3 3 5 3 2" xfId="15461" xr:uid="{F9CA0497-EAA1-448F-B668-D91AC5CEDDB9}"/>
    <cellStyle name="Normal 9 3 3 5 4" xfId="11244" xr:uid="{5F540D55-1231-4CB1-866B-1D0E4CA7398A}"/>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BC490FCF-B2EC-4BF9-9E25-A061437F5EDD}"/>
    <cellStyle name="Normal 9 3 3 6 2 3" xfId="13802" xr:uid="{8EE16370-394E-4F23-AB79-3CF6BFC42A2B}"/>
    <cellStyle name="Normal 9 3 3 6 3" xfId="6548" xr:uid="{00000000-0005-0000-0000-00001E200000}"/>
    <cellStyle name="Normal 9 3 3 6 3 2" xfId="15874" xr:uid="{B436180C-5A59-475A-8643-589689209535}"/>
    <cellStyle name="Normal 9 3 3 6 4" xfId="11657" xr:uid="{10C01651-619D-4953-B550-C653D2B22128}"/>
    <cellStyle name="Normal 9 3 3 7" xfId="2678" xr:uid="{00000000-0005-0000-0000-00001F200000}"/>
    <cellStyle name="Normal 9 3 3 7 2" xfId="6961" xr:uid="{00000000-0005-0000-0000-000020200000}"/>
    <cellStyle name="Normal 9 3 3 7 2 2" xfId="16287" xr:uid="{B63BBC91-E607-47B8-89BE-39457D1A1825}"/>
    <cellStyle name="Normal 9 3 3 7 3" xfId="12070" xr:uid="{7B702E23-E284-4865-841A-89E0CA73516F}"/>
    <cellStyle name="Normal 9 3 3 8" xfId="4896" xr:uid="{00000000-0005-0000-0000-000021200000}"/>
    <cellStyle name="Normal 9 3 3 8 2" xfId="14222" xr:uid="{EE2B2BA2-9FDC-46AC-903F-BCF06E178838}"/>
    <cellStyle name="Normal 9 3 3 9" xfId="8880" xr:uid="{36521590-FD5B-45F7-80A9-41BA557EA820}"/>
    <cellStyle name="Normal 9 3 3 9 2" xfId="18204" xr:uid="{000ADE27-3444-4CBF-8A2C-2777936C7EF3}"/>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9E5BE95C-F9F0-457D-BB89-02E3204759F1}"/>
    <cellStyle name="Normal 9 3 4 2 2 3" xfId="12565" xr:uid="{80FE1B6F-032C-4C79-B68A-2B44CE9625DB}"/>
    <cellStyle name="Normal 9 3 4 2 3" xfId="5311" xr:uid="{00000000-0005-0000-0000-000026200000}"/>
    <cellStyle name="Normal 9 3 4 2 3 2" xfId="14637" xr:uid="{903B0937-3FDB-46C3-8480-F92CD8AE978B}"/>
    <cellStyle name="Normal 9 3 4 2 4" xfId="9409" xr:uid="{F8EFC02C-357C-44AD-9BF7-6459F3C595DA}"/>
    <cellStyle name="Normal 9 3 4 2 4 2" xfId="18724" xr:uid="{C610FC20-768C-4B75-9AF8-0F75618749A4}"/>
    <cellStyle name="Normal 9 3 4 2 5" xfId="10420" xr:uid="{E8379857-01CB-43F0-94ED-6FCCE61910CE}"/>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C94DFC01-A7C0-4A37-9A51-8DEC10188888}"/>
    <cellStyle name="Normal 9 3 4 3 2 3" xfId="12978" xr:uid="{0544BDBC-4472-42F9-AD62-61D2D52C773E}"/>
    <cellStyle name="Normal 9 3 4 3 3" xfId="5724" xr:uid="{00000000-0005-0000-0000-00002A200000}"/>
    <cellStyle name="Normal 9 3 4 3 3 2" xfId="15050" xr:uid="{85F1A3C8-A0E7-4D83-8ED1-9D4A588B76D6}"/>
    <cellStyle name="Normal 9 3 4 3 4" xfId="10833" xr:uid="{070AD8AE-A0A3-4561-9121-779B8F98E21D}"/>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A59668B8-ED9B-4022-B395-1C0CD9682F69}"/>
    <cellStyle name="Normal 9 3 4 4 2 3" xfId="13391" xr:uid="{B1673E29-DA65-4F41-8B15-C4296249418C}"/>
    <cellStyle name="Normal 9 3 4 4 3" xfId="6137" xr:uid="{00000000-0005-0000-0000-00002E200000}"/>
    <cellStyle name="Normal 9 3 4 4 3 2" xfId="15463" xr:uid="{499C80D7-0D98-4ACB-B244-EF79242B9BEF}"/>
    <cellStyle name="Normal 9 3 4 4 4" xfId="11246" xr:uid="{B85E9DB5-0349-42E3-B4E5-C29FA6442C59}"/>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D30B232A-0436-47C7-9025-A59270EEF156}"/>
    <cellStyle name="Normal 9 3 4 5 2 3" xfId="13804" xr:uid="{9AF98150-D48E-46AD-B650-F738A8EA70D8}"/>
    <cellStyle name="Normal 9 3 4 5 3" xfId="6550" xr:uid="{00000000-0005-0000-0000-000032200000}"/>
    <cellStyle name="Normal 9 3 4 5 3 2" xfId="15876" xr:uid="{1FC8CA34-C38D-4117-BA60-30B2269B3163}"/>
    <cellStyle name="Normal 9 3 4 5 4" xfId="11659" xr:uid="{01D2D1D1-732D-4316-9A76-25BC2F4C0EBD}"/>
    <cellStyle name="Normal 9 3 4 6" xfId="2680" xr:uid="{00000000-0005-0000-0000-000033200000}"/>
    <cellStyle name="Normal 9 3 4 6 2" xfId="6963" xr:uid="{00000000-0005-0000-0000-000034200000}"/>
    <cellStyle name="Normal 9 3 4 6 2 2" xfId="16289" xr:uid="{EAFBCE31-5434-49D8-8CD5-53CDA2BB6FCA}"/>
    <cellStyle name="Normal 9 3 4 6 3" xfId="12072" xr:uid="{027F3083-F22E-40EC-BC77-48E2C336BCA4}"/>
    <cellStyle name="Normal 9 3 4 7" xfId="4898" xr:uid="{00000000-0005-0000-0000-000035200000}"/>
    <cellStyle name="Normal 9 3 4 7 2" xfId="14224" xr:uid="{67DDB80D-E484-4154-A861-A26A165F8CAC}"/>
    <cellStyle name="Normal 9 3 4 8" xfId="8984" xr:uid="{A39B104A-EAEF-4D5B-B504-6104111E924B}"/>
    <cellStyle name="Normal 9 3 4 8 2" xfId="18308" xr:uid="{94D1DB28-DA7F-43E0-B14F-567AED70E18C}"/>
    <cellStyle name="Normal 9 3 4 9" xfId="10007" xr:uid="{883B8534-4D15-4E86-B8EB-96A71E8D0E69}"/>
    <cellStyle name="Normal 9 3 5" xfId="994" xr:uid="{00000000-0005-0000-0000-000036200000}"/>
    <cellStyle name="Normal 9 3 5 2" xfId="3227" xr:uid="{00000000-0005-0000-0000-000037200000}"/>
    <cellStyle name="Normal 9 3 5 2 2" xfId="7449" xr:uid="{00000000-0005-0000-0000-000038200000}"/>
    <cellStyle name="Normal 9 3 5 2 2 2" xfId="16775" xr:uid="{F4D0D796-4D3B-4C76-AEE6-376300CAE695}"/>
    <cellStyle name="Normal 9 3 5 2 3" xfId="12558" xr:uid="{25412DC4-5A26-4CD7-9F80-42E44841F947}"/>
    <cellStyle name="Normal 9 3 5 3" xfId="5304" xr:uid="{00000000-0005-0000-0000-000039200000}"/>
    <cellStyle name="Normal 9 3 5 3 2" xfId="14630" xr:uid="{88FFD92F-5E36-4E0D-8440-2DA09ABF94F3}"/>
    <cellStyle name="Normal 9 3 5 4" xfId="9201" xr:uid="{46D523D7-8DEB-46FB-8F1C-8CE8C2FC3AD3}"/>
    <cellStyle name="Normal 9 3 5 4 2" xfId="18517" xr:uid="{83C08B11-87B5-46F3-A5AC-473351C0BDE4}"/>
    <cellStyle name="Normal 9 3 5 5" xfId="10413" xr:uid="{DE780695-BAFE-42A8-80CA-D31E8035EAC4}"/>
    <cellStyle name="Normal 9 3 6" xfId="1410" xr:uid="{00000000-0005-0000-0000-00003A200000}"/>
    <cellStyle name="Normal 9 3 6 2" xfId="3640" xr:uid="{00000000-0005-0000-0000-00003B200000}"/>
    <cellStyle name="Normal 9 3 6 2 2" xfId="7862" xr:uid="{00000000-0005-0000-0000-00003C200000}"/>
    <cellStyle name="Normal 9 3 6 2 2 2" xfId="17188" xr:uid="{8FDB91CE-A431-4ACA-A1EE-E6F89EEA25AD}"/>
    <cellStyle name="Normal 9 3 6 2 3" xfId="12971" xr:uid="{005F8424-A700-48E5-A983-26FD4AC43F72}"/>
    <cellStyle name="Normal 9 3 6 3" xfId="5717" xr:uid="{00000000-0005-0000-0000-00003D200000}"/>
    <cellStyle name="Normal 9 3 6 3 2" xfId="15043" xr:uid="{7BF51074-8964-48CF-BAB1-3FAC576B736B}"/>
    <cellStyle name="Normal 9 3 6 4" xfId="10826" xr:uid="{54EE51CF-403B-49B8-A466-621331A56ECF}"/>
    <cellStyle name="Normal 9 3 7" xfId="1823" xr:uid="{00000000-0005-0000-0000-00003E200000}"/>
    <cellStyle name="Normal 9 3 7 2" xfId="4053" xr:uid="{00000000-0005-0000-0000-00003F200000}"/>
    <cellStyle name="Normal 9 3 7 2 2" xfId="8275" xr:uid="{00000000-0005-0000-0000-000040200000}"/>
    <cellStyle name="Normal 9 3 7 2 2 2" xfId="17601" xr:uid="{C5FE327E-D162-4778-82CD-B8E324744B9B}"/>
    <cellStyle name="Normal 9 3 7 2 3" xfId="13384" xr:uid="{B2CF270C-D131-4BDD-8AD0-CE96A198ABE7}"/>
    <cellStyle name="Normal 9 3 7 3" xfId="6130" xr:uid="{00000000-0005-0000-0000-000041200000}"/>
    <cellStyle name="Normal 9 3 7 3 2" xfId="15456" xr:uid="{345A918D-6FB7-4C82-880E-484CDCB65A66}"/>
    <cellStyle name="Normal 9 3 7 4" xfId="11239" xr:uid="{96CC494B-3722-456B-8A4A-4D5BB2144595}"/>
    <cellStyle name="Normal 9 3 8" xfId="2237" xr:uid="{00000000-0005-0000-0000-000042200000}"/>
    <cellStyle name="Normal 9 3 8 2" xfId="4466" xr:uid="{00000000-0005-0000-0000-000043200000}"/>
    <cellStyle name="Normal 9 3 8 2 2" xfId="8688" xr:uid="{00000000-0005-0000-0000-000044200000}"/>
    <cellStyle name="Normal 9 3 8 2 2 2" xfId="18014" xr:uid="{F2D5160F-E214-4741-982C-E3EEEB180708}"/>
    <cellStyle name="Normal 9 3 8 2 3" xfId="13797" xr:uid="{6BEC40F2-A797-4A1F-AA87-774FC2A2B30B}"/>
    <cellStyle name="Normal 9 3 8 3" xfId="6543" xr:uid="{00000000-0005-0000-0000-000045200000}"/>
    <cellStyle name="Normal 9 3 8 3 2" xfId="15869" xr:uid="{DAD218AF-6B2F-46D9-B78B-244F4895CC06}"/>
    <cellStyle name="Normal 9 3 8 4" xfId="11652" xr:uid="{A01CCF82-28D7-41E0-9E3B-AC48E1E7BD29}"/>
    <cellStyle name="Normal 9 3 9" xfId="2673" xr:uid="{00000000-0005-0000-0000-000046200000}"/>
    <cellStyle name="Normal 9 3 9 2" xfId="6956" xr:uid="{00000000-0005-0000-0000-000047200000}"/>
    <cellStyle name="Normal 9 3 9 2 2" xfId="16282" xr:uid="{A109D316-861B-401D-8565-4C72645BE096}"/>
    <cellStyle name="Normal 9 3 9 3" xfId="12065" xr:uid="{AADCD0B5-6029-4CAE-A8F5-3F6A0F2DFAFB}"/>
    <cellStyle name="Normal 9 4" xfId="535" xr:uid="{00000000-0005-0000-0000-000048200000}"/>
    <cellStyle name="Normal 9 4 2" xfId="1002" xr:uid="{00000000-0005-0000-0000-000049200000}"/>
    <cellStyle name="Normal 9 5" xfId="536" xr:uid="{00000000-0005-0000-0000-00004A200000}"/>
    <cellStyle name="Normal 9 5 10" xfId="10008" xr:uid="{3EA517D6-55A5-44B5-97D8-7832E2665032}"/>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29BEC9C6-858D-48FD-B971-F03458AF3059}"/>
    <cellStyle name="Normal 9 5 2 2 2 3" xfId="12567" xr:uid="{58194206-02C7-4ED6-AD36-83E8FE5BA968}"/>
    <cellStyle name="Normal 9 5 2 2 3" xfId="5313" xr:uid="{00000000-0005-0000-0000-00004F200000}"/>
    <cellStyle name="Normal 9 5 2 2 3 2" xfId="14639" xr:uid="{81F8C031-5402-4726-A548-EA1459BFB2CB}"/>
    <cellStyle name="Normal 9 5 2 2 4" xfId="9480" xr:uid="{BC9702BE-C2B3-450A-99DF-6FFE7C7A82FD}"/>
    <cellStyle name="Normal 9 5 2 2 4 2" xfId="18795" xr:uid="{1212E233-070E-4EFD-9422-DA07773A057A}"/>
    <cellStyle name="Normal 9 5 2 2 5" xfId="10422" xr:uid="{AAC6B7FF-4F43-4CFA-8F0C-D9F9954DE53E}"/>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6567764F-503E-41AD-A2A9-32D44687FC64}"/>
    <cellStyle name="Normal 9 5 2 3 2 3" xfId="12980" xr:uid="{5BE4BDB2-E71B-446B-80F3-61626425A3B6}"/>
    <cellStyle name="Normal 9 5 2 3 3" xfId="5726" xr:uid="{00000000-0005-0000-0000-000053200000}"/>
    <cellStyle name="Normal 9 5 2 3 3 2" xfId="15052" xr:uid="{1739AE99-79A3-4764-944D-D0F445A2D4DB}"/>
    <cellStyle name="Normal 9 5 2 3 4" xfId="10835" xr:uid="{888FFA69-6535-4C46-9F35-679255E3FA07}"/>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A33C7E9F-D58C-4C63-840A-9E23294790BC}"/>
    <cellStyle name="Normal 9 5 2 4 2 3" xfId="13393" xr:uid="{52287DCE-DBF2-4D78-A753-14E40D283A69}"/>
    <cellStyle name="Normal 9 5 2 4 3" xfId="6139" xr:uid="{00000000-0005-0000-0000-000057200000}"/>
    <cellStyle name="Normal 9 5 2 4 3 2" xfId="15465" xr:uid="{410B57D6-A441-4434-BE06-4305D856519C}"/>
    <cellStyle name="Normal 9 5 2 4 4" xfId="11248" xr:uid="{88050484-CCCF-4117-AA96-427C77480AC2}"/>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BC3327FA-9B46-48D4-BC95-B49D399420A1}"/>
    <cellStyle name="Normal 9 5 2 5 2 3" xfId="13806" xr:uid="{657B2A12-DB35-45AF-BD1C-0B73C90621B1}"/>
    <cellStyle name="Normal 9 5 2 5 3" xfId="6552" xr:uid="{00000000-0005-0000-0000-00005B200000}"/>
    <cellStyle name="Normal 9 5 2 5 3 2" xfId="15878" xr:uid="{75BED4E6-6628-4817-8B3E-8D0A3D300120}"/>
    <cellStyle name="Normal 9 5 2 5 4" xfId="11661" xr:uid="{9BB5B086-A431-4E1B-96F1-CBDDC1860790}"/>
    <cellStyle name="Normal 9 5 2 6" xfId="2682" xr:uid="{00000000-0005-0000-0000-00005C200000}"/>
    <cellStyle name="Normal 9 5 2 6 2" xfId="6965" xr:uid="{00000000-0005-0000-0000-00005D200000}"/>
    <cellStyle name="Normal 9 5 2 6 2 2" xfId="16291" xr:uid="{325CE189-68A2-44DA-AC6F-748A12502697}"/>
    <cellStyle name="Normal 9 5 2 6 3" xfId="12074" xr:uid="{E3DAD259-6810-4057-ABD9-640C23A4D6C1}"/>
    <cellStyle name="Normal 9 5 2 7" xfId="4900" xr:uid="{00000000-0005-0000-0000-00005E200000}"/>
    <cellStyle name="Normal 9 5 2 7 2" xfId="14226" xr:uid="{B92023A8-E08E-407F-A834-D822FAC3D57C}"/>
    <cellStyle name="Normal 9 5 2 8" xfId="9055" xr:uid="{3DD071E2-A4B3-45E3-9F20-3C2D5AEE5CB2}"/>
    <cellStyle name="Normal 9 5 2 8 2" xfId="18379" xr:uid="{C0F54883-F184-42F9-AF93-F22FA8AEFE66}"/>
    <cellStyle name="Normal 9 5 2 9" xfId="10009" xr:uid="{E0D65884-28BD-4E56-8525-DB217BAC74A3}"/>
    <cellStyle name="Normal 9 5 3" xfId="1003" xr:uid="{00000000-0005-0000-0000-00005F200000}"/>
    <cellStyle name="Normal 9 5 3 2" xfId="3235" xr:uid="{00000000-0005-0000-0000-000060200000}"/>
    <cellStyle name="Normal 9 5 3 2 2" xfId="7457" xr:uid="{00000000-0005-0000-0000-000061200000}"/>
    <cellStyle name="Normal 9 5 3 2 2 2" xfId="16783" xr:uid="{A017ABD7-F225-443E-8BE5-47E1E8A57ABF}"/>
    <cellStyle name="Normal 9 5 3 2 3" xfId="12566" xr:uid="{E51223F2-01C3-40E8-9E9E-36D89D15AC60}"/>
    <cellStyle name="Normal 9 5 3 3" xfId="5312" xr:uid="{00000000-0005-0000-0000-000062200000}"/>
    <cellStyle name="Normal 9 5 3 3 2" xfId="14638" xr:uid="{B1FD9A72-B1B3-4459-AF7B-24A41250B9C2}"/>
    <cellStyle name="Normal 9 5 3 4" xfId="9273" xr:uid="{AE6CB61B-02C5-436E-A328-3B2AC8AC9E53}"/>
    <cellStyle name="Normal 9 5 3 4 2" xfId="18588" xr:uid="{308350B1-B789-43AF-801E-833A86E39252}"/>
    <cellStyle name="Normal 9 5 3 5" xfId="10421" xr:uid="{8A672750-BEF5-423E-9635-096A3DC8BF67}"/>
    <cellStyle name="Normal 9 5 4" xfId="1418" xr:uid="{00000000-0005-0000-0000-000063200000}"/>
    <cellStyle name="Normal 9 5 4 2" xfId="3648" xr:uid="{00000000-0005-0000-0000-000064200000}"/>
    <cellStyle name="Normal 9 5 4 2 2" xfId="7870" xr:uid="{00000000-0005-0000-0000-000065200000}"/>
    <cellStyle name="Normal 9 5 4 2 2 2" xfId="17196" xr:uid="{B535ECA7-260F-4CD6-88E2-11D87C569CA8}"/>
    <cellStyle name="Normal 9 5 4 2 3" xfId="12979" xr:uid="{A8D6BDE1-E6BB-4688-9A3B-EBB4D29FD93F}"/>
    <cellStyle name="Normal 9 5 4 3" xfId="5725" xr:uid="{00000000-0005-0000-0000-000066200000}"/>
    <cellStyle name="Normal 9 5 4 3 2" xfId="15051" xr:uid="{4AEF0C3F-AA49-4813-8311-F05C1EF7DA09}"/>
    <cellStyle name="Normal 9 5 4 4" xfId="10834" xr:uid="{C1E8402E-7152-44BB-B943-8D6E3991C6AC}"/>
    <cellStyle name="Normal 9 5 5" xfId="1831" xr:uid="{00000000-0005-0000-0000-000067200000}"/>
    <cellStyle name="Normal 9 5 5 2" xfId="4061" xr:uid="{00000000-0005-0000-0000-000068200000}"/>
    <cellStyle name="Normal 9 5 5 2 2" xfId="8283" xr:uid="{00000000-0005-0000-0000-000069200000}"/>
    <cellStyle name="Normal 9 5 5 2 2 2" xfId="17609" xr:uid="{E777B511-9956-43A9-B77A-54706F161602}"/>
    <cellStyle name="Normal 9 5 5 2 3" xfId="13392" xr:uid="{F3C6B0F5-B377-487C-9965-7BAF1DFC7DA7}"/>
    <cellStyle name="Normal 9 5 5 3" xfId="6138" xr:uid="{00000000-0005-0000-0000-00006A200000}"/>
    <cellStyle name="Normal 9 5 5 3 2" xfId="15464" xr:uid="{8BF2130F-8FBD-4358-B6CC-6030E47AA397}"/>
    <cellStyle name="Normal 9 5 5 4" xfId="11247" xr:uid="{5D41FFAE-AE00-4F6F-9528-1C520D1E4480}"/>
    <cellStyle name="Normal 9 5 6" xfId="2245" xr:uid="{00000000-0005-0000-0000-00006B200000}"/>
    <cellStyle name="Normal 9 5 6 2" xfId="4474" xr:uid="{00000000-0005-0000-0000-00006C200000}"/>
    <cellStyle name="Normal 9 5 6 2 2" xfId="8696" xr:uid="{00000000-0005-0000-0000-00006D200000}"/>
    <cellStyle name="Normal 9 5 6 2 2 2" xfId="18022" xr:uid="{DD2A0D5E-1288-44C4-B0BE-3275C992A5CB}"/>
    <cellStyle name="Normal 9 5 6 2 3" xfId="13805" xr:uid="{64A99E60-C2E3-4FD2-9E2C-4890DD507379}"/>
    <cellStyle name="Normal 9 5 6 3" xfId="6551" xr:uid="{00000000-0005-0000-0000-00006E200000}"/>
    <cellStyle name="Normal 9 5 6 3 2" xfId="15877" xr:uid="{A6EC5667-EDEB-451A-8F6F-E5FD6F7A022F}"/>
    <cellStyle name="Normal 9 5 6 4" xfId="11660" xr:uid="{A8642A52-C715-41D6-A4FF-B9C3B62BE362}"/>
    <cellStyle name="Normal 9 5 7" xfId="2681" xr:uid="{00000000-0005-0000-0000-00006F200000}"/>
    <cellStyle name="Normal 9 5 7 2" xfId="6964" xr:uid="{00000000-0005-0000-0000-000070200000}"/>
    <cellStyle name="Normal 9 5 7 2 2" xfId="16290" xr:uid="{F7EE6C7E-7027-4D1E-9184-4E468EA5B586}"/>
    <cellStyle name="Normal 9 5 7 3" xfId="12073" xr:uid="{C38113EB-21B4-4CA9-966B-267712389B75}"/>
    <cellStyle name="Normal 9 5 8" xfId="4899" xr:uid="{00000000-0005-0000-0000-000071200000}"/>
    <cellStyle name="Normal 9 5 8 2" xfId="14225" xr:uid="{1A550A67-611D-4272-866F-A0DB9EBE1DC2}"/>
    <cellStyle name="Normal 9 5 9" xfId="8848" xr:uid="{B1BE5F70-14E5-42B6-9EBA-D267F3B60A08}"/>
    <cellStyle name="Normal 9 5 9 2" xfId="18172" xr:uid="{CF22EC18-6213-4105-A810-A8EE3D16513B}"/>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D7E6BF73-6E60-4A3D-9740-23742DE9B02E}"/>
    <cellStyle name="Normal 9 6 2 2 3" xfId="12568" xr:uid="{2D171F03-F413-414C-9853-FCED8EBC9985}"/>
    <cellStyle name="Normal 9 6 2 3" xfId="5314" xr:uid="{00000000-0005-0000-0000-000076200000}"/>
    <cellStyle name="Normal 9 6 2 3 2" xfId="14640" xr:uid="{22A6FEDB-5E13-49CB-8E5A-0D0EECDBABEB}"/>
    <cellStyle name="Normal 9 6 2 4" xfId="9389" xr:uid="{2A0458F6-466A-4C3B-BA39-FF09FD770FDD}"/>
    <cellStyle name="Normal 9 6 2 4 2" xfId="18704" xr:uid="{A12709A0-4F84-4AAC-B63A-EE395B974F3D}"/>
    <cellStyle name="Normal 9 6 2 5" xfId="10423" xr:uid="{556B0931-A6C6-4159-8E85-FBE9FA0F80AF}"/>
    <cellStyle name="Normal 9 6 3" xfId="1420" xr:uid="{00000000-0005-0000-0000-000077200000}"/>
    <cellStyle name="Normal 9 6 3 2" xfId="3650" xr:uid="{00000000-0005-0000-0000-000078200000}"/>
    <cellStyle name="Normal 9 6 3 2 2" xfId="7872" xr:uid="{00000000-0005-0000-0000-000079200000}"/>
    <cellStyle name="Normal 9 6 3 2 2 2" xfId="17198" xr:uid="{108B0271-6658-4B11-BFBC-0BEABFC1465D}"/>
    <cellStyle name="Normal 9 6 3 2 3" xfId="12981" xr:uid="{1C12D77D-38B5-45B3-865E-31278E9A7E26}"/>
    <cellStyle name="Normal 9 6 3 3" xfId="5727" xr:uid="{00000000-0005-0000-0000-00007A200000}"/>
    <cellStyle name="Normal 9 6 3 3 2" xfId="15053" xr:uid="{B6F485B2-7F83-4C33-9B53-670E76352A67}"/>
    <cellStyle name="Normal 9 6 3 4" xfId="10836" xr:uid="{A40328DD-5122-4362-A8B7-5305EF7E94E1}"/>
    <cellStyle name="Normal 9 6 4" xfId="1833" xr:uid="{00000000-0005-0000-0000-00007B200000}"/>
    <cellStyle name="Normal 9 6 4 2" xfId="4063" xr:uid="{00000000-0005-0000-0000-00007C200000}"/>
    <cellStyle name="Normal 9 6 4 2 2" xfId="8285" xr:uid="{00000000-0005-0000-0000-00007D200000}"/>
    <cellStyle name="Normal 9 6 4 2 2 2" xfId="17611" xr:uid="{50D27F10-5665-4188-987B-2E6896DA017F}"/>
    <cellStyle name="Normal 9 6 4 2 3" xfId="13394" xr:uid="{934AF998-CB01-45A3-923D-54A0BA4AC37C}"/>
    <cellStyle name="Normal 9 6 4 3" xfId="6140" xr:uid="{00000000-0005-0000-0000-00007E200000}"/>
    <cellStyle name="Normal 9 6 4 3 2" xfId="15466" xr:uid="{C3BDB185-A78B-4BEC-A7AA-71F37BEFBA2B}"/>
    <cellStyle name="Normal 9 6 4 4" xfId="11249" xr:uid="{9B83CB7D-886C-4703-849F-6345F9CECDA7}"/>
    <cellStyle name="Normal 9 6 5" xfId="2247" xr:uid="{00000000-0005-0000-0000-00007F200000}"/>
    <cellStyle name="Normal 9 6 5 2" xfId="4476" xr:uid="{00000000-0005-0000-0000-000080200000}"/>
    <cellStyle name="Normal 9 6 5 2 2" xfId="8698" xr:uid="{00000000-0005-0000-0000-000081200000}"/>
    <cellStyle name="Normal 9 6 5 2 2 2" xfId="18024" xr:uid="{587CFCF5-D4F5-4EB6-B551-F3AEB4B6693F}"/>
    <cellStyle name="Normal 9 6 5 2 3" xfId="13807" xr:uid="{05E0F02F-36C8-42BB-B4C6-2D9C4458FF55}"/>
    <cellStyle name="Normal 9 6 5 3" xfId="6553" xr:uid="{00000000-0005-0000-0000-000082200000}"/>
    <cellStyle name="Normal 9 6 5 3 2" xfId="15879" xr:uid="{35F056B3-889D-42E3-8E97-588B9EA7A955}"/>
    <cellStyle name="Normal 9 6 5 4" xfId="11662" xr:uid="{9861C139-AF2A-40AF-865F-22EF1714CB23}"/>
    <cellStyle name="Normal 9 6 6" xfId="2683" xr:uid="{00000000-0005-0000-0000-000083200000}"/>
    <cellStyle name="Normal 9 6 6 2" xfId="6966" xr:uid="{00000000-0005-0000-0000-000084200000}"/>
    <cellStyle name="Normal 9 6 6 2 2" xfId="16292" xr:uid="{A7D3EAD5-28D4-4D7E-96B5-61187A521890}"/>
    <cellStyle name="Normal 9 6 6 3" xfId="12075" xr:uid="{08A39711-2597-4192-98D4-4A5A270A1448}"/>
    <cellStyle name="Normal 9 6 7" xfId="4901" xr:uid="{00000000-0005-0000-0000-000085200000}"/>
    <cellStyle name="Normal 9 6 7 2" xfId="14227" xr:uid="{D1EC493A-062A-4A6F-865D-081AB747D4D9}"/>
    <cellStyle name="Normal 9 6 8" xfId="8964" xr:uid="{9BBC9C46-7A3A-4BC9-9542-DC33DFA165C2}"/>
    <cellStyle name="Normal 9 6 8 2" xfId="18288" xr:uid="{65BDA647-745B-4634-9F73-C0519CA955BE}"/>
    <cellStyle name="Normal 9 6 9" xfId="10010" xr:uid="{1B7CCAE5-88AD-46B1-B844-09DD59FAC574}"/>
    <cellStyle name="Normal 9 7" xfId="977" xr:uid="{00000000-0005-0000-0000-000086200000}"/>
    <cellStyle name="Normal 9 7 2" xfId="9609" xr:uid="{1246D22D-2382-4FAF-A8D6-CB26E2B9F9CE}"/>
    <cellStyle name="Normal 9 7 3" xfId="9167" xr:uid="{F9EED645-1D44-43CF-99A5-77176BA4CE36}"/>
    <cellStyle name="Normal 9 7 3 2" xfId="18485" xr:uid="{09E97F51-D61F-4EDD-BCF5-F1593E8BB935}"/>
    <cellStyle name="Normal 9 8" xfId="8745" xr:uid="{C1852A12-4F74-491B-976C-56AD8D4478B4}"/>
    <cellStyle name="Normal 9 8 2" xfId="18069" xr:uid="{5CA4BAEF-95AB-4EE3-A0E1-9E1FE7AD5953}"/>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57F9799E-DBB2-4430-B60B-6B9F115DE03C}"/>
    <cellStyle name="Note 2 2 10 3" xfId="12156" xr:uid="{00B741A6-B54A-4EA0-B616-3C51D296CAF6}"/>
    <cellStyle name="Note 2 2 11" xfId="4902" xr:uid="{00000000-0005-0000-0000-000094200000}"/>
    <cellStyle name="Note 2 2 11 2" xfId="14228" xr:uid="{DA270660-3733-4960-A7CA-9AB2DD3315B1}"/>
    <cellStyle name="Note 2 2 12" xfId="8841" xr:uid="{E94E1FD8-31C4-4718-9658-C7A587CBF323}"/>
    <cellStyle name="Note 2 2 12 2" xfId="18165" xr:uid="{579301B7-5EB5-4EC3-941F-1B1215DFBD02}"/>
    <cellStyle name="Note 2 2 13" xfId="10011" xr:uid="{A293E0D6-CB27-4ABC-99A9-F1FEA269AE1B}"/>
    <cellStyle name="Note 2 2 2" xfId="546" xr:uid="{00000000-0005-0000-0000-000095200000}"/>
    <cellStyle name="Note 2 2 2 10" xfId="4903" xr:uid="{00000000-0005-0000-0000-000096200000}"/>
    <cellStyle name="Note 2 2 2 10 2" xfId="14229" xr:uid="{E21B1A94-701C-4937-93D8-57D156148545}"/>
    <cellStyle name="Note 2 2 2 11" xfId="8944" xr:uid="{B75A3404-A4A3-41D6-B6C3-54560C6DD592}"/>
    <cellStyle name="Note 2 2 2 11 2" xfId="18268" xr:uid="{F8B612DC-3AB3-41BB-AE87-509E066CE394}"/>
    <cellStyle name="Note 2 2 2 12" xfId="10012" xr:uid="{D489307C-7D9E-41CD-9F84-35AB24E6B001}"/>
    <cellStyle name="Note 2 2 2 2" xfId="547" xr:uid="{00000000-0005-0000-0000-000097200000}"/>
    <cellStyle name="Note 2 2 2 2 10" xfId="9151" xr:uid="{DE810DD8-00EC-4339-9CFC-C84D5E182971}"/>
    <cellStyle name="Note 2 2 2 2 10 2" xfId="18475" xr:uid="{493B9FA8-E3FC-477D-9205-5D15EAA28EF9}"/>
    <cellStyle name="Note 2 2 2 2 11" xfId="10013" xr:uid="{85BAAAE4-D5C9-4505-8DBB-0C73F1CFD354}"/>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B9AE6CC6-1F2B-4E43-A096-38C9EE0969AB}"/>
    <cellStyle name="Note 2 2 2 2 2 2 3" xfId="12571" xr:uid="{149ECD3D-E12F-4EA1-A576-479F6C6066B6}"/>
    <cellStyle name="Note 2 2 2 2 2 3" xfId="5317" xr:uid="{00000000-0005-0000-0000-00009B200000}"/>
    <cellStyle name="Note 2 2 2 2 2 3 2" xfId="14643" xr:uid="{317E9FFF-4B55-49D8-91C8-7826A3852F5A}"/>
    <cellStyle name="Note 2 2 2 2 2 4" xfId="9576" xr:uid="{375E296C-598F-454E-B7C4-9E851CE02ED2}"/>
    <cellStyle name="Note 2 2 2 2 2 4 2" xfId="18891" xr:uid="{B13EF2D6-6AD5-42B2-96E7-BABA1B892E79}"/>
    <cellStyle name="Note 2 2 2 2 2 5" xfId="10426" xr:uid="{91448B77-81B9-41EB-9B52-7943881B1A18}"/>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47603719-D7C2-48D4-B817-E5A62AD02759}"/>
    <cellStyle name="Note 2 2 2 2 3 2 3" xfId="12984" xr:uid="{4710AAB6-7057-4F4C-89DB-9E15DA8AE781}"/>
    <cellStyle name="Note 2 2 2 2 3 3" xfId="5730" xr:uid="{00000000-0005-0000-0000-00009F200000}"/>
    <cellStyle name="Note 2 2 2 2 3 3 2" xfId="15056" xr:uid="{9D440DD9-0636-4168-B736-0C2934FD14D0}"/>
    <cellStyle name="Note 2 2 2 2 3 4" xfId="10839" xr:uid="{FFBFB8F2-A87F-4E23-BDCC-351079EF5E2D}"/>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87A1AF34-C1E2-4363-918A-5A433073A12B}"/>
    <cellStyle name="Note 2 2 2 2 4 2 3" xfId="13397" xr:uid="{48027D5F-9CF3-4BCF-BE3A-BCDE94C0398A}"/>
    <cellStyle name="Note 2 2 2 2 4 3" xfId="6143" xr:uid="{00000000-0005-0000-0000-0000A3200000}"/>
    <cellStyle name="Note 2 2 2 2 4 3 2" xfId="15469" xr:uid="{018A5788-2029-4140-BA7F-84B8E8447033}"/>
    <cellStyle name="Note 2 2 2 2 4 4" xfId="11252" xr:uid="{90167488-FE78-40B9-8516-31C2BE6B9F7B}"/>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FDBFCFA7-C135-45EE-AB99-DDD7E56D8C5B}"/>
    <cellStyle name="Note 2 2 2 2 5 2 3" xfId="13810" xr:uid="{16EE4E14-B233-402F-A3D6-686E3D9C2600}"/>
    <cellStyle name="Note 2 2 2 2 5 3" xfId="6556" xr:uid="{00000000-0005-0000-0000-0000A7200000}"/>
    <cellStyle name="Note 2 2 2 2 5 3 2" xfId="15882" xr:uid="{E7611E3C-4987-4966-908D-8360E16BFA4C}"/>
    <cellStyle name="Note 2 2 2 2 5 4" xfId="11665" xr:uid="{3AFAC7B8-9AD6-4034-89B0-D83F3DBD4B37}"/>
    <cellStyle name="Note 2 2 2 2 6" xfId="2686" xr:uid="{00000000-0005-0000-0000-0000A8200000}"/>
    <cellStyle name="Note 2 2 2 2 6 2" xfId="6969" xr:uid="{00000000-0005-0000-0000-0000A9200000}"/>
    <cellStyle name="Note 2 2 2 2 6 2 2" xfId="16295" xr:uid="{29839AAC-736F-403A-BE8D-E94DB672E9A1}"/>
    <cellStyle name="Note 2 2 2 2 6 3" xfId="12078" xr:uid="{86AA4A13-29E6-4AEB-9F02-E8904C75BC72}"/>
    <cellStyle name="Note 2 2 2 2 7" xfId="2745" xr:uid="{00000000-0005-0000-0000-0000AA200000}"/>
    <cellStyle name="Note 2 2 2 2 8" xfId="2826" xr:uid="{00000000-0005-0000-0000-0000AB200000}"/>
    <cellStyle name="Note 2 2 2 2 8 2" xfId="7049" xr:uid="{00000000-0005-0000-0000-0000AC200000}"/>
    <cellStyle name="Note 2 2 2 2 8 2 2" xfId="16375" xr:uid="{2FB3E298-B4F9-455F-B7E0-B18826E53EC6}"/>
    <cellStyle name="Note 2 2 2 2 8 3" xfId="12158" xr:uid="{0D50BD55-0601-4C2F-BB54-8CD1D1E2435D}"/>
    <cellStyle name="Note 2 2 2 2 9" xfId="4904" xr:uid="{00000000-0005-0000-0000-0000AD200000}"/>
    <cellStyle name="Note 2 2 2 2 9 2" xfId="14230" xr:uid="{90A19361-9B2D-4061-9D7E-0F009BB4561D}"/>
    <cellStyle name="Note 2 2 2 3" xfId="1007" xr:uid="{00000000-0005-0000-0000-0000AE200000}"/>
    <cellStyle name="Note 2 2 2 3 2" xfId="3239" xr:uid="{00000000-0005-0000-0000-0000AF200000}"/>
    <cellStyle name="Note 2 2 2 3 2 2" xfId="7461" xr:uid="{00000000-0005-0000-0000-0000B0200000}"/>
    <cellStyle name="Note 2 2 2 3 2 2 2" xfId="16787" xr:uid="{586743B3-07E2-470F-A176-D986537363B1}"/>
    <cellStyle name="Note 2 2 2 3 2 3" xfId="12570" xr:uid="{578442A2-AC0F-48C9-A3A5-961B681DA19D}"/>
    <cellStyle name="Note 2 2 2 3 3" xfId="5316" xr:uid="{00000000-0005-0000-0000-0000B1200000}"/>
    <cellStyle name="Note 2 2 2 3 3 2" xfId="14642" xr:uid="{EA3BFFA5-B4AA-4D50-8D8B-DCC3C219617D}"/>
    <cellStyle name="Note 2 2 2 3 4" xfId="9369" xr:uid="{37FCA23B-964B-404F-A343-B489211FDCDC}"/>
    <cellStyle name="Note 2 2 2 3 4 2" xfId="18684" xr:uid="{3A2D3872-F58E-4969-BDFA-4E8C48EA6C6C}"/>
    <cellStyle name="Note 2 2 2 3 5" xfId="10425" xr:uid="{E93BEAEC-791E-447E-A290-02D519C07858}"/>
    <cellStyle name="Note 2 2 2 4" xfId="1422" xr:uid="{00000000-0005-0000-0000-0000B2200000}"/>
    <cellStyle name="Note 2 2 2 4 2" xfId="3652" xr:uid="{00000000-0005-0000-0000-0000B3200000}"/>
    <cellStyle name="Note 2 2 2 4 2 2" xfId="7874" xr:uid="{00000000-0005-0000-0000-0000B4200000}"/>
    <cellStyle name="Note 2 2 2 4 2 2 2" xfId="17200" xr:uid="{DC00859D-D8B5-4793-9627-5E92D7CFD938}"/>
    <cellStyle name="Note 2 2 2 4 2 3" xfId="12983" xr:uid="{D963C409-47BC-46F9-98A2-6E78E568FFD0}"/>
    <cellStyle name="Note 2 2 2 4 3" xfId="5729" xr:uid="{00000000-0005-0000-0000-0000B5200000}"/>
    <cellStyle name="Note 2 2 2 4 3 2" xfId="15055" xr:uid="{1B0498D3-3E63-4B9C-BFC0-BDC7B3898178}"/>
    <cellStyle name="Note 2 2 2 4 4" xfId="10838" xr:uid="{4965177D-3212-4CF8-A722-62BB1513B493}"/>
    <cellStyle name="Note 2 2 2 5" xfId="1836" xr:uid="{00000000-0005-0000-0000-0000B6200000}"/>
    <cellStyle name="Note 2 2 2 5 2" xfId="4065" xr:uid="{00000000-0005-0000-0000-0000B7200000}"/>
    <cellStyle name="Note 2 2 2 5 2 2" xfId="8287" xr:uid="{00000000-0005-0000-0000-0000B8200000}"/>
    <cellStyle name="Note 2 2 2 5 2 2 2" xfId="17613" xr:uid="{361A933F-18A7-4A03-9C1F-9E395369D864}"/>
    <cellStyle name="Note 2 2 2 5 2 3" xfId="13396" xr:uid="{2E2983BC-3595-4E29-BF85-A3104BCAA7C4}"/>
    <cellStyle name="Note 2 2 2 5 3" xfId="6142" xr:uid="{00000000-0005-0000-0000-0000B9200000}"/>
    <cellStyle name="Note 2 2 2 5 3 2" xfId="15468" xr:uid="{DFDE1E1C-97AA-402E-AC9C-F1B3DB6B3D7C}"/>
    <cellStyle name="Note 2 2 2 5 4" xfId="11251" xr:uid="{1EC058D8-BA10-4715-AFA1-171A1F5794E1}"/>
    <cellStyle name="Note 2 2 2 6" xfId="2249" xr:uid="{00000000-0005-0000-0000-0000BA200000}"/>
    <cellStyle name="Note 2 2 2 6 2" xfId="4478" xr:uid="{00000000-0005-0000-0000-0000BB200000}"/>
    <cellStyle name="Note 2 2 2 6 2 2" xfId="8700" xr:uid="{00000000-0005-0000-0000-0000BC200000}"/>
    <cellStyle name="Note 2 2 2 6 2 2 2" xfId="18026" xr:uid="{51C4B442-E8BA-4484-BEE8-67E7C5C25690}"/>
    <cellStyle name="Note 2 2 2 6 2 3" xfId="13809" xr:uid="{43C127DA-1E20-4B9D-BF53-1679B3FD6713}"/>
    <cellStyle name="Note 2 2 2 6 3" xfId="6555" xr:uid="{00000000-0005-0000-0000-0000BD200000}"/>
    <cellStyle name="Note 2 2 2 6 3 2" xfId="15881" xr:uid="{DA748395-1810-4FED-9833-F66B29F7097E}"/>
    <cellStyle name="Note 2 2 2 6 4" xfId="11664" xr:uid="{53E3D387-C92F-40FA-ADC6-12240A0558CC}"/>
    <cellStyle name="Note 2 2 2 7" xfId="2685" xr:uid="{00000000-0005-0000-0000-0000BE200000}"/>
    <cellStyle name="Note 2 2 2 7 2" xfId="6968" xr:uid="{00000000-0005-0000-0000-0000BF200000}"/>
    <cellStyle name="Note 2 2 2 7 2 2" xfId="16294" xr:uid="{292F2A71-11E3-484A-B9F6-276045310A97}"/>
    <cellStyle name="Note 2 2 2 7 3" xfId="12077" xr:uid="{CB5A4FDF-F7CC-4035-B0D1-34A306AF4305}"/>
    <cellStyle name="Note 2 2 2 8" xfId="2744" xr:uid="{00000000-0005-0000-0000-0000C0200000}"/>
    <cellStyle name="Note 2 2 2 9" xfId="2825" xr:uid="{00000000-0005-0000-0000-0000C1200000}"/>
    <cellStyle name="Note 2 2 2 9 2" xfId="7048" xr:uid="{00000000-0005-0000-0000-0000C2200000}"/>
    <cellStyle name="Note 2 2 2 9 2 2" xfId="16374" xr:uid="{E184F889-1CBF-49E7-82D3-C41459204E7B}"/>
    <cellStyle name="Note 2 2 2 9 3" xfId="12157" xr:uid="{996E8F51-B173-4373-BAE3-A950A1B9C2A9}"/>
    <cellStyle name="Note 2 2 3" xfId="548" xr:uid="{00000000-0005-0000-0000-0000C3200000}"/>
    <cellStyle name="Note 2 2 3 10" xfId="9048" xr:uid="{894401FF-B7D8-49E8-91E6-A1C42DD04D54}"/>
    <cellStyle name="Note 2 2 3 10 2" xfId="18372" xr:uid="{59362252-C683-40A4-A963-AFA0D40786C1}"/>
    <cellStyle name="Note 2 2 3 11" xfId="10014" xr:uid="{2C7EE0E6-A1CD-4E74-B787-1778D3C691F3}"/>
    <cellStyle name="Note 2 2 3 2" xfId="1009" xr:uid="{00000000-0005-0000-0000-0000C4200000}"/>
    <cellStyle name="Note 2 2 3 2 2" xfId="3241" xr:uid="{00000000-0005-0000-0000-0000C5200000}"/>
    <cellStyle name="Note 2 2 3 2 2 2" xfId="7463" xr:uid="{00000000-0005-0000-0000-0000C6200000}"/>
    <cellStyle name="Note 2 2 3 2 2 2 2" xfId="16789" xr:uid="{B370AE81-1AEA-4F8E-9F4D-D96F7B6FE4A6}"/>
    <cellStyle name="Note 2 2 3 2 2 3" xfId="12572" xr:uid="{E407695A-4314-486C-959F-1E6AE56704BB}"/>
    <cellStyle name="Note 2 2 3 2 3" xfId="5318" xr:uid="{00000000-0005-0000-0000-0000C7200000}"/>
    <cellStyle name="Note 2 2 3 2 3 2" xfId="14644" xr:uid="{5E0C0D6C-93DF-432B-8CBC-E6E39D906FA7}"/>
    <cellStyle name="Note 2 2 3 2 4" xfId="9473" xr:uid="{7711F4E0-385B-44CD-ACEA-5E9D7E4CD8DC}"/>
    <cellStyle name="Note 2 2 3 2 4 2" xfId="18788" xr:uid="{CE7EA414-0C58-4BD4-9D84-89CE6AD3FFD4}"/>
    <cellStyle name="Note 2 2 3 2 5" xfId="10427" xr:uid="{7219AAE2-6E4B-45A1-B8ED-4514472D2DB8}"/>
    <cellStyle name="Note 2 2 3 3" xfId="1424" xr:uid="{00000000-0005-0000-0000-0000C8200000}"/>
    <cellStyle name="Note 2 2 3 3 2" xfId="3654" xr:uid="{00000000-0005-0000-0000-0000C9200000}"/>
    <cellStyle name="Note 2 2 3 3 2 2" xfId="7876" xr:uid="{00000000-0005-0000-0000-0000CA200000}"/>
    <cellStyle name="Note 2 2 3 3 2 2 2" xfId="17202" xr:uid="{F9044C3D-E8F1-4AFD-962F-7F15D782DD14}"/>
    <cellStyle name="Note 2 2 3 3 2 3" xfId="12985" xr:uid="{E79A8D99-F6EA-47FC-8E0C-EA7AF4E95607}"/>
    <cellStyle name="Note 2 2 3 3 3" xfId="5731" xr:uid="{00000000-0005-0000-0000-0000CB200000}"/>
    <cellStyle name="Note 2 2 3 3 3 2" xfId="15057" xr:uid="{352EFEF1-F9CA-4C83-A802-C92785911FEF}"/>
    <cellStyle name="Note 2 2 3 3 4" xfId="10840" xr:uid="{3EB2B6F5-7F9F-4EAA-A78B-3C69E349A4AD}"/>
    <cellStyle name="Note 2 2 3 4" xfId="1838" xr:uid="{00000000-0005-0000-0000-0000CC200000}"/>
    <cellStyle name="Note 2 2 3 4 2" xfId="4067" xr:uid="{00000000-0005-0000-0000-0000CD200000}"/>
    <cellStyle name="Note 2 2 3 4 2 2" xfId="8289" xr:uid="{00000000-0005-0000-0000-0000CE200000}"/>
    <cellStyle name="Note 2 2 3 4 2 2 2" xfId="17615" xr:uid="{179A8534-363A-4851-83DE-F9F7514643F0}"/>
    <cellStyle name="Note 2 2 3 4 2 3" xfId="13398" xr:uid="{F178F8D8-7D34-4D66-A144-1E41568E569D}"/>
    <cellStyle name="Note 2 2 3 4 3" xfId="6144" xr:uid="{00000000-0005-0000-0000-0000CF200000}"/>
    <cellStyle name="Note 2 2 3 4 3 2" xfId="15470" xr:uid="{A4D03A48-8320-42A0-93C0-C22D5FFC41A5}"/>
    <cellStyle name="Note 2 2 3 4 4" xfId="11253" xr:uid="{E2953013-F3EC-4670-AD9A-6FF46A257988}"/>
    <cellStyle name="Note 2 2 3 5" xfId="2251" xr:uid="{00000000-0005-0000-0000-0000D0200000}"/>
    <cellStyle name="Note 2 2 3 5 2" xfId="4480" xr:uid="{00000000-0005-0000-0000-0000D1200000}"/>
    <cellStyle name="Note 2 2 3 5 2 2" xfId="8702" xr:uid="{00000000-0005-0000-0000-0000D2200000}"/>
    <cellStyle name="Note 2 2 3 5 2 2 2" xfId="18028" xr:uid="{DB9CA60C-D7D8-4FE5-BC36-FC7928D0C26A}"/>
    <cellStyle name="Note 2 2 3 5 2 3" xfId="13811" xr:uid="{CD2E82CB-6251-4D6E-AEA0-0AFFE01074FE}"/>
    <cellStyle name="Note 2 2 3 5 3" xfId="6557" xr:uid="{00000000-0005-0000-0000-0000D3200000}"/>
    <cellStyle name="Note 2 2 3 5 3 2" xfId="15883" xr:uid="{99CD847B-C52C-428B-9A76-19E65DFB1A50}"/>
    <cellStyle name="Note 2 2 3 5 4" xfId="11666" xr:uid="{B1452B91-0B2B-48FF-B0DD-F6E1109F0C66}"/>
    <cellStyle name="Note 2 2 3 6" xfId="2687" xr:uid="{00000000-0005-0000-0000-0000D4200000}"/>
    <cellStyle name="Note 2 2 3 6 2" xfId="6970" xr:uid="{00000000-0005-0000-0000-0000D5200000}"/>
    <cellStyle name="Note 2 2 3 6 2 2" xfId="16296" xr:uid="{B45E1023-D92B-4442-B84F-DB041224621D}"/>
    <cellStyle name="Note 2 2 3 6 3" xfId="12079" xr:uid="{868DBF79-0773-405A-A8E8-DA841436E72C}"/>
    <cellStyle name="Note 2 2 3 7" xfId="2746" xr:uid="{00000000-0005-0000-0000-0000D6200000}"/>
    <cellStyle name="Note 2 2 3 8" xfId="2827" xr:uid="{00000000-0005-0000-0000-0000D7200000}"/>
    <cellStyle name="Note 2 2 3 8 2" xfId="7050" xr:uid="{00000000-0005-0000-0000-0000D8200000}"/>
    <cellStyle name="Note 2 2 3 8 2 2" xfId="16376" xr:uid="{70308DC9-D89F-45D7-BFD6-EB3409F2074A}"/>
    <cellStyle name="Note 2 2 3 8 3" xfId="12159" xr:uid="{8F1F7851-8261-4A2D-99E4-ECCD47B53EA2}"/>
    <cellStyle name="Note 2 2 3 9" xfId="4905" xr:uid="{00000000-0005-0000-0000-0000D9200000}"/>
    <cellStyle name="Note 2 2 3 9 2" xfId="14231" xr:uid="{7B41F1B5-C62A-4980-9B77-D465AB85D4BA}"/>
    <cellStyle name="Note 2 2 4" xfId="1006" xr:uid="{00000000-0005-0000-0000-0000DA200000}"/>
    <cellStyle name="Note 2 2 4 2" xfId="3238" xr:uid="{00000000-0005-0000-0000-0000DB200000}"/>
    <cellStyle name="Note 2 2 4 2 2" xfId="7460" xr:uid="{00000000-0005-0000-0000-0000DC200000}"/>
    <cellStyle name="Note 2 2 4 2 2 2" xfId="16786" xr:uid="{7A23E23B-1421-4C9E-AF3D-1D121FDCB858}"/>
    <cellStyle name="Note 2 2 4 2 3" xfId="12569" xr:uid="{FDC32DFD-75E4-4C8B-AD53-7CCDA1496B13}"/>
    <cellStyle name="Note 2 2 4 3" xfId="5315" xr:uid="{00000000-0005-0000-0000-0000DD200000}"/>
    <cellStyle name="Note 2 2 4 3 2" xfId="14641" xr:uid="{E929600A-9FA9-499E-BDA4-DE4467F6D1E5}"/>
    <cellStyle name="Note 2 2 4 4" xfId="9266" xr:uid="{8B6F7B8D-50FA-47DA-836F-17B0F9492E54}"/>
    <cellStyle name="Note 2 2 4 4 2" xfId="18581" xr:uid="{EFD4DF96-878D-41A1-B305-1E06B7D784BC}"/>
    <cellStyle name="Note 2 2 4 5" xfId="10424" xr:uid="{D1AF07A3-1AE3-432B-B382-2EFE2FF34296}"/>
    <cellStyle name="Note 2 2 5" xfId="1421" xr:uid="{00000000-0005-0000-0000-0000DE200000}"/>
    <cellStyle name="Note 2 2 5 2" xfId="3651" xr:uid="{00000000-0005-0000-0000-0000DF200000}"/>
    <cellStyle name="Note 2 2 5 2 2" xfId="7873" xr:uid="{00000000-0005-0000-0000-0000E0200000}"/>
    <cellStyle name="Note 2 2 5 2 2 2" xfId="17199" xr:uid="{62F8570D-9774-4761-A2DA-19D37260D45C}"/>
    <cellStyle name="Note 2 2 5 2 3" xfId="12982" xr:uid="{BD65C3BA-D64A-4A87-ADBD-40A51AEC968B}"/>
    <cellStyle name="Note 2 2 5 3" xfId="5728" xr:uid="{00000000-0005-0000-0000-0000E1200000}"/>
    <cellStyle name="Note 2 2 5 3 2" xfId="15054" xr:uid="{3B1A7C82-6ED2-446E-9990-50164B60D9F5}"/>
    <cellStyle name="Note 2 2 5 4" xfId="10837" xr:uid="{DBEA02BE-14F1-4686-8C82-A176B091E207}"/>
    <cellStyle name="Note 2 2 6" xfId="1835" xr:uid="{00000000-0005-0000-0000-0000E2200000}"/>
    <cellStyle name="Note 2 2 6 2" xfId="4064" xr:uid="{00000000-0005-0000-0000-0000E3200000}"/>
    <cellStyle name="Note 2 2 6 2 2" xfId="8286" xr:uid="{00000000-0005-0000-0000-0000E4200000}"/>
    <cellStyle name="Note 2 2 6 2 2 2" xfId="17612" xr:uid="{79C33925-AFE0-41C8-BE8D-50F0FCCBCAAC}"/>
    <cellStyle name="Note 2 2 6 2 3" xfId="13395" xr:uid="{10BDFF97-5F44-4965-AF8D-1A25A3C68DEB}"/>
    <cellStyle name="Note 2 2 6 3" xfId="6141" xr:uid="{00000000-0005-0000-0000-0000E5200000}"/>
    <cellStyle name="Note 2 2 6 3 2" xfId="15467" xr:uid="{CBE6EE20-C817-416A-90B7-8923B9032702}"/>
    <cellStyle name="Note 2 2 6 4" xfId="11250" xr:uid="{78C04D09-3F10-4ECB-8FAE-9386386D05B0}"/>
    <cellStyle name="Note 2 2 7" xfId="2248" xr:uid="{00000000-0005-0000-0000-0000E6200000}"/>
    <cellStyle name="Note 2 2 7 2" xfId="4477" xr:uid="{00000000-0005-0000-0000-0000E7200000}"/>
    <cellStyle name="Note 2 2 7 2 2" xfId="8699" xr:uid="{00000000-0005-0000-0000-0000E8200000}"/>
    <cellStyle name="Note 2 2 7 2 2 2" xfId="18025" xr:uid="{D6268D37-DA18-4584-93D5-EC37179F4BA1}"/>
    <cellStyle name="Note 2 2 7 2 3" xfId="13808" xr:uid="{8BCAA00E-FF90-4F0D-B976-A81DE5B5C353}"/>
    <cellStyle name="Note 2 2 7 3" xfId="6554" xr:uid="{00000000-0005-0000-0000-0000E9200000}"/>
    <cellStyle name="Note 2 2 7 3 2" xfId="15880" xr:uid="{A370E29D-F360-4B74-88FD-B155BB18B700}"/>
    <cellStyle name="Note 2 2 7 4" xfId="11663" xr:uid="{E2C0DB21-77F2-414A-B477-21905B247195}"/>
    <cellStyle name="Note 2 2 8" xfId="2684" xr:uid="{00000000-0005-0000-0000-0000EA200000}"/>
    <cellStyle name="Note 2 2 8 2" xfId="6967" xr:uid="{00000000-0005-0000-0000-0000EB200000}"/>
    <cellStyle name="Note 2 2 8 2 2" xfId="16293" xr:uid="{6152D63C-3FDC-4192-B33D-928D50256F25}"/>
    <cellStyle name="Note 2 2 8 3" xfId="12076" xr:uid="{FEBACC51-7C49-40E9-A1E7-FDA106AD862D}"/>
    <cellStyle name="Note 2 2 9" xfId="2743" xr:uid="{00000000-0005-0000-0000-0000EC200000}"/>
    <cellStyle name="Note 2 3" xfId="549" xr:uid="{00000000-0005-0000-0000-0000ED200000}"/>
    <cellStyle name="Note 2 3 10" xfId="4906" xr:uid="{00000000-0005-0000-0000-0000EE200000}"/>
    <cellStyle name="Note 2 3 10 2" xfId="14232" xr:uid="{5DD76520-AB6E-4831-A981-87BC71FEEED8}"/>
    <cellStyle name="Note 2 3 11" xfId="8894" xr:uid="{2BFFE8D0-DA42-4876-8895-58F80713E965}"/>
    <cellStyle name="Note 2 3 11 2" xfId="18218" xr:uid="{19DF4A3A-B672-45BB-BD04-306E8C05E5FB}"/>
    <cellStyle name="Note 2 3 12" xfId="10015" xr:uid="{DF3C37FA-C6B9-4B8B-80AB-9BB5022F7BCE}"/>
    <cellStyle name="Note 2 3 2" xfId="550" xr:uid="{00000000-0005-0000-0000-0000EF200000}"/>
    <cellStyle name="Note 2 3 2 10" xfId="9101" xr:uid="{1822EEA2-225E-465E-B4CD-D4615440EC62}"/>
    <cellStyle name="Note 2 3 2 10 2" xfId="18425" xr:uid="{12861591-31CC-4BA9-B5F8-0DCDC0374C9D}"/>
    <cellStyle name="Note 2 3 2 11" xfId="10016" xr:uid="{0A480E18-4C32-4E18-97B1-48E537AB646A}"/>
    <cellStyle name="Note 2 3 2 2" xfId="1011" xr:uid="{00000000-0005-0000-0000-0000F0200000}"/>
    <cellStyle name="Note 2 3 2 2 2" xfId="3243" xr:uid="{00000000-0005-0000-0000-0000F1200000}"/>
    <cellStyle name="Note 2 3 2 2 2 2" xfId="7465" xr:uid="{00000000-0005-0000-0000-0000F2200000}"/>
    <cellStyle name="Note 2 3 2 2 2 2 2" xfId="16791" xr:uid="{8FEAF4C2-AB7B-4236-8FD9-3AF94B01C76B}"/>
    <cellStyle name="Note 2 3 2 2 2 3" xfId="12574" xr:uid="{23E2A9C2-8D5B-40ED-A002-E38442D9712F}"/>
    <cellStyle name="Note 2 3 2 2 3" xfId="5320" xr:uid="{00000000-0005-0000-0000-0000F3200000}"/>
    <cellStyle name="Note 2 3 2 2 3 2" xfId="14646" xr:uid="{3DF42C4A-0620-43DD-887A-48781A6C36DF}"/>
    <cellStyle name="Note 2 3 2 2 4" xfId="9526" xr:uid="{1C428179-0C82-4F5D-9FE4-E11D597F9E89}"/>
    <cellStyle name="Note 2 3 2 2 4 2" xfId="18841" xr:uid="{76CCDAA9-66E3-4CF0-A6E2-3D17AD97B44C}"/>
    <cellStyle name="Note 2 3 2 2 5" xfId="10429" xr:uid="{43338365-721A-45CA-A909-CDE4B3EB9B97}"/>
    <cellStyle name="Note 2 3 2 3" xfId="1426" xr:uid="{00000000-0005-0000-0000-0000F4200000}"/>
    <cellStyle name="Note 2 3 2 3 2" xfId="3656" xr:uid="{00000000-0005-0000-0000-0000F5200000}"/>
    <cellStyle name="Note 2 3 2 3 2 2" xfId="7878" xr:uid="{00000000-0005-0000-0000-0000F6200000}"/>
    <cellStyle name="Note 2 3 2 3 2 2 2" xfId="17204" xr:uid="{32E4A83C-D90B-42B6-BF84-D904D9E138C5}"/>
    <cellStyle name="Note 2 3 2 3 2 3" xfId="12987" xr:uid="{51320072-0444-4371-9C8D-143828FA29F5}"/>
    <cellStyle name="Note 2 3 2 3 3" xfId="5733" xr:uid="{00000000-0005-0000-0000-0000F7200000}"/>
    <cellStyle name="Note 2 3 2 3 3 2" xfId="15059" xr:uid="{D45227FF-E428-4E34-B96B-23433F658D44}"/>
    <cellStyle name="Note 2 3 2 3 4" xfId="10842" xr:uid="{685B2AEA-181B-41FD-84DD-C6CBDF83BD05}"/>
    <cellStyle name="Note 2 3 2 4" xfId="1840" xr:uid="{00000000-0005-0000-0000-0000F8200000}"/>
    <cellStyle name="Note 2 3 2 4 2" xfId="4069" xr:uid="{00000000-0005-0000-0000-0000F9200000}"/>
    <cellStyle name="Note 2 3 2 4 2 2" xfId="8291" xr:uid="{00000000-0005-0000-0000-0000FA200000}"/>
    <cellStyle name="Note 2 3 2 4 2 2 2" xfId="17617" xr:uid="{1403C6C8-1502-49BC-89EE-FEF13B6405C0}"/>
    <cellStyle name="Note 2 3 2 4 2 3" xfId="13400" xr:uid="{C5A47411-2D40-4A36-A116-341C92E1A211}"/>
    <cellStyle name="Note 2 3 2 4 3" xfId="6146" xr:uid="{00000000-0005-0000-0000-0000FB200000}"/>
    <cellStyle name="Note 2 3 2 4 3 2" xfId="15472" xr:uid="{256A799E-525F-4AF0-88AB-44EE45B5C858}"/>
    <cellStyle name="Note 2 3 2 4 4" xfId="11255" xr:uid="{F3569CA2-733A-497F-96FC-CFF0B9AEBA9C}"/>
    <cellStyle name="Note 2 3 2 5" xfId="2253" xr:uid="{00000000-0005-0000-0000-0000FC200000}"/>
    <cellStyle name="Note 2 3 2 5 2" xfId="4482" xr:uid="{00000000-0005-0000-0000-0000FD200000}"/>
    <cellStyle name="Note 2 3 2 5 2 2" xfId="8704" xr:uid="{00000000-0005-0000-0000-0000FE200000}"/>
    <cellStyle name="Note 2 3 2 5 2 2 2" xfId="18030" xr:uid="{04F78C7F-973E-40D5-9F32-0058AE0367CC}"/>
    <cellStyle name="Note 2 3 2 5 2 3" xfId="13813" xr:uid="{A859EC54-7C16-4869-90C3-4D4DBA0C84E7}"/>
    <cellStyle name="Note 2 3 2 5 3" xfId="6559" xr:uid="{00000000-0005-0000-0000-0000FF200000}"/>
    <cellStyle name="Note 2 3 2 5 3 2" xfId="15885" xr:uid="{7A4F524E-6FA6-413B-AC46-D4C8F5893CB6}"/>
    <cellStyle name="Note 2 3 2 5 4" xfId="11668" xr:uid="{C723292F-71C7-4C25-A57D-753171BBADE3}"/>
    <cellStyle name="Note 2 3 2 6" xfId="2689" xr:uid="{00000000-0005-0000-0000-000000210000}"/>
    <cellStyle name="Note 2 3 2 6 2" xfId="6972" xr:uid="{00000000-0005-0000-0000-000001210000}"/>
    <cellStyle name="Note 2 3 2 6 2 2" xfId="16298" xr:uid="{05CC9D56-B21A-458F-B57A-9CF0988B2C58}"/>
    <cellStyle name="Note 2 3 2 6 3" xfId="12081" xr:uid="{6E79837D-AA33-45EF-AB04-9A18EAEE184F}"/>
    <cellStyle name="Note 2 3 2 7" xfId="2748" xr:uid="{00000000-0005-0000-0000-000002210000}"/>
    <cellStyle name="Note 2 3 2 8" xfId="2829" xr:uid="{00000000-0005-0000-0000-000003210000}"/>
    <cellStyle name="Note 2 3 2 8 2" xfId="7052" xr:uid="{00000000-0005-0000-0000-000004210000}"/>
    <cellStyle name="Note 2 3 2 8 2 2" xfId="16378" xr:uid="{6839F498-DDD0-4AF7-8952-6D33D9EF7F35}"/>
    <cellStyle name="Note 2 3 2 8 3" xfId="12161" xr:uid="{9AD2B695-3138-4797-800E-FCDF78B0D7AD}"/>
    <cellStyle name="Note 2 3 2 9" xfId="4907" xr:uid="{00000000-0005-0000-0000-000005210000}"/>
    <cellStyle name="Note 2 3 2 9 2" xfId="14233" xr:uid="{B4A86A59-D12E-4C52-B165-17D29F2246E6}"/>
    <cellStyle name="Note 2 3 3" xfId="1010" xr:uid="{00000000-0005-0000-0000-000006210000}"/>
    <cellStyle name="Note 2 3 3 2" xfId="3242" xr:uid="{00000000-0005-0000-0000-000007210000}"/>
    <cellStyle name="Note 2 3 3 2 2" xfId="7464" xr:uid="{00000000-0005-0000-0000-000008210000}"/>
    <cellStyle name="Note 2 3 3 2 2 2" xfId="16790" xr:uid="{565EC122-6A8A-46DA-9922-B023EC7F6FDC}"/>
    <cellStyle name="Note 2 3 3 2 3" xfId="12573" xr:uid="{F8F3EDED-9706-432A-9BD2-FD0557A8E0BD}"/>
    <cellStyle name="Note 2 3 3 3" xfId="5319" xr:uid="{00000000-0005-0000-0000-000009210000}"/>
    <cellStyle name="Note 2 3 3 3 2" xfId="14645" xr:uid="{F353C2FC-D7CB-4E10-9AF3-9701E33A0F5A}"/>
    <cellStyle name="Note 2 3 3 4" xfId="9319" xr:uid="{06E4A3C6-5CAA-4424-B4C3-41162F21AE7D}"/>
    <cellStyle name="Note 2 3 3 4 2" xfId="18634" xr:uid="{440C8E05-B518-4CF7-8BFD-21F92D6FBC8B}"/>
    <cellStyle name="Note 2 3 3 5" xfId="10428" xr:uid="{33A97E94-1646-4D61-8719-931FC41A2188}"/>
    <cellStyle name="Note 2 3 4" xfId="1425" xr:uid="{00000000-0005-0000-0000-00000A210000}"/>
    <cellStyle name="Note 2 3 4 2" xfId="3655" xr:uid="{00000000-0005-0000-0000-00000B210000}"/>
    <cellStyle name="Note 2 3 4 2 2" xfId="7877" xr:uid="{00000000-0005-0000-0000-00000C210000}"/>
    <cellStyle name="Note 2 3 4 2 2 2" xfId="17203" xr:uid="{CB303DA6-06EC-45CB-957F-4C178BE7BEAA}"/>
    <cellStyle name="Note 2 3 4 2 3" xfId="12986" xr:uid="{A9F3659D-81E7-473B-BF3B-EEF7BD9B8A38}"/>
    <cellStyle name="Note 2 3 4 3" xfId="5732" xr:uid="{00000000-0005-0000-0000-00000D210000}"/>
    <cellStyle name="Note 2 3 4 3 2" xfId="15058" xr:uid="{B0A9E8E0-B65C-4D0E-9D74-27F24747B492}"/>
    <cellStyle name="Note 2 3 4 4" xfId="10841" xr:uid="{504AB3AB-6B47-431E-82C9-031DD6787C24}"/>
    <cellStyle name="Note 2 3 5" xfId="1839" xr:uid="{00000000-0005-0000-0000-00000E210000}"/>
    <cellStyle name="Note 2 3 5 2" xfId="4068" xr:uid="{00000000-0005-0000-0000-00000F210000}"/>
    <cellStyle name="Note 2 3 5 2 2" xfId="8290" xr:uid="{00000000-0005-0000-0000-000010210000}"/>
    <cellStyle name="Note 2 3 5 2 2 2" xfId="17616" xr:uid="{A6D1A046-A0B1-490D-B0E9-E0232B4E7068}"/>
    <cellStyle name="Note 2 3 5 2 3" xfId="13399" xr:uid="{29954D3C-E920-4E3D-948D-8F829FFE2153}"/>
    <cellStyle name="Note 2 3 5 3" xfId="6145" xr:uid="{00000000-0005-0000-0000-000011210000}"/>
    <cellStyle name="Note 2 3 5 3 2" xfId="15471" xr:uid="{C7DB430B-5C65-4F11-BF7F-551BF42C6C81}"/>
    <cellStyle name="Note 2 3 5 4" xfId="11254" xr:uid="{02310BDB-EC03-48D2-8795-D357F25A199C}"/>
    <cellStyle name="Note 2 3 6" xfId="2252" xr:uid="{00000000-0005-0000-0000-000012210000}"/>
    <cellStyle name="Note 2 3 6 2" xfId="4481" xr:uid="{00000000-0005-0000-0000-000013210000}"/>
    <cellStyle name="Note 2 3 6 2 2" xfId="8703" xr:uid="{00000000-0005-0000-0000-000014210000}"/>
    <cellStyle name="Note 2 3 6 2 2 2" xfId="18029" xr:uid="{F6BD184A-225B-4CED-8811-EF13F4386C5B}"/>
    <cellStyle name="Note 2 3 6 2 3" xfId="13812" xr:uid="{CB69CEAD-E4DC-4A1A-A196-70DC365D3AE6}"/>
    <cellStyle name="Note 2 3 6 3" xfId="6558" xr:uid="{00000000-0005-0000-0000-000015210000}"/>
    <cellStyle name="Note 2 3 6 3 2" xfId="15884" xr:uid="{B809A4C7-D0BF-4B91-9266-61545580F937}"/>
    <cellStyle name="Note 2 3 6 4" xfId="11667" xr:uid="{9CF1E6AE-D743-4EB0-9A43-6964C34CD9C4}"/>
    <cellStyle name="Note 2 3 7" xfId="2688" xr:uid="{00000000-0005-0000-0000-000016210000}"/>
    <cellStyle name="Note 2 3 7 2" xfId="6971" xr:uid="{00000000-0005-0000-0000-000017210000}"/>
    <cellStyle name="Note 2 3 7 2 2" xfId="16297" xr:uid="{C7C26E70-4715-480B-84CF-9D501892B851}"/>
    <cellStyle name="Note 2 3 7 3" xfId="12080" xr:uid="{06FA5FD6-4EE0-496E-8BA4-51213DA3D5B5}"/>
    <cellStyle name="Note 2 3 8" xfId="2747" xr:uid="{00000000-0005-0000-0000-000018210000}"/>
    <cellStyle name="Note 2 3 9" xfId="2828" xr:uid="{00000000-0005-0000-0000-000019210000}"/>
    <cellStyle name="Note 2 3 9 2" xfId="7051" xr:uid="{00000000-0005-0000-0000-00001A210000}"/>
    <cellStyle name="Note 2 3 9 2 2" xfId="16377" xr:uid="{E21920F2-31FC-411A-8989-C8C73A7DB014}"/>
    <cellStyle name="Note 2 3 9 3" xfId="12160" xr:uid="{F0192689-58DC-4932-82A3-050C22886CF0}"/>
    <cellStyle name="Note 2 4" xfId="551" xr:uid="{00000000-0005-0000-0000-00001B210000}"/>
    <cellStyle name="Note 2 4 10" xfId="8998" xr:uid="{AC87C288-14A9-4FB3-A26C-1706964E6651}"/>
    <cellStyle name="Note 2 4 10 2" xfId="18322" xr:uid="{179AC94F-A8AF-48E7-BAD2-E4D3973431C7}"/>
    <cellStyle name="Note 2 4 11" xfId="10017" xr:uid="{C40704FF-93D4-4312-BF14-7CCE026200A9}"/>
    <cellStyle name="Note 2 4 2" xfId="1012" xr:uid="{00000000-0005-0000-0000-00001C210000}"/>
    <cellStyle name="Note 2 4 2 2" xfId="3244" xr:uid="{00000000-0005-0000-0000-00001D210000}"/>
    <cellStyle name="Note 2 4 2 2 2" xfId="7466" xr:uid="{00000000-0005-0000-0000-00001E210000}"/>
    <cellStyle name="Note 2 4 2 2 2 2" xfId="16792" xr:uid="{ACBF2D38-78BD-4266-857F-D4917B303E07}"/>
    <cellStyle name="Note 2 4 2 2 3" xfId="12575" xr:uid="{D6231DEA-9034-42A1-A19D-33A02EAC45F6}"/>
    <cellStyle name="Note 2 4 2 3" xfId="5321" xr:uid="{00000000-0005-0000-0000-00001F210000}"/>
    <cellStyle name="Note 2 4 2 3 2" xfId="14647" xr:uid="{06CBB991-5817-4719-BD18-BDC5275DA8D0}"/>
    <cellStyle name="Note 2 4 2 4" xfId="9423" xr:uid="{43B93802-BE55-43D9-BEBC-4095E3C1FF74}"/>
    <cellStyle name="Note 2 4 2 4 2" xfId="18738" xr:uid="{2EC54088-1E50-4303-A2FB-A1C596F90A17}"/>
    <cellStyle name="Note 2 4 2 5" xfId="10430" xr:uid="{B646AA10-6276-460F-A249-E2945B6E0939}"/>
    <cellStyle name="Note 2 4 3" xfId="1427" xr:uid="{00000000-0005-0000-0000-000020210000}"/>
    <cellStyle name="Note 2 4 3 2" xfId="3657" xr:uid="{00000000-0005-0000-0000-000021210000}"/>
    <cellStyle name="Note 2 4 3 2 2" xfId="7879" xr:uid="{00000000-0005-0000-0000-000022210000}"/>
    <cellStyle name="Note 2 4 3 2 2 2" xfId="17205" xr:uid="{72082DEB-4B53-41AB-8FD9-3F09D148D966}"/>
    <cellStyle name="Note 2 4 3 2 3" xfId="12988" xr:uid="{3C2F5B39-F2C9-4801-BE2F-12944D65FFFF}"/>
    <cellStyle name="Note 2 4 3 3" xfId="5734" xr:uid="{00000000-0005-0000-0000-000023210000}"/>
    <cellStyle name="Note 2 4 3 3 2" xfId="15060" xr:uid="{1E072FBB-B9C6-4C60-B75B-78E4F7EA2035}"/>
    <cellStyle name="Note 2 4 3 4" xfId="10843" xr:uid="{58402982-00E1-40D5-ACF9-ADA00C208A18}"/>
    <cellStyle name="Note 2 4 4" xfId="1841" xr:uid="{00000000-0005-0000-0000-000024210000}"/>
    <cellStyle name="Note 2 4 4 2" xfId="4070" xr:uid="{00000000-0005-0000-0000-000025210000}"/>
    <cellStyle name="Note 2 4 4 2 2" xfId="8292" xr:uid="{00000000-0005-0000-0000-000026210000}"/>
    <cellStyle name="Note 2 4 4 2 2 2" xfId="17618" xr:uid="{E10498D3-069F-45FF-AE0E-44096444C188}"/>
    <cellStyle name="Note 2 4 4 2 3" xfId="13401" xr:uid="{945EFAB2-C4A2-44D3-BDCE-6561D67EC78F}"/>
    <cellStyle name="Note 2 4 4 3" xfId="6147" xr:uid="{00000000-0005-0000-0000-000027210000}"/>
    <cellStyle name="Note 2 4 4 3 2" xfId="15473" xr:uid="{52C75470-7A5B-4D13-A8C9-2D9EDF84688A}"/>
    <cellStyle name="Note 2 4 4 4" xfId="11256" xr:uid="{D0B140AC-5392-40FE-B8A5-9B13047FC19F}"/>
    <cellStyle name="Note 2 4 5" xfId="2254" xr:uid="{00000000-0005-0000-0000-000028210000}"/>
    <cellStyle name="Note 2 4 5 2" xfId="4483" xr:uid="{00000000-0005-0000-0000-000029210000}"/>
    <cellStyle name="Note 2 4 5 2 2" xfId="8705" xr:uid="{00000000-0005-0000-0000-00002A210000}"/>
    <cellStyle name="Note 2 4 5 2 2 2" xfId="18031" xr:uid="{36929860-2041-4749-B142-ABAA0F76C343}"/>
    <cellStyle name="Note 2 4 5 2 3" xfId="13814" xr:uid="{E81E24DF-9527-4426-9155-1CD40995CA55}"/>
    <cellStyle name="Note 2 4 5 3" xfId="6560" xr:uid="{00000000-0005-0000-0000-00002B210000}"/>
    <cellStyle name="Note 2 4 5 3 2" xfId="15886" xr:uid="{1877288C-6EDD-4F8B-B945-FC7263B93A0D}"/>
    <cellStyle name="Note 2 4 5 4" xfId="11669" xr:uid="{5633D667-89A2-4F5D-8E51-E833031C831D}"/>
    <cellStyle name="Note 2 4 6" xfId="2690" xr:uid="{00000000-0005-0000-0000-00002C210000}"/>
    <cellStyle name="Note 2 4 6 2" xfId="6973" xr:uid="{00000000-0005-0000-0000-00002D210000}"/>
    <cellStyle name="Note 2 4 6 2 2" xfId="16299" xr:uid="{493F4367-BA32-45BC-AD08-D8EDFFAC1D99}"/>
    <cellStyle name="Note 2 4 6 3" xfId="12082" xr:uid="{2FA39700-3C4C-4EED-978F-B6C8E74E14E4}"/>
    <cellStyle name="Note 2 4 7" xfId="2749" xr:uid="{00000000-0005-0000-0000-00002E210000}"/>
    <cellStyle name="Note 2 4 8" xfId="2830" xr:uid="{00000000-0005-0000-0000-00002F210000}"/>
    <cellStyle name="Note 2 4 8 2" xfId="7053" xr:uid="{00000000-0005-0000-0000-000030210000}"/>
    <cellStyle name="Note 2 4 8 2 2" xfId="16379" xr:uid="{17066AA2-CE83-4960-9D7E-1955688ACDCE}"/>
    <cellStyle name="Note 2 4 8 3" xfId="12162" xr:uid="{0B47864A-AF3B-4B03-8509-0C5CF59263B1}"/>
    <cellStyle name="Note 2 4 9" xfId="4908" xr:uid="{00000000-0005-0000-0000-000031210000}"/>
    <cellStyle name="Note 2 4 9 2" xfId="14234" xr:uid="{D5F2A771-90BC-46AF-91C6-996E47829C9B}"/>
    <cellStyle name="Note 2 5" xfId="552" xr:uid="{00000000-0005-0000-0000-000032210000}"/>
    <cellStyle name="Note 2 5 10" xfId="9215" xr:uid="{69947D86-0683-476F-9E74-96CA08091560}"/>
    <cellStyle name="Note 2 5 10 2" xfId="18531" xr:uid="{1E3BE360-868E-4AC9-9686-BA7F5C18DC79}"/>
    <cellStyle name="Note 2 5 11" xfId="10018" xr:uid="{5CEDB889-BAFB-4B9E-8DFC-A9BEB05E2D1B}"/>
    <cellStyle name="Note 2 5 2" xfId="1013" xr:uid="{00000000-0005-0000-0000-000033210000}"/>
    <cellStyle name="Note 2 5 2 2" xfId="3245" xr:uid="{00000000-0005-0000-0000-000034210000}"/>
    <cellStyle name="Note 2 5 2 2 2" xfId="7467" xr:uid="{00000000-0005-0000-0000-000035210000}"/>
    <cellStyle name="Note 2 5 2 2 2 2" xfId="16793" xr:uid="{91408934-58AF-489A-916E-61DBF7DFE250}"/>
    <cellStyle name="Note 2 5 2 2 3" xfId="12576" xr:uid="{AB711CE4-9374-4C41-9EBF-6223077A6121}"/>
    <cellStyle name="Note 2 5 2 3" xfId="5322" xr:uid="{00000000-0005-0000-0000-000036210000}"/>
    <cellStyle name="Note 2 5 2 3 2" xfId="14648" xr:uid="{566451F5-F225-4583-8C44-03A4B8CA32E8}"/>
    <cellStyle name="Note 2 5 2 4" xfId="9610" xr:uid="{26530D10-1DF8-4FA4-8FC9-4C945AA92A94}"/>
    <cellStyle name="Note 2 5 2 4 2" xfId="18910" xr:uid="{0103BD3A-E130-4F86-BD45-2C86FFB47492}"/>
    <cellStyle name="Note 2 5 2 5" xfId="10431" xr:uid="{CC84AB99-716E-4684-8035-A99A5465D50D}"/>
    <cellStyle name="Note 2 5 3" xfId="1428" xr:uid="{00000000-0005-0000-0000-000037210000}"/>
    <cellStyle name="Note 2 5 3 2" xfId="3658" xr:uid="{00000000-0005-0000-0000-000038210000}"/>
    <cellStyle name="Note 2 5 3 2 2" xfId="7880" xr:uid="{00000000-0005-0000-0000-000039210000}"/>
    <cellStyle name="Note 2 5 3 2 2 2" xfId="17206" xr:uid="{953618EB-AD45-4B2C-93DF-CFE6AC2C30E1}"/>
    <cellStyle name="Note 2 5 3 2 3" xfId="12989" xr:uid="{262354C4-753D-4B19-AAD1-0A021CFB64B2}"/>
    <cellStyle name="Note 2 5 3 3" xfId="5735" xr:uid="{00000000-0005-0000-0000-00003A210000}"/>
    <cellStyle name="Note 2 5 3 3 2" xfId="15061" xr:uid="{A60D8BA4-EBE7-4659-AB89-89FE2D92DC48}"/>
    <cellStyle name="Note 2 5 3 4" xfId="10844" xr:uid="{F9FB1A8B-D87A-45DE-BEE6-77CCAC40196E}"/>
    <cellStyle name="Note 2 5 4" xfId="1842" xr:uid="{00000000-0005-0000-0000-00003B210000}"/>
    <cellStyle name="Note 2 5 4 2" xfId="4071" xr:uid="{00000000-0005-0000-0000-00003C210000}"/>
    <cellStyle name="Note 2 5 4 2 2" xfId="8293" xr:uid="{00000000-0005-0000-0000-00003D210000}"/>
    <cellStyle name="Note 2 5 4 2 2 2" xfId="17619" xr:uid="{3F5FA278-8D54-4069-AF68-D653EE684B26}"/>
    <cellStyle name="Note 2 5 4 2 3" xfId="13402" xr:uid="{3468727F-00A1-48F0-89E0-51EF3AD72913}"/>
    <cellStyle name="Note 2 5 4 3" xfId="6148" xr:uid="{00000000-0005-0000-0000-00003E210000}"/>
    <cellStyle name="Note 2 5 4 3 2" xfId="15474" xr:uid="{83ADA622-880F-4789-A198-3D55D6E37907}"/>
    <cellStyle name="Note 2 5 4 4" xfId="11257" xr:uid="{4D462022-535F-44A2-8B0B-595C8D21E02D}"/>
    <cellStyle name="Note 2 5 5" xfId="2255" xr:uid="{00000000-0005-0000-0000-00003F210000}"/>
    <cellStyle name="Note 2 5 5 2" xfId="4484" xr:uid="{00000000-0005-0000-0000-000040210000}"/>
    <cellStyle name="Note 2 5 5 2 2" xfId="8706" xr:uid="{00000000-0005-0000-0000-000041210000}"/>
    <cellStyle name="Note 2 5 5 2 2 2" xfId="18032" xr:uid="{E68D24B3-A462-489E-B86C-B450216A53E3}"/>
    <cellStyle name="Note 2 5 5 2 3" xfId="13815" xr:uid="{6D48D304-75FC-4F79-A086-7A74C7B71591}"/>
    <cellStyle name="Note 2 5 5 3" xfId="6561" xr:uid="{00000000-0005-0000-0000-000042210000}"/>
    <cellStyle name="Note 2 5 5 3 2" xfId="15887" xr:uid="{E1A84BF7-9DE9-4E82-9E06-1A66569DDF36}"/>
    <cellStyle name="Note 2 5 5 4" xfId="11670" xr:uid="{BEDEDC3D-AF44-4EFE-B942-5337A4B8B0F1}"/>
    <cellStyle name="Note 2 5 6" xfId="2691" xr:uid="{00000000-0005-0000-0000-000043210000}"/>
    <cellStyle name="Note 2 5 6 2" xfId="6974" xr:uid="{00000000-0005-0000-0000-000044210000}"/>
    <cellStyle name="Note 2 5 6 2 2" xfId="16300" xr:uid="{44C4A36F-D4E7-4612-9C27-3373CC9B9BA5}"/>
    <cellStyle name="Note 2 5 6 3" xfId="12083" xr:uid="{ED3E08CB-00A6-4FD2-BC79-E474717ABCD5}"/>
    <cellStyle name="Note 2 5 7" xfId="2750" xr:uid="{00000000-0005-0000-0000-000045210000}"/>
    <cellStyle name="Note 2 5 8" xfId="2831" xr:uid="{00000000-0005-0000-0000-000046210000}"/>
    <cellStyle name="Note 2 5 8 2" xfId="7054" xr:uid="{00000000-0005-0000-0000-000047210000}"/>
    <cellStyle name="Note 2 5 8 2 2" xfId="16380" xr:uid="{F35C778E-FD14-42F8-86D4-71975DA88218}"/>
    <cellStyle name="Note 2 5 8 3" xfId="12163" xr:uid="{1697CE83-311F-4EAF-92F9-2B3959192B3B}"/>
    <cellStyle name="Note 2 5 9" xfId="4909" xr:uid="{00000000-0005-0000-0000-000048210000}"/>
    <cellStyle name="Note 2 5 9 2" xfId="14235" xr:uid="{43218170-0974-4180-BECA-F3E8CFF5D55F}"/>
    <cellStyle name="Note 2 6" xfId="9587" xr:uid="{DE0DCBC9-1C06-4AD6-BDCF-10B3C6A625B6}"/>
    <cellStyle name="Note 2 7" xfId="8791" xr:uid="{7AC3614D-154D-4BB0-B207-B3151ECF2433}"/>
    <cellStyle name="Note 2 7 2" xfId="18115" xr:uid="{A8AF85E2-763E-4A3B-BC07-69C1E8E12122}"/>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0CC97C92-AAA8-497A-9277-624CE0146EE8}"/>
    <cellStyle name="Note 3 2 10 3" xfId="12164" xr:uid="{676906AB-CB2F-4079-AF0E-4E06FF4C29C2}"/>
    <cellStyle name="Note 3 2 11" xfId="4910" xr:uid="{00000000-0005-0000-0000-00004D210000}"/>
    <cellStyle name="Note 3 2 11 2" xfId="14236" xr:uid="{73AF54DE-23C7-48FF-BE72-112B3649D86D}"/>
    <cellStyle name="Note 3 2 12" xfId="8842" xr:uid="{646587AC-B7A9-43E2-AC1E-1B77745805D8}"/>
    <cellStyle name="Note 3 2 12 2" xfId="18166" xr:uid="{CBDA6BAF-E1F9-457B-841B-87B88D896943}"/>
    <cellStyle name="Note 3 2 13" xfId="10019" xr:uid="{9003C94E-6B72-4A9C-A8ED-3401A87444D2}"/>
    <cellStyle name="Note 3 2 2" xfId="555" xr:uid="{00000000-0005-0000-0000-00004E210000}"/>
    <cellStyle name="Note 3 2 2 10" xfId="4911" xr:uid="{00000000-0005-0000-0000-00004F210000}"/>
    <cellStyle name="Note 3 2 2 10 2" xfId="14237" xr:uid="{BECD6E52-82D8-424B-810A-3B93F8C12C92}"/>
    <cellStyle name="Note 3 2 2 11" xfId="8945" xr:uid="{D320AF38-4F47-4266-9CB9-3BD7E15BFDAE}"/>
    <cellStyle name="Note 3 2 2 11 2" xfId="18269" xr:uid="{D36C8B38-4326-404E-B6C9-D36B8613AC9F}"/>
    <cellStyle name="Note 3 2 2 12" xfId="10020" xr:uid="{BD5FC35D-6ACF-4AB3-9A82-A786AF8122B1}"/>
    <cellStyle name="Note 3 2 2 2" xfId="556" xr:uid="{00000000-0005-0000-0000-000050210000}"/>
    <cellStyle name="Note 3 2 2 2 10" xfId="9152" xr:uid="{24874F5B-4700-44ED-9556-84C4E89A274D}"/>
    <cellStyle name="Note 3 2 2 2 10 2" xfId="18476" xr:uid="{5588012C-BBD6-411E-86A4-47E3B551E69C}"/>
    <cellStyle name="Note 3 2 2 2 11" xfId="10021" xr:uid="{5AE0FFED-514A-4B14-9E67-A10A91CE9B4E}"/>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108051BF-590E-42B3-BA7F-8FB9495E4CBF}"/>
    <cellStyle name="Note 3 2 2 2 2 2 3" xfId="12579" xr:uid="{DFEE3405-AA4B-4FBB-B595-853DD03FCB68}"/>
    <cellStyle name="Note 3 2 2 2 2 3" xfId="5325" xr:uid="{00000000-0005-0000-0000-000054210000}"/>
    <cellStyle name="Note 3 2 2 2 2 3 2" xfId="14651" xr:uid="{7094F326-FE95-415A-B0AF-74B908701BC2}"/>
    <cellStyle name="Note 3 2 2 2 2 4" xfId="9577" xr:uid="{7C0C89D7-CA14-4942-89B2-D584AC810EDC}"/>
    <cellStyle name="Note 3 2 2 2 2 4 2" xfId="18892" xr:uid="{CBA9B181-5F04-4976-9E0B-E489B0631B88}"/>
    <cellStyle name="Note 3 2 2 2 2 5" xfId="10434" xr:uid="{36E65597-5E59-4632-860F-8562A8509E6C}"/>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2231D3DD-770D-44FF-A350-70D45430FC19}"/>
    <cellStyle name="Note 3 2 2 2 3 2 3" xfId="12992" xr:uid="{51FBC142-228C-42BB-8CE7-1FD55B9E3AD5}"/>
    <cellStyle name="Note 3 2 2 2 3 3" xfId="5738" xr:uid="{00000000-0005-0000-0000-000058210000}"/>
    <cellStyle name="Note 3 2 2 2 3 3 2" xfId="15064" xr:uid="{4F632D61-C106-445E-967E-ADE7E64613FA}"/>
    <cellStyle name="Note 3 2 2 2 3 4" xfId="10847" xr:uid="{3C5CAC84-6CCB-49A8-B794-EACA82043F88}"/>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87FF188B-A310-4BD2-A20A-02A9CA518B7A}"/>
    <cellStyle name="Note 3 2 2 2 4 2 3" xfId="13405" xr:uid="{057CC7F5-662A-4315-B03B-A69D18F66FDC}"/>
    <cellStyle name="Note 3 2 2 2 4 3" xfId="6151" xr:uid="{00000000-0005-0000-0000-00005C210000}"/>
    <cellStyle name="Note 3 2 2 2 4 3 2" xfId="15477" xr:uid="{A348B778-4907-4557-B674-CF564A4F4299}"/>
    <cellStyle name="Note 3 2 2 2 4 4" xfId="11260" xr:uid="{52175810-1102-4CC0-B67F-59EF433E1C57}"/>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CC7FF5A7-10D1-4BA3-A4D2-E76EECFE9672}"/>
    <cellStyle name="Note 3 2 2 2 5 2 3" xfId="13818" xr:uid="{AEF468AB-C104-458E-A883-FFC85BDF11FC}"/>
    <cellStyle name="Note 3 2 2 2 5 3" xfId="6564" xr:uid="{00000000-0005-0000-0000-000060210000}"/>
    <cellStyle name="Note 3 2 2 2 5 3 2" xfId="15890" xr:uid="{7C6BDD43-A075-491B-928C-5126917D5A9F}"/>
    <cellStyle name="Note 3 2 2 2 5 4" xfId="11673" xr:uid="{EEAEF8A1-40C5-4473-B82D-E149400CBF00}"/>
    <cellStyle name="Note 3 2 2 2 6" xfId="2694" xr:uid="{00000000-0005-0000-0000-000061210000}"/>
    <cellStyle name="Note 3 2 2 2 6 2" xfId="6977" xr:uid="{00000000-0005-0000-0000-000062210000}"/>
    <cellStyle name="Note 3 2 2 2 6 2 2" xfId="16303" xr:uid="{35F1B28D-8C3A-4212-B9E7-E0636CCBC4C5}"/>
    <cellStyle name="Note 3 2 2 2 6 3" xfId="12086" xr:uid="{84A70CB7-0968-4E11-8818-C6CB193F32DB}"/>
    <cellStyle name="Note 3 2 2 2 7" xfId="2753" xr:uid="{00000000-0005-0000-0000-000063210000}"/>
    <cellStyle name="Note 3 2 2 2 8" xfId="2834" xr:uid="{00000000-0005-0000-0000-000064210000}"/>
    <cellStyle name="Note 3 2 2 2 8 2" xfId="7057" xr:uid="{00000000-0005-0000-0000-000065210000}"/>
    <cellStyle name="Note 3 2 2 2 8 2 2" xfId="16383" xr:uid="{F2734F9A-04FA-416B-A1CA-8E1C7606B5A2}"/>
    <cellStyle name="Note 3 2 2 2 8 3" xfId="12166" xr:uid="{F23115EA-8A57-40E3-82AF-EAFF69A12D02}"/>
    <cellStyle name="Note 3 2 2 2 9" xfId="4912" xr:uid="{00000000-0005-0000-0000-000066210000}"/>
    <cellStyle name="Note 3 2 2 2 9 2" xfId="14238" xr:uid="{E2B09142-0207-4A51-B5BD-BF620F69298E}"/>
    <cellStyle name="Note 3 2 2 3" xfId="1015" xr:uid="{00000000-0005-0000-0000-000067210000}"/>
    <cellStyle name="Note 3 2 2 3 2" xfId="3247" xr:uid="{00000000-0005-0000-0000-000068210000}"/>
    <cellStyle name="Note 3 2 2 3 2 2" xfId="7469" xr:uid="{00000000-0005-0000-0000-000069210000}"/>
    <cellStyle name="Note 3 2 2 3 2 2 2" xfId="16795" xr:uid="{C1CA9424-07A8-482A-8D0F-2568FDAA08CE}"/>
    <cellStyle name="Note 3 2 2 3 2 3" xfId="12578" xr:uid="{44A90575-D849-445D-834E-E900CC57DAA5}"/>
    <cellStyle name="Note 3 2 2 3 3" xfId="5324" xr:uid="{00000000-0005-0000-0000-00006A210000}"/>
    <cellStyle name="Note 3 2 2 3 3 2" xfId="14650" xr:uid="{25825AC9-2620-421A-A05E-84E8BAD418B1}"/>
    <cellStyle name="Note 3 2 2 3 4" xfId="9370" xr:uid="{7A803908-679B-4EF0-9BD4-89724B1FB321}"/>
    <cellStyle name="Note 3 2 2 3 4 2" xfId="18685" xr:uid="{6B11BE95-28D6-4010-A222-885C1184C992}"/>
    <cellStyle name="Note 3 2 2 3 5" xfId="10433" xr:uid="{6EA2A003-45EB-4E68-AFB1-2BA733CCAF89}"/>
    <cellStyle name="Note 3 2 2 4" xfId="1430" xr:uid="{00000000-0005-0000-0000-00006B210000}"/>
    <cellStyle name="Note 3 2 2 4 2" xfId="3660" xr:uid="{00000000-0005-0000-0000-00006C210000}"/>
    <cellStyle name="Note 3 2 2 4 2 2" xfId="7882" xr:uid="{00000000-0005-0000-0000-00006D210000}"/>
    <cellStyle name="Note 3 2 2 4 2 2 2" xfId="17208" xr:uid="{079CAAFB-2238-4581-BFF4-7CBB010F8F1A}"/>
    <cellStyle name="Note 3 2 2 4 2 3" xfId="12991" xr:uid="{1CC2F505-CDE4-4D45-A148-0ED8E9AA938F}"/>
    <cellStyle name="Note 3 2 2 4 3" xfId="5737" xr:uid="{00000000-0005-0000-0000-00006E210000}"/>
    <cellStyle name="Note 3 2 2 4 3 2" xfId="15063" xr:uid="{A907ED76-4BCE-4387-BB37-B563D9C1A58F}"/>
    <cellStyle name="Note 3 2 2 4 4" xfId="10846" xr:uid="{2728D33F-A4EB-4147-AA5A-B8F10B3CE5C1}"/>
    <cellStyle name="Note 3 2 2 5" xfId="1844" xr:uid="{00000000-0005-0000-0000-00006F210000}"/>
    <cellStyle name="Note 3 2 2 5 2" xfId="4073" xr:uid="{00000000-0005-0000-0000-000070210000}"/>
    <cellStyle name="Note 3 2 2 5 2 2" xfId="8295" xr:uid="{00000000-0005-0000-0000-000071210000}"/>
    <cellStyle name="Note 3 2 2 5 2 2 2" xfId="17621" xr:uid="{365AA79D-12B1-4AFC-9C5E-786B7C7C6C54}"/>
    <cellStyle name="Note 3 2 2 5 2 3" xfId="13404" xr:uid="{16C32929-6920-41A6-8602-7A0B154C894F}"/>
    <cellStyle name="Note 3 2 2 5 3" xfId="6150" xr:uid="{00000000-0005-0000-0000-000072210000}"/>
    <cellStyle name="Note 3 2 2 5 3 2" xfId="15476" xr:uid="{06C74F99-7456-4C24-B927-10D6CC638486}"/>
    <cellStyle name="Note 3 2 2 5 4" xfId="11259" xr:uid="{4E6B2F49-43BE-4B52-A7B3-24D63161A63D}"/>
    <cellStyle name="Note 3 2 2 6" xfId="2257" xr:uid="{00000000-0005-0000-0000-000073210000}"/>
    <cellStyle name="Note 3 2 2 6 2" xfId="4486" xr:uid="{00000000-0005-0000-0000-000074210000}"/>
    <cellStyle name="Note 3 2 2 6 2 2" xfId="8708" xr:uid="{00000000-0005-0000-0000-000075210000}"/>
    <cellStyle name="Note 3 2 2 6 2 2 2" xfId="18034" xr:uid="{C6C320C3-B679-4437-B95B-F37BFCDBA2EC}"/>
    <cellStyle name="Note 3 2 2 6 2 3" xfId="13817" xr:uid="{76E20EAF-EA8A-499C-9781-84794BFA83EF}"/>
    <cellStyle name="Note 3 2 2 6 3" xfId="6563" xr:uid="{00000000-0005-0000-0000-000076210000}"/>
    <cellStyle name="Note 3 2 2 6 3 2" xfId="15889" xr:uid="{2E464046-8B89-40B4-B653-234F1F10A34A}"/>
    <cellStyle name="Note 3 2 2 6 4" xfId="11672" xr:uid="{8B8C4FAD-470F-4D5C-9070-E10864DB246F}"/>
    <cellStyle name="Note 3 2 2 7" xfId="2693" xr:uid="{00000000-0005-0000-0000-000077210000}"/>
    <cellStyle name="Note 3 2 2 7 2" xfId="6976" xr:uid="{00000000-0005-0000-0000-000078210000}"/>
    <cellStyle name="Note 3 2 2 7 2 2" xfId="16302" xr:uid="{7A6AA877-6F9C-47B9-98E0-AA7A6E4B01B3}"/>
    <cellStyle name="Note 3 2 2 7 3" xfId="12085" xr:uid="{63818DC4-D033-4C7D-9182-E37FAB6867C2}"/>
    <cellStyle name="Note 3 2 2 8" xfId="2752" xr:uid="{00000000-0005-0000-0000-000079210000}"/>
    <cellStyle name="Note 3 2 2 9" xfId="2833" xr:uid="{00000000-0005-0000-0000-00007A210000}"/>
    <cellStyle name="Note 3 2 2 9 2" xfId="7056" xr:uid="{00000000-0005-0000-0000-00007B210000}"/>
    <cellStyle name="Note 3 2 2 9 2 2" xfId="16382" xr:uid="{8F095901-99C7-417F-AF71-C48693D1CE25}"/>
    <cellStyle name="Note 3 2 2 9 3" xfId="12165" xr:uid="{B780E2B3-BD84-4604-A131-59303AA7E840}"/>
    <cellStyle name="Note 3 2 3" xfId="557" xr:uid="{00000000-0005-0000-0000-00007C210000}"/>
    <cellStyle name="Note 3 2 3 10" xfId="9049" xr:uid="{98DA21AE-8EED-4AF2-A5D5-94394E9C9EFE}"/>
    <cellStyle name="Note 3 2 3 10 2" xfId="18373" xr:uid="{2E1215CB-AAA8-4722-8907-D4A9253C1C5E}"/>
    <cellStyle name="Note 3 2 3 11" xfId="10022" xr:uid="{CA298091-1A10-4046-ADF9-571017124533}"/>
    <cellStyle name="Note 3 2 3 2" xfId="1017" xr:uid="{00000000-0005-0000-0000-00007D210000}"/>
    <cellStyle name="Note 3 2 3 2 2" xfId="3249" xr:uid="{00000000-0005-0000-0000-00007E210000}"/>
    <cellStyle name="Note 3 2 3 2 2 2" xfId="7471" xr:uid="{00000000-0005-0000-0000-00007F210000}"/>
    <cellStyle name="Note 3 2 3 2 2 2 2" xfId="16797" xr:uid="{AC5D1781-EE48-4524-8A0A-061B158B9C95}"/>
    <cellStyle name="Note 3 2 3 2 2 3" xfId="12580" xr:uid="{DEDB7257-17B6-4985-BF58-14111F21F52F}"/>
    <cellStyle name="Note 3 2 3 2 3" xfId="5326" xr:uid="{00000000-0005-0000-0000-000080210000}"/>
    <cellStyle name="Note 3 2 3 2 3 2" xfId="14652" xr:uid="{E410020D-B8B1-43CE-8B34-22DBED92F348}"/>
    <cellStyle name="Note 3 2 3 2 4" xfId="9474" xr:uid="{8827394E-7DCF-4E58-BF45-94E8587F7D91}"/>
    <cellStyle name="Note 3 2 3 2 4 2" xfId="18789" xr:uid="{ACE9BA4A-9588-4A5A-BB3C-0E2E19C92595}"/>
    <cellStyle name="Note 3 2 3 2 5" xfId="10435" xr:uid="{9B3B0E7D-81B8-4EC4-AB5A-72DB926A23FF}"/>
    <cellStyle name="Note 3 2 3 3" xfId="1432" xr:uid="{00000000-0005-0000-0000-000081210000}"/>
    <cellStyle name="Note 3 2 3 3 2" xfId="3662" xr:uid="{00000000-0005-0000-0000-000082210000}"/>
    <cellStyle name="Note 3 2 3 3 2 2" xfId="7884" xr:uid="{00000000-0005-0000-0000-000083210000}"/>
    <cellStyle name="Note 3 2 3 3 2 2 2" xfId="17210" xr:uid="{066DB454-46BA-4F01-8718-9A268E575399}"/>
    <cellStyle name="Note 3 2 3 3 2 3" xfId="12993" xr:uid="{EE774105-3148-4A6E-9FD1-6778D204DA0B}"/>
    <cellStyle name="Note 3 2 3 3 3" xfId="5739" xr:uid="{00000000-0005-0000-0000-000084210000}"/>
    <cellStyle name="Note 3 2 3 3 3 2" xfId="15065" xr:uid="{5BFA56BF-213F-41D6-BFC1-6440FB36B624}"/>
    <cellStyle name="Note 3 2 3 3 4" xfId="10848" xr:uid="{D76630B3-A296-44BE-A2DE-C6E1604206DB}"/>
    <cellStyle name="Note 3 2 3 4" xfId="1846" xr:uid="{00000000-0005-0000-0000-000085210000}"/>
    <cellStyle name="Note 3 2 3 4 2" xfId="4075" xr:uid="{00000000-0005-0000-0000-000086210000}"/>
    <cellStyle name="Note 3 2 3 4 2 2" xfId="8297" xr:uid="{00000000-0005-0000-0000-000087210000}"/>
    <cellStyle name="Note 3 2 3 4 2 2 2" xfId="17623" xr:uid="{40CE4664-9253-48C5-809E-573539864EA7}"/>
    <cellStyle name="Note 3 2 3 4 2 3" xfId="13406" xr:uid="{23FD24D7-3539-46ED-99E1-66AC62013F36}"/>
    <cellStyle name="Note 3 2 3 4 3" xfId="6152" xr:uid="{00000000-0005-0000-0000-000088210000}"/>
    <cellStyle name="Note 3 2 3 4 3 2" xfId="15478" xr:uid="{71BCD0C1-63B0-4AA1-80CC-5D2D2DD2343B}"/>
    <cellStyle name="Note 3 2 3 4 4" xfId="11261" xr:uid="{38A073A2-7F6D-483D-BC65-49C60A4C470F}"/>
    <cellStyle name="Note 3 2 3 5" xfId="2259" xr:uid="{00000000-0005-0000-0000-000089210000}"/>
    <cellStyle name="Note 3 2 3 5 2" xfId="4488" xr:uid="{00000000-0005-0000-0000-00008A210000}"/>
    <cellStyle name="Note 3 2 3 5 2 2" xfId="8710" xr:uid="{00000000-0005-0000-0000-00008B210000}"/>
    <cellStyle name="Note 3 2 3 5 2 2 2" xfId="18036" xr:uid="{70685EE6-2163-4CD4-B3EE-3DFFA4840A21}"/>
    <cellStyle name="Note 3 2 3 5 2 3" xfId="13819" xr:uid="{3FE92FB1-748B-4519-BC1A-B2306F8EB1A5}"/>
    <cellStyle name="Note 3 2 3 5 3" xfId="6565" xr:uid="{00000000-0005-0000-0000-00008C210000}"/>
    <cellStyle name="Note 3 2 3 5 3 2" xfId="15891" xr:uid="{77917A1D-852E-47E8-B218-E8FFB3F728EB}"/>
    <cellStyle name="Note 3 2 3 5 4" xfId="11674" xr:uid="{C29D2CB0-628D-4007-9FC4-0A2ADC6DA8E5}"/>
    <cellStyle name="Note 3 2 3 6" xfId="2695" xr:uid="{00000000-0005-0000-0000-00008D210000}"/>
    <cellStyle name="Note 3 2 3 6 2" xfId="6978" xr:uid="{00000000-0005-0000-0000-00008E210000}"/>
    <cellStyle name="Note 3 2 3 6 2 2" xfId="16304" xr:uid="{3B8B4763-6EFF-452F-AC32-98F4763CECB6}"/>
    <cellStyle name="Note 3 2 3 6 3" xfId="12087" xr:uid="{A7214073-0E9D-44A0-AA87-D72CB01BBD46}"/>
    <cellStyle name="Note 3 2 3 7" xfId="2754" xr:uid="{00000000-0005-0000-0000-00008F210000}"/>
    <cellStyle name="Note 3 2 3 8" xfId="2835" xr:uid="{00000000-0005-0000-0000-000090210000}"/>
    <cellStyle name="Note 3 2 3 8 2" xfId="7058" xr:uid="{00000000-0005-0000-0000-000091210000}"/>
    <cellStyle name="Note 3 2 3 8 2 2" xfId="16384" xr:uid="{46FCF9F2-6331-4174-AFDD-63CA1DF6F3D1}"/>
    <cellStyle name="Note 3 2 3 8 3" xfId="12167" xr:uid="{B45DF1F7-8DBE-4023-BDD2-42CAB2F15CB2}"/>
    <cellStyle name="Note 3 2 3 9" xfId="4913" xr:uid="{00000000-0005-0000-0000-000092210000}"/>
    <cellStyle name="Note 3 2 3 9 2" xfId="14239" xr:uid="{BBA89ABC-1D7D-4599-9094-0B348A813856}"/>
    <cellStyle name="Note 3 2 4" xfId="1014" xr:uid="{00000000-0005-0000-0000-000093210000}"/>
    <cellStyle name="Note 3 2 4 2" xfId="3246" xr:uid="{00000000-0005-0000-0000-000094210000}"/>
    <cellStyle name="Note 3 2 4 2 2" xfId="7468" xr:uid="{00000000-0005-0000-0000-000095210000}"/>
    <cellStyle name="Note 3 2 4 2 2 2" xfId="16794" xr:uid="{D3C2E9AF-E9F2-4E19-BB28-16C523CB5440}"/>
    <cellStyle name="Note 3 2 4 2 3" xfId="12577" xr:uid="{50715B35-3CFA-42B3-B5E2-89DF59508F1A}"/>
    <cellStyle name="Note 3 2 4 3" xfId="5323" xr:uid="{00000000-0005-0000-0000-000096210000}"/>
    <cellStyle name="Note 3 2 4 3 2" xfId="14649" xr:uid="{C5557EC4-9EA8-4D18-AD64-363A525FC933}"/>
    <cellStyle name="Note 3 2 4 4" xfId="9267" xr:uid="{1291CED5-E18E-4F1A-8856-A132B18F5C81}"/>
    <cellStyle name="Note 3 2 4 4 2" xfId="18582" xr:uid="{A55F0A70-F273-4C9A-91C7-00316A6D7908}"/>
    <cellStyle name="Note 3 2 4 5" xfId="10432" xr:uid="{6FB2BB23-8C4D-4697-9AF5-9D55C7BAA587}"/>
    <cellStyle name="Note 3 2 5" xfId="1429" xr:uid="{00000000-0005-0000-0000-000097210000}"/>
    <cellStyle name="Note 3 2 5 2" xfId="3659" xr:uid="{00000000-0005-0000-0000-000098210000}"/>
    <cellStyle name="Note 3 2 5 2 2" xfId="7881" xr:uid="{00000000-0005-0000-0000-000099210000}"/>
    <cellStyle name="Note 3 2 5 2 2 2" xfId="17207" xr:uid="{797ACA76-DAD5-4CDD-A10D-03DA6177D993}"/>
    <cellStyle name="Note 3 2 5 2 3" xfId="12990" xr:uid="{F96270B5-4049-4611-9AE8-A1A9B38BAA02}"/>
    <cellStyle name="Note 3 2 5 3" xfId="5736" xr:uid="{00000000-0005-0000-0000-00009A210000}"/>
    <cellStyle name="Note 3 2 5 3 2" xfId="15062" xr:uid="{A275EF2C-481D-45A9-BD67-2E051BF938B4}"/>
    <cellStyle name="Note 3 2 5 4" xfId="10845" xr:uid="{D55E406F-1A81-4444-BD7A-2F8AA5DD6AAC}"/>
    <cellStyle name="Note 3 2 6" xfId="1843" xr:uid="{00000000-0005-0000-0000-00009B210000}"/>
    <cellStyle name="Note 3 2 6 2" xfId="4072" xr:uid="{00000000-0005-0000-0000-00009C210000}"/>
    <cellStyle name="Note 3 2 6 2 2" xfId="8294" xr:uid="{00000000-0005-0000-0000-00009D210000}"/>
    <cellStyle name="Note 3 2 6 2 2 2" xfId="17620" xr:uid="{488D01CC-5AE0-48CF-B130-3A8E7CE30C67}"/>
    <cellStyle name="Note 3 2 6 2 3" xfId="13403" xr:uid="{A38F7829-0C89-46EB-A7B2-7BC665588F05}"/>
    <cellStyle name="Note 3 2 6 3" xfId="6149" xr:uid="{00000000-0005-0000-0000-00009E210000}"/>
    <cellStyle name="Note 3 2 6 3 2" xfId="15475" xr:uid="{9D5038C2-22C8-4D1E-8322-BCB028E601D1}"/>
    <cellStyle name="Note 3 2 6 4" xfId="11258" xr:uid="{EDAB44F0-8B19-4D0B-9E3A-009C08D3EF07}"/>
    <cellStyle name="Note 3 2 7" xfId="2256" xr:uid="{00000000-0005-0000-0000-00009F210000}"/>
    <cellStyle name="Note 3 2 7 2" xfId="4485" xr:uid="{00000000-0005-0000-0000-0000A0210000}"/>
    <cellStyle name="Note 3 2 7 2 2" xfId="8707" xr:uid="{00000000-0005-0000-0000-0000A1210000}"/>
    <cellStyle name="Note 3 2 7 2 2 2" xfId="18033" xr:uid="{BF441837-5978-4D99-94A8-F2F0A09B041D}"/>
    <cellStyle name="Note 3 2 7 2 3" xfId="13816" xr:uid="{B3D6710E-639F-4D74-8774-A2174E911976}"/>
    <cellStyle name="Note 3 2 7 3" xfId="6562" xr:uid="{00000000-0005-0000-0000-0000A2210000}"/>
    <cellStyle name="Note 3 2 7 3 2" xfId="15888" xr:uid="{8D9BA61A-55D1-479F-8804-3B02CC609C2F}"/>
    <cellStyle name="Note 3 2 7 4" xfId="11671" xr:uid="{B39FE488-ED64-45A5-AA51-227A4C2E67DD}"/>
    <cellStyle name="Note 3 2 8" xfId="2692" xr:uid="{00000000-0005-0000-0000-0000A3210000}"/>
    <cellStyle name="Note 3 2 8 2" xfId="6975" xr:uid="{00000000-0005-0000-0000-0000A4210000}"/>
    <cellStyle name="Note 3 2 8 2 2" xfId="16301" xr:uid="{EA013489-C575-4E3D-9400-5997D815167D}"/>
    <cellStyle name="Note 3 2 8 3" xfId="12084" xr:uid="{D016009C-3200-49DE-96B8-23E9C0BC1B9C}"/>
    <cellStyle name="Note 3 2 9" xfId="2751" xr:uid="{00000000-0005-0000-0000-0000A5210000}"/>
    <cellStyle name="Note 3 3" xfId="558" xr:uid="{00000000-0005-0000-0000-0000A6210000}"/>
    <cellStyle name="Note 3 3 10" xfId="4914" xr:uid="{00000000-0005-0000-0000-0000A7210000}"/>
    <cellStyle name="Note 3 3 10 2" xfId="14240" xr:uid="{1D3BA3FB-44D5-46A9-BA7F-B659AD432210}"/>
    <cellStyle name="Note 3 3 11" xfId="8892" xr:uid="{8511F94A-7472-4DD0-A9AB-40754FEE5F47}"/>
    <cellStyle name="Note 3 3 11 2" xfId="18216" xr:uid="{0F8FC2DA-A1F6-4805-ABC3-6B2AF2E4A0CC}"/>
    <cellStyle name="Note 3 3 12" xfId="10023" xr:uid="{126540BB-C7C5-4934-8CC8-810CC837596C}"/>
    <cellStyle name="Note 3 3 2" xfId="559" xr:uid="{00000000-0005-0000-0000-0000A8210000}"/>
    <cellStyle name="Note 3 3 2 10" xfId="9099" xr:uid="{29F3AC20-D296-4B59-BA53-0A5C025B0569}"/>
    <cellStyle name="Note 3 3 2 10 2" xfId="18423" xr:uid="{0FF246FE-5EF1-41B6-B565-B26C12D35FDB}"/>
    <cellStyle name="Note 3 3 2 11" xfId="10024" xr:uid="{A22C6985-0A16-42CA-913C-C0F67CC52EC7}"/>
    <cellStyle name="Note 3 3 2 2" xfId="1019" xr:uid="{00000000-0005-0000-0000-0000A9210000}"/>
    <cellStyle name="Note 3 3 2 2 2" xfId="3251" xr:uid="{00000000-0005-0000-0000-0000AA210000}"/>
    <cellStyle name="Note 3 3 2 2 2 2" xfId="7473" xr:uid="{00000000-0005-0000-0000-0000AB210000}"/>
    <cellStyle name="Note 3 3 2 2 2 2 2" xfId="16799" xr:uid="{7481E3B1-82F6-42AF-B680-41563F265B6C}"/>
    <cellStyle name="Note 3 3 2 2 2 3" xfId="12582" xr:uid="{08347066-0F27-464B-A3BE-5E6D70CB61EE}"/>
    <cellStyle name="Note 3 3 2 2 3" xfId="5328" xr:uid="{00000000-0005-0000-0000-0000AC210000}"/>
    <cellStyle name="Note 3 3 2 2 3 2" xfId="14654" xr:uid="{F5B17748-EF81-47C9-AB03-E9B3DF0E9721}"/>
    <cellStyle name="Note 3 3 2 2 4" xfId="9524" xr:uid="{D03F5DE7-D9AB-48C0-A1E3-0A929D2C18C5}"/>
    <cellStyle name="Note 3 3 2 2 4 2" xfId="18839" xr:uid="{AA16F741-2515-4061-ACE5-05A2E6E253FB}"/>
    <cellStyle name="Note 3 3 2 2 5" xfId="10437" xr:uid="{90416904-29AC-4B11-B2C9-D59F4C3EDE61}"/>
    <cellStyle name="Note 3 3 2 3" xfId="1434" xr:uid="{00000000-0005-0000-0000-0000AD210000}"/>
    <cellStyle name="Note 3 3 2 3 2" xfId="3664" xr:uid="{00000000-0005-0000-0000-0000AE210000}"/>
    <cellStyle name="Note 3 3 2 3 2 2" xfId="7886" xr:uid="{00000000-0005-0000-0000-0000AF210000}"/>
    <cellStyle name="Note 3 3 2 3 2 2 2" xfId="17212" xr:uid="{A7E5192D-0E15-420A-AACD-E80796A44F9B}"/>
    <cellStyle name="Note 3 3 2 3 2 3" xfId="12995" xr:uid="{B78C09DD-0093-4E7E-A076-5DFD01AC5118}"/>
    <cellStyle name="Note 3 3 2 3 3" xfId="5741" xr:uid="{00000000-0005-0000-0000-0000B0210000}"/>
    <cellStyle name="Note 3 3 2 3 3 2" xfId="15067" xr:uid="{FEF19D22-9F9C-4129-AAD8-856AEC9BAEFD}"/>
    <cellStyle name="Note 3 3 2 3 4" xfId="10850" xr:uid="{387C5E29-1415-41B4-A3B1-1F06FA235AC8}"/>
    <cellStyle name="Note 3 3 2 4" xfId="1848" xr:uid="{00000000-0005-0000-0000-0000B1210000}"/>
    <cellStyle name="Note 3 3 2 4 2" xfId="4077" xr:uid="{00000000-0005-0000-0000-0000B2210000}"/>
    <cellStyle name="Note 3 3 2 4 2 2" xfId="8299" xr:uid="{00000000-0005-0000-0000-0000B3210000}"/>
    <cellStyle name="Note 3 3 2 4 2 2 2" xfId="17625" xr:uid="{8CF32395-680D-4ACE-9F85-5ED256E5C17C}"/>
    <cellStyle name="Note 3 3 2 4 2 3" xfId="13408" xr:uid="{79C674F8-6709-4852-8DCE-434DF7792497}"/>
    <cellStyle name="Note 3 3 2 4 3" xfId="6154" xr:uid="{00000000-0005-0000-0000-0000B4210000}"/>
    <cellStyle name="Note 3 3 2 4 3 2" xfId="15480" xr:uid="{69E5B6DA-6744-4676-9AB8-015E0F5808E4}"/>
    <cellStyle name="Note 3 3 2 4 4" xfId="11263" xr:uid="{C6F41396-6160-49A2-A8ED-3940A5E91271}"/>
    <cellStyle name="Note 3 3 2 5" xfId="2261" xr:uid="{00000000-0005-0000-0000-0000B5210000}"/>
    <cellStyle name="Note 3 3 2 5 2" xfId="4490" xr:uid="{00000000-0005-0000-0000-0000B6210000}"/>
    <cellStyle name="Note 3 3 2 5 2 2" xfId="8712" xr:uid="{00000000-0005-0000-0000-0000B7210000}"/>
    <cellStyle name="Note 3 3 2 5 2 2 2" xfId="18038" xr:uid="{DA73D495-2891-4F45-83AB-6BA0D6275026}"/>
    <cellStyle name="Note 3 3 2 5 2 3" xfId="13821" xr:uid="{98BAA58D-0250-4D29-8633-106FCEDCE317}"/>
    <cellStyle name="Note 3 3 2 5 3" xfId="6567" xr:uid="{00000000-0005-0000-0000-0000B8210000}"/>
    <cellStyle name="Note 3 3 2 5 3 2" xfId="15893" xr:uid="{42BF2062-38F9-48FC-9979-CB8CBB916CE5}"/>
    <cellStyle name="Note 3 3 2 5 4" xfId="11676" xr:uid="{B1BF5FDE-F5EE-487A-BC80-D27F96B4385D}"/>
    <cellStyle name="Note 3 3 2 6" xfId="2697" xr:uid="{00000000-0005-0000-0000-0000B9210000}"/>
    <cellStyle name="Note 3 3 2 6 2" xfId="6980" xr:uid="{00000000-0005-0000-0000-0000BA210000}"/>
    <cellStyle name="Note 3 3 2 6 2 2" xfId="16306" xr:uid="{A3BE6E8E-9925-4BFF-94D4-9DA06454426F}"/>
    <cellStyle name="Note 3 3 2 6 3" xfId="12089" xr:uid="{48D4EBC1-DBC8-4324-8460-E4B33DEFB8E9}"/>
    <cellStyle name="Note 3 3 2 7" xfId="2756" xr:uid="{00000000-0005-0000-0000-0000BB210000}"/>
    <cellStyle name="Note 3 3 2 8" xfId="2837" xr:uid="{00000000-0005-0000-0000-0000BC210000}"/>
    <cellStyle name="Note 3 3 2 8 2" xfId="7060" xr:uid="{00000000-0005-0000-0000-0000BD210000}"/>
    <cellStyle name="Note 3 3 2 8 2 2" xfId="16386" xr:uid="{DD2BABEE-D94C-4986-9629-BBEF7F345A3B}"/>
    <cellStyle name="Note 3 3 2 8 3" xfId="12169" xr:uid="{D438F730-267A-402F-A585-53BBA3EE2D9F}"/>
    <cellStyle name="Note 3 3 2 9" xfId="4915" xr:uid="{00000000-0005-0000-0000-0000BE210000}"/>
    <cellStyle name="Note 3 3 2 9 2" xfId="14241" xr:uid="{0326805C-885B-4038-A67C-95C990096040}"/>
    <cellStyle name="Note 3 3 3" xfId="1018" xr:uid="{00000000-0005-0000-0000-0000BF210000}"/>
    <cellStyle name="Note 3 3 3 2" xfId="3250" xr:uid="{00000000-0005-0000-0000-0000C0210000}"/>
    <cellStyle name="Note 3 3 3 2 2" xfId="7472" xr:uid="{00000000-0005-0000-0000-0000C1210000}"/>
    <cellStyle name="Note 3 3 3 2 2 2" xfId="16798" xr:uid="{71CFC67A-2C8D-4246-B019-8DAB2E02B518}"/>
    <cellStyle name="Note 3 3 3 2 3" xfId="12581" xr:uid="{3F469B01-DF65-48FE-A251-C2C0294F73FA}"/>
    <cellStyle name="Note 3 3 3 3" xfId="5327" xr:uid="{00000000-0005-0000-0000-0000C2210000}"/>
    <cellStyle name="Note 3 3 3 3 2" xfId="14653" xr:uid="{AE1C9143-D48D-45E8-806F-43CE4C323657}"/>
    <cellStyle name="Note 3 3 3 4" xfId="9317" xr:uid="{171D8024-554D-4F15-BFD3-81CBE1A601EA}"/>
    <cellStyle name="Note 3 3 3 4 2" xfId="18632" xr:uid="{60DA106A-9772-451D-AACF-35E59B76DAA5}"/>
    <cellStyle name="Note 3 3 3 5" xfId="10436" xr:uid="{CB616E54-DBBF-4DD3-A168-209B029C1EC5}"/>
    <cellStyle name="Note 3 3 4" xfId="1433" xr:uid="{00000000-0005-0000-0000-0000C3210000}"/>
    <cellStyle name="Note 3 3 4 2" xfId="3663" xr:uid="{00000000-0005-0000-0000-0000C4210000}"/>
    <cellStyle name="Note 3 3 4 2 2" xfId="7885" xr:uid="{00000000-0005-0000-0000-0000C5210000}"/>
    <cellStyle name="Note 3 3 4 2 2 2" xfId="17211" xr:uid="{12CED3CF-A87C-4EF6-971B-1938993AFBD6}"/>
    <cellStyle name="Note 3 3 4 2 3" xfId="12994" xr:uid="{B1537BF1-D7FC-4E08-820D-3A1BCD997E03}"/>
    <cellStyle name="Note 3 3 4 3" xfId="5740" xr:uid="{00000000-0005-0000-0000-0000C6210000}"/>
    <cellStyle name="Note 3 3 4 3 2" xfId="15066" xr:uid="{A8AAD53D-B66D-4B62-8808-59590349121C}"/>
    <cellStyle name="Note 3 3 4 4" xfId="10849" xr:uid="{54456875-67F0-41BF-89AB-7AD0593DE789}"/>
    <cellStyle name="Note 3 3 5" xfId="1847" xr:uid="{00000000-0005-0000-0000-0000C7210000}"/>
    <cellStyle name="Note 3 3 5 2" xfId="4076" xr:uid="{00000000-0005-0000-0000-0000C8210000}"/>
    <cellStyle name="Note 3 3 5 2 2" xfId="8298" xr:uid="{00000000-0005-0000-0000-0000C9210000}"/>
    <cellStyle name="Note 3 3 5 2 2 2" xfId="17624" xr:uid="{60119BEA-F101-4094-9D32-4140D4A6B330}"/>
    <cellStyle name="Note 3 3 5 2 3" xfId="13407" xr:uid="{D7EAF87F-367E-46AC-941E-9F622E0353E0}"/>
    <cellStyle name="Note 3 3 5 3" xfId="6153" xr:uid="{00000000-0005-0000-0000-0000CA210000}"/>
    <cellStyle name="Note 3 3 5 3 2" xfId="15479" xr:uid="{4559C488-E824-4173-91E9-CC5D97B58408}"/>
    <cellStyle name="Note 3 3 5 4" xfId="11262" xr:uid="{A79B0C29-572D-4C6B-A1C4-3FA988785240}"/>
    <cellStyle name="Note 3 3 6" xfId="2260" xr:uid="{00000000-0005-0000-0000-0000CB210000}"/>
    <cellStyle name="Note 3 3 6 2" xfId="4489" xr:uid="{00000000-0005-0000-0000-0000CC210000}"/>
    <cellStyle name="Note 3 3 6 2 2" xfId="8711" xr:uid="{00000000-0005-0000-0000-0000CD210000}"/>
    <cellStyle name="Note 3 3 6 2 2 2" xfId="18037" xr:uid="{1754F42F-F336-46D3-8D45-CF91F9F4AE34}"/>
    <cellStyle name="Note 3 3 6 2 3" xfId="13820" xr:uid="{3C40A95E-3D9F-466F-8767-E2EE24F46042}"/>
    <cellStyle name="Note 3 3 6 3" xfId="6566" xr:uid="{00000000-0005-0000-0000-0000CE210000}"/>
    <cellStyle name="Note 3 3 6 3 2" xfId="15892" xr:uid="{9F52E89D-2A00-49FC-AFD6-527601849792}"/>
    <cellStyle name="Note 3 3 6 4" xfId="11675" xr:uid="{B152EF53-9B95-4885-9FD8-9EC92B258F24}"/>
    <cellStyle name="Note 3 3 7" xfId="2696" xr:uid="{00000000-0005-0000-0000-0000CF210000}"/>
    <cellStyle name="Note 3 3 7 2" xfId="6979" xr:uid="{00000000-0005-0000-0000-0000D0210000}"/>
    <cellStyle name="Note 3 3 7 2 2" xfId="16305" xr:uid="{FF85C1A7-55E5-4820-921B-A12C459DDF29}"/>
    <cellStyle name="Note 3 3 7 3" xfId="12088" xr:uid="{991A2BBE-F747-4C81-9C7B-B8F54FCE8C2A}"/>
    <cellStyle name="Note 3 3 8" xfId="2755" xr:uid="{00000000-0005-0000-0000-0000D1210000}"/>
    <cellStyle name="Note 3 3 9" xfId="2836" xr:uid="{00000000-0005-0000-0000-0000D2210000}"/>
    <cellStyle name="Note 3 3 9 2" xfId="7059" xr:uid="{00000000-0005-0000-0000-0000D3210000}"/>
    <cellStyle name="Note 3 3 9 2 2" xfId="16385" xr:uid="{F467FF64-9D05-4368-B395-2B4AAAC6023D}"/>
    <cellStyle name="Note 3 3 9 3" xfId="12168" xr:uid="{68BAF7E1-FA76-48D5-B484-BFB2DFEA1E34}"/>
    <cellStyle name="Note 3 4" xfId="560" xr:uid="{00000000-0005-0000-0000-0000D4210000}"/>
    <cellStyle name="Note 3 4 10" xfId="8996" xr:uid="{0D704BEA-0820-4E61-9EA3-F4C1E73C6543}"/>
    <cellStyle name="Note 3 4 10 2" xfId="18320" xr:uid="{AA0B1C94-98DA-4EE8-A2CD-0A2F696C3FC6}"/>
    <cellStyle name="Note 3 4 11" xfId="10025" xr:uid="{6DE50825-7BEC-471A-A524-2AAE0BB7DC22}"/>
    <cellStyle name="Note 3 4 2" xfId="1020" xr:uid="{00000000-0005-0000-0000-0000D5210000}"/>
    <cellStyle name="Note 3 4 2 2" xfId="3252" xr:uid="{00000000-0005-0000-0000-0000D6210000}"/>
    <cellStyle name="Note 3 4 2 2 2" xfId="7474" xr:uid="{00000000-0005-0000-0000-0000D7210000}"/>
    <cellStyle name="Note 3 4 2 2 2 2" xfId="16800" xr:uid="{310671DB-CA10-438F-9691-EA074E1F9FB9}"/>
    <cellStyle name="Note 3 4 2 2 3" xfId="12583" xr:uid="{92F2E05D-D26C-4F4F-AA37-05967CDBE5E2}"/>
    <cellStyle name="Note 3 4 2 3" xfId="5329" xr:uid="{00000000-0005-0000-0000-0000D8210000}"/>
    <cellStyle name="Note 3 4 2 3 2" xfId="14655" xr:uid="{0977AE1E-F03C-460F-AD2E-6DF6D05EDFB7}"/>
    <cellStyle name="Note 3 4 2 4" xfId="9421" xr:uid="{EC0A57E0-416C-4EC5-866A-A09E44531CB5}"/>
    <cellStyle name="Note 3 4 2 4 2" xfId="18736" xr:uid="{DD1B214F-F367-42E0-80DD-3A74D318B8F8}"/>
    <cellStyle name="Note 3 4 2 5" xfId="10438" xr:uid="{8D6EFE01-AA9B-4828-898E-571160BED951}"/>
    <cellStyle name="Note 3 4 3" xfId="1435" xr:uid="{00000000-0005-0000-0000-0000D9210000}"/>
    <cellStyle name="Note 3 4 3 2" xfId="3665" xr:uid="{00000000-0005-0000-0000-0000DA210000}"/>
    <cellStyle name="Note 3 4 3 2 2" xfId="7887" xr:uid="{00000000-0005-0000-0000-0000DB210000}"/>
    <cellStyle name="Note 3 4 3 2 2 2" xfId="17213" xr:uid="{E1221238-ECE2-4A99-AC2B-ADCCF7124660}"/>
    <cellStyle name="Note 3 4 3 2 3" xfId="12996" xr:uid="{0082608F-8E4A-499B-A80D-B7389EB243E8}"/>
    <cellStyle name="Note 3 4 3 3" xfId="5742" xr:uid="{00000000-0005-0000-0000-0000DC210000}"/>
    <cellStyle name="Note 3 4 3 3 2" xfId="15068" xr:uid="{BE07FF0F-3120-45C1-AE54-573AC51EF2F5}"/>
    <cellStyle name="Note 3 4 3 4" xfId="10851" xr:uid="{723EE5D1-2F77-4CE4-9F31-361F70CBDF3D}"/>
    <cellStyle name="Note 3 4 4" xfId="1849" xr:uid="{00000000-0005-0000-0000-0000DD210000}"/>
    <cellStyle name="Note 3 4 4 2" xfId="4078" xr:uid="{00000000-0005-0000-0000-0000DE210000}"/>
    <cellStyle name="Note 3 4 4 2 2" xfId="8300" xr:uid="{00000000-0005-0000-0000-0000DF210000}"/>
    <cellStyle name="Note 3 4 4 2 2 2" xfId="17626" xr:uid="{501F497E-2DA6-4DB8-942A-5F60A5807E9F}"/>
    <cellStyle name="Note 3 4 4 2 3" xfId="13409" xr:uid="{845DC89C-34E8-46D5-8A72-E8A309C7B0D0}"/>
    <cellStyle name="Note 3 4 4 3" xfId="6155" xr:uid="{00000000-0005-0000-0000-0000E0210000}"/>
    <cellStyle name="Note 3 4 4 3 2" xfId="15481" xr:uid="{1328655E-4DD4-48C6-8136-C0D934014C27}"/>
    <cellStyle name="Note 3 4 4 4" xfId="11264" xr:uid="{594A41C2-D416-4FD5-A835-54C3B30BC6FB}"/>
    <cellStyle name="Note 3 4 5" xfId="2262" xr:uid="{00000000-0005-0000-0000-0000E1210000}"/>
    <cellStyle name="Note 3 4 5 2" xfId="4491" xr:uid="{00000000-0005-0000-0000-0000E2210000}"/>
    <cellStyle name="Note 3 4 5 2 2" xfId="8713" xr:uid="{00000000-0005-0000-0000-0000E3210000}"/>
    <cellStyle name="Note 3 4 5 2 2 2" xfId="18039" xr:uid="{8BA444D6-2682-4B2F-866F-28C63D131ED5}"/>
    <cellStyle name="Note 3 4 5 2 3" xfId="13822" xr:uid="{872F2893-6D7B-4CE6-BD8B-2C5849648EBB}"/>
    <cellStyle name="Note 3 4 5 3" xfId="6568" xr:uid="{00000000-0005-0000-0000-0000E4210000}"/>
    <cellStyle name="Note 3 4 5 3 2" xfId="15894" xr:uid="{93E33357-6B96-4A30-A806-A84901ABD1CA}"/>
    <cellStyle name="Note 3 4 5 4" xfId="11677" xr:uid="{B3F26B18-081D-403D-BCAA-EE58947E7804}"/>
    <cellStyle name="Note 3 4 6" xfId="2698" xr:uid="{00000000-0005-0000-0000-0000E5210000}"/>
    <cellStyle name="Note 3 4 6 2" xfId="6981" xr:uid="{00000000-0005-0000-0000-0000E6210000}"/>
    <cellStyle name="Note 3 4 6 2 2" xfId="16307" xr:uid="{17655BD1-72CB-450B-81DE-F5506314BC9D}"/>
    <cellStyle name="Note 3 4 6 3" xfId="12090" xr:uid="{A0352262-239F-471F-BE0E-AC72DE2AD63A}"/>
    <cellStyle name="Note 3 4 7" xfId="2757" xr:uid="{00000000-0005-0000-0000-0000E7210000}"/>
    <cellStyle name="Note 3 4 8" xfId="2838" xr:uid="{00000000-0005-0000-0000-0000E8210000}"/>
    <cellStyle name="Note 3 4 8 2" xfId="7061" xr:uid="{00000000-0005-0000-0000-0000E9210000}"/>
    <cellStyle name="Note 3 4 8 2 2" xfId="16387" xr:uid="{F1BE6014-30DA-46D0-98BA-64250B2B5B14}"/>
    <cellStyle name="Note 3 4 8 3" xfId="12170" xr:uid="{DDA780CA-5EB5-4A85-8F23-715B6CF1DA17}"/>
    <cellStyle name="Note 3 4 9" xfId="4916" xr:uid="{00000000-0005-0000-0000-0000EA210000}"/>
    <cellStyle name="Note 3 4 9 2" xfId="14242" xr:uid="{197173C6-803F-479B-B8F5-60C459B3D770}"/>
    <cellStyle name="Note 3 5" xfId="561" xr:uid="{00000000-0005-0000-0000-0000EB210000}"/>
    <cellStyle name="Note 3 5 10" xfId="9213" xr:uid="{D9D7FB9A-B03C-4A97-A778-36731B43DF3F}"/>
    <cellStyle name="Note 3 5 10 2" xfId="18529" xr:uid="{F06BBB78-7FAE-45F6-A664-E96B65E0FE37}"/>
    <cellStyle name="Note 3 5 11" xfId="10026" xr:uid="{7849C306-2B3F-488C-B5B5-7C78E64F6630}"/>
    <cellStyle name="Note 3 5 2" xfId="1021" xr:uid="{00000000-0005-0000-0000-0000EC210000}"/>
    <cellStyle name="Note 3 5 2 2" xfId="3253" xr:uid="{00000000-0005-0000-0000-0000ED210000}"/>
    <cellStyle name="Note 3 5 2 2 2" xfId="7475" xr:uid="{00000000-0005-0000-0000-0000EE210000}"/>
    <cellStyle name="Note 3 5 2 2 2 2" xfId="16801" xr:uid="{29C349E7-6844-4DA8-A9F9-8EBD41F45002}"/>
    <cellStyle name="Note 3 5 2 2 3" xfId="12584" xr:uid="{633D393D-D0DE-4266-B246-11C686077B07}"/>
    <cellStyle name="Note 3 5 2 3" xfId="5330" xr:uid="{00000000-0005-0000-0000-0000EF210000}"/>
    <cellStyle name="Note 3 5 2 3 2" xfId="14656" xr:uid="{47A9243A-4B28-4B21-8CF1-07263887B4DB}"/>
    <cellStyle name="Note 3 5 2 4" xfId="9611" xr:uid="{74765414-66B3-4FDA-BA21-3BFFEF98E338}"/>
    <cellStyle name="Note 3 5 2 4 2" xfId="18911" xr:uid="{409DAB3A-B8E5-4DA8-9BAC-6AD7DAB93E4B}"/>
    <cellStyle name="Note 3 5 2 5" xfId="10439" xr:uid="{A5A9986E-5186-43A3-9AE9-1EE59015FE70}"/>
    <cellStyle name="Note 3 5 3" xfId="1436" xr:uid="{00000000-0005-0000-0000-0000F0210000}"/>
    <cellStyle name="Note 3 5 3 2" xfId="3666" xr:uid="{00000000-0005-0000-0000-0000F1210000}"/>
    <cellStyle name="Note 3 5 3 2 2" xfId="7888" xr:uid="{00000000-0005-0000-0000-0000F2210000}"/>
    <cellStyle name="Note 3 5 3 2 2 2" xfId="17214" xr:uid="{D860BF24-40A1-4B07-BCF7-35248B96AB4E}"/>
    <cellStyle name="Note 3 5 3 2 3" xfId="12997" xr:uid="{6D4A8327-A68A-4BBC-8898-E53834B943D7}"/>
    <cellStyle name="Note 3 5 3 3" xfId="5743" xr:uid="{00000000-0005-0000-0000-0000F3210000}"/>
    <cellStyle name="Note 3 5 3 3 2" xfId="15069" xr:uid="{B291C660-8E08-48D4-A865-D7A540912808}"/>
    <cellStyle name="Note 3 5 3 4" xfId="10852" xr:uid="{21569DE3-CA99-476F-AF5E-4502408195C5}"/>
    <cellStyle name="Note 3 5 4" xfId="1850" xr:uid="{00000000-0005-0000-0000-0000F4210000}"/>
    <cellStyle name="Note 3 5 4 2" xfId="4079" xr:uid="{00000000-0005-0000-0000-0000F5210000}"/>
    <cellStyle name="Note 3 5 4 2 2" xfId="8301" xr:uid="{00000000-0005-0000-0000-0000F6210000}"/>
    <cellStyle name="Note 3 5 4 2 2 2" xfId="17627" xr:uid="{5C9BBC50-F6C7-4D34-A070-E0B634ADD57E}"/>
    <cellStyle name="Note 3 5 4 2 3" xfId="13410" xr:uid="{E57AE6D1-444C-40A5-9E9A-7523C29E2C10}"/>
    <cellStyle name="Note 3 5 4 3" xfId="6156" xr:uid="{00000000-0005-0000-0000-0000F7210000}"/>
    <cellStyle name="Note 3 5 4 3 2" xfId="15482" xr:uid="{320B00B6-996A-48B9-BC11-411D87498216}"/>
    <cellStyle name="Note 3 5 4 4" xfId="11265" xr:uid="{6469AAAF-AE69-4133-97AD-C66E135EC9B8}"/>
    <cellStyle name="Note 3 5 5" xfId="2263" xr:uid="{00000000-0005-0000-0000-0000F8210000}"/>
    <cellStyle name="Note 3 5 5 2" xfId="4492" xr:uid="{00000000-0005-0000-0000-0000F9210000}"/>
    <cellStyle name="Note 3 5 5 2 2" xfId="8714" xr:uid="{00000000-0005-0000-0000-0000FA210000}"/>
    <cellStyle name="Note 3 5 5 2 2 2" xfId="18040" xr:uid="{07140FAB-FAEB-4080-A17C-76E6C76A22B9}"/>
    <cellStyle name="Note 3 5 5 2 3" xfId="13823" xr:uid="{2B21ED08-789B-4A30-ADDD-7C82263C7ADF}"/>
    <cellStyle name="Note 3 5 5 3" xfId="6569" xr:uid="{00000000-0005-0000-0000-0000FB210000}"/>
    <cellStyle name="Note 3 5 5 3 2" xfId="15895" xr:uid="{193E923A-F8BF-4D55-8992-CE9439A61742}"/>
    <cellStyle name="Note 3 5 5 4" xfId="11678" xr:uid="{8780E65B-A14E-4EA8-8C53-42EF7A8E1023}"/>
    <cellStyle name="Note 3 5 6" xfId="2699" xr:uid="{00000000-0005-0000-0000-0000FC210000}"/>
    <cellStyle name="Note 3 5 6 2" xfId="6982" xr:uid="{00000000-0005-0000-0000-0000FD210000}"/>
    <cellStyle name="Note 3 5 6 2 2" xfId="16308" xr:uid="{D1B9649A-36CD-4A9F-B9AE-6C0F04E810C1}"/>
    <cellStyle name="Note 3 5 6 3" xfId="12091" xr:uid="{C92E2B77-DDD0-4FEF-8E1C-C2C8EB8492E7}"/>
    <cellStyle name="Note 3 5 7" xfId="2758" xr:uid="{00000000-0005-0000-0000-0000FE210000}"/>
    <cellStyle name="Note 3 5 8" xfId="2839" xr:uid="{00000000-0005-0000-0000-0000FF210000}"/>
    <cellStyle name="Note 3 5 8 2" xfId="7062" xr:uid="{00000000-0005-0000-0000-000000220000}"/>
    <cellStyle name="Note 3 5 8 2 2" xfId="16388" xr:uid="{0A3EE1AF-1F6F-433E-A0CD-115A2C3AD2AF}"/>
    <cellStyle name="Note 3 5 8 3" xfId="12171" xr:uid="{4CFFEC4B-37F8-44B0-9E17-CA8CD5DBC2E4}"/>
    <cellStyle name="Note 3 5 9" xfId="4917" xr:uid="{00000000-0005-0000-0000-000001220000}"/>
    <cellStyle name="Note 3 5 9 2" xfId="14243" xr:uid="{D67A1B1D-A318-42D5-A81C-C52F8DBB8FB8}"/>
    <cellStyle name="Note 3 6" xfId="9588" xr:uid="{4A2A2C5B-BA67-4FBC-A2F1-7546BE1E0E7F}"/>
    <cellStyle name="Note 3 7" xfId="8789" xr:uid="{EE6BC007-A514-4F23-A927-A69B937DFEC6}"/>
    <cellStyle name="Note 3 7 2" xfId="18113" xr:uid="{7E100F49-EA37-43DD-BE09-212F0D100E85}"/>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6" xr:uid="{779C06A0-0727-4614-AF9D-B48014C4D161}"/>
    <cellStyle name="Percent 3 3" xfId="13826" xr:uid="{0FFB10C9-FAF2-40FA-B131-5A5BD59A3EE8}"/>
    <cellStyle name="Percent 4" xfId="4502" xr:uid="{00000000-0005-0000-0000-000007220000}"/>
    <cellStyle name="Percent 4 2" xfId="8717" xr:uid="{00000000-0005-0000-0000-000008220000}"/>
    <cellStyle name="Percent 4 2 2" xfId="18043" xr:uid="{D60E0AE0-5C52-49DE-B6BF-44EF9A6F52F4}"/>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09ADBE40-A602-4014-858D-8937DEC51B5E}"/>
    <cellStyle name="Percent 4 3 2 2 2 2 3" xfId="18059" xr:uid="{619AA546-4480-475F-B6D2-BA664046A129}"/>
    <cellStyle name="Percent 4 3 2 2 2 3" xfId="18056" xr:uid="{2D74DE0C-FEE8-464C-B62C-447B527431C9}"/>
    <cellStyle name="Percent 4 3 2 2 3" xfId="18052" xr:uid="{FEE54D7E-9C30-47D9-AD80-81EF63B3C924}"/>
    <cellStyle name="Percent 4 3 2 3" xfId="18049" xr:uid="{967DC6EE-A07F-4E5A-BDDD-3FCFDC021487}"/>
    <cellStyle name="Percent 4 3 3" xfId="18046" xr:uid="{82BE229F-4DDA-494A-A8A0-37E826B634C3}"/>
    <cellStyle name="Percent 4 4" xfId="13829" xr:uid="{1F51522F-6672-4938-B889-F4A793EB8B3D}"/>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652</v>
      </c>
      <c r="F40" s="1266" t="s">
        <v>1163</v>
      </c>
    </row>
    <row r="41" spans="1:38" s="1266"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508</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2001</v>
      </c>
      <c r="F138" s="2"/>
      <c r="G138" s="2"/>
      <c r="H138" s="2"/>
    </row>
    <row r="139" spans="4:37">
      <c r="E139" t="s">
        <v>112</v>
      </c>
      <c r="F139" t="s">
        <v>52</v>
      </c>
    </row>
    <row r="140" spans="4:37">
      <c r="E140" t="s">
        <v>113</v>
      </c>
      <c r="F140" t="s">
        <v>465</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60" sqref="G60"/>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3" t="s">
        <v>1573</v>
      </c>
      <c r="B1" s="2663"/>
      <c r="C1" s="2663"/>
      <c r="D1" s="2663"/>
      <c r="E1" s="2663"/>
      <c r="F1" s="2663"/>
      <c r="G1" s="2663"/>
      <c r="H1" s="2663"/>
      <c r="I1" s="2663"/>
      <c r="J1" s="2663"/>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10778824</v>
      </c>
      <c r="I3" s="1099"/>
    </row>
    <row r="4" spans="1:13" s="1046" customFormat="1" ht="20.100000000000001" customHeight="1">
      <c r="B4" s="1088"/>
      <c r="D4" s="1102"/>
      <c r="F4" s="1087" t="s">
        <v>1964</v>
      </c>
      <c r="G4" s="1086" t="s">
        <v>1963</v>
      </c>
      <c r="H4" s="1201">
        <f>I18</f>
        <v>6759636</v>
      </c>
      <c r="I4" s="1089"/>
      <c r="K4" s="1050"/>
    </row>
    <row r="5" spans="1:13" s="1046" customFormat="1" ht="20.100000000000001" customHeight="1" thickBot="1">
      <c r="B5" s="1090"/>
      <c r="C5" s="1091"/>
      <c r="D5" s="1103"/>
      <c r="E5" s="1092"/>
      <c r="F5" s="1103" t="s">
        <v>1914</v>
      </c>
      <c r="G5" s="1104"/>
      <c r="H5" s="1100">
        <f>IFERROR(H3/H4,0)</f>
        <v>1.5945864540635029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6" t="s">
        <v>1912</v>
      </c>
      <c r="C8" s="2667"/>
      <c r="D8" s="2667"/>
      <c r="E8" s="2668"/>
      <c r="G8" s="2647" t="s">
        <v>1913</v>
      </c>
      <c r="H8" s="2648"/>
      <c r="I8" s="2649"/>
      <c r="K8" s="1052"/>
    </row>
    <row r="9" spans="1:13" ht="15" customHeight="1">
      <c r="A9" s="1041"/>
      <c r="B9" s="2664" t="s">
        <v>1946</v>
      </c>
      <c r="C9" s="2664"/>
      <c r="D9" s="2664"/>
      <c r="E9" s="1054">
        <f>G33</f>
        <v>1725000</v>
      </c>
      <c r="G9" s="2660" t="s">
        <v>1944</v>
      </c>
      <c r="H9" s="2660"/>
      <c r="I9" s="1055">
        <f>MAX(SUMIF(Application!M562:M573,"Loan, Tax-Exempt",Application!AM562:AM573),27.5%*SUM('Sources and Uses Budget'!C8,'Sources and Uses Budget'!S105,'Sources and Uses Budget'!T105))</f>
        <v>6932960</v>
      </c>
      <c r="K9" s="1056"/>
      <c r="M9" s="1057"/>
    </row>
    <row r="10" spans="1:13" ht="15" customHeight="1" thickBot="1">
      <c r="A10" s="1041"/>
      <c r="B10" s="2664" t="s">
        <v>1947</v>
      </c>
      <c r="C10" s="2664"/>
      <c r="D10" s="2664"/>
      <c r="E10" s="1055">
        <f>G47</f>
        <v>5742324.0000000009</v>
      </c>
      <c r="G10" s="2662" t="s">
        <v>1915</v>
      </c>
      <c r="H10" s="2662"/>
      <c r="I10" s="1134">
        <f>IF(OR(Application!Z205="State Farmworker Credit",Application!Z205="$500M (Farmworker Housing)"),0,'Basis &amp; Credits'!AB78)</f>
        <v>0</v>
      </c>
      <c r="M10" s="1057"/>
    </row>
    <row r="11" spans="1:13" ht="15" customHeight="1">
      <c r="A11" s="1041"/>
      <c r="B11" s="2670" t="s">
        <v>2211</v>
      </c>
      <c r="C11" s="2671"/>
      <c r="D11" s="2672"/>
      <c r="E11" s="1055">
        <f>SUM(E13,E12)</f>
        <v>310000</v>
      </c>
      <c r="G11" s="2669" t="s">
        <v>1955</v>
      </c>
      <c r="H11" s="2669"/>
      <c r="I11" s="1133">
        <f>I9+I10</f>
        <v>6932960</v>
      </c>
      <c r="M11" s="1057"/>
    </row>
    <row r="12" spans="1:13" ht="15" customHeight="1">
      <c r="A12" s="1058"/>
      <c r="B12" s="2665" t="s">
        <v>2574</v>
      </c>
      <c r="C12" s="2665"/>
      <c r="D12" s="2665"/>
      <c r="E12" s="1158">
        <f>G56</f>
        <v>240000</v>
      </c>
      <c r="M12" s="1057"/>
    </row>
    <row r="13" spans="1:13" ht="15" customHeight="1">
      <c r="A13" s="1044"/>
      <c r="B13" s="2665" t="s">
        <v>2575</v>
      </c>
      <c r="C13" s="2665"/>
      <c r="D13" s="2665"/>
      <c r="E13" s="1158">
        <f>IF(G67,MAX(G65,G79),G65)</f>
        <v>70000</v>
      </c>
      <c r="G13" s="2647" t="s">
        <v>1978</v>
      </c>
      <c r="H13" s="2648"/>
      <c r="I13" s="2649"/>
    </row>
    <row r="14" spans="1:13" ht="15" customHeight="1">
      <c r="A14" s="1044"/>
      <c r="B14" s="2670" t="s">
        <v>2212</v>
      </c>
      <c r="C14" s="2671"/>
      <c r="D14" s="2672"/>
      <c r="E14" s="1160">
        <f>MAX(E15,E16)+E17</f>
        <v>3001500</v>
      </c>
      <c r="G14" s="2660" t="s">
        <v>2591</v>
      </c>
      <c r="H14" s="2660"/>
      <c r="I14" s="1059">
        <f>IF(AND(G134="Yes",G136&lt;&gt;""),IF(OR(G141="Yes",G145="Yes"),18%,15%),0)</f>
        <v>0</v>
      </c>
      <c r="M14" s="1057"/>
    </row>
    <row r="15" spans="1:13" ht="15" customHeight="1">
      <c r="A15" s="1044"/>
      <c r="B15" s="2644" t="s">
        <v>2588</v>
      </c>
      <c r="C15" s="2645"/>
      <c r="D15" s="2646"/>
      <c r="E15" s="1158">
        <f>G94</f>
        <v>1035000</v>
      </c>
      <c r="G15" s="1131" t="s">
        <v>1956</v>
      </c>
      <c r="H15" s="1131"/>
      <c r="I15" s="1059">
        <f>IF(Application!AJ1041&gt;0,10%,IF(Application!AJ1045&gt;0,5%,0))</f>
        <v>0</v>
      </c>
      <c r="M15" s="1057"/>
    </row>
    <row r="16" spans="1:13" ht="15" customHeight="1">
      <c r="A16" s="1044"/>
      <c r="B16" s="2644" t="s">
        <v>2589</v>
      </c>
      <c r="C16" s="2645"/>
      <c r="D16" s="2646"/>
      <c r="E16" s="1158">
        <f>G104</f>
        <v>0</v>
      </c>
      <c r="G16" s="2660" t="s">
        <v>1957</v>
      </c>
      <c r="H16" s="2660"/>
      <c r="I16" s="1059">
        <f>G155</f>
        <v>2.5000000000000001E-2</v>
      </c>
    </row>
    <row r="17" spans="1:21" ht="15" customHeight="1" thickBot="1">
      <c r="A17" s="1044"/>
      <c r="B17" s="2644" t="s">
        <v>2590</v>
      </c>
      <c r="C17" s="2645"/>
      <c r="D17" s="2646"/>
      <c r="E17" s="1158">
        <f>G129</f>
        <v>1966500</v>
      </c>
      <c r="G17" s="2660" t="s">
        <v>2220</v>
      </c>
      <c r="H17" s="2660"/>
      <c r="I17" s="1059">
        <f>IF(AND(G161="Yes",G159),IF(G165&gt;15%,15%,G165),0)</f>
        <v>0</v>
      </c>
    </row>
    <row r="18" spans="1:21" ht="15" customHeight="1">
      <c r="A18" s="1041"/>
      <c r="B18" s="2661" t="s">
        <v>1911</v>
      </c>
      <c r="C18" s="2661"/>
      <c r="D18" s="2661"/>
      <c r="E18" s="1105">
        <f>SUM(E9:E11,E14)</f>
        <v>10778824</v>
      </c>
      <c r="G18" s="1132" t="s">
        <v>1945</v>
      </c>
      <c r="H18" s="1132"/>
      <c r="I18" s="1106">
        <f>I11-((I11*I14)+(I11*I15)+(I11*I16)+(I11*I17))</f>
        <v>6759636</v>
      </c>
      <c r="M18" s="1060">
        <f>SUM(Cdlac[Quantity])</f>
        <v>28</v>
      </c>
      <c r="O18" s="1079" t="s">
        <v>581</v>
      </c>
      <c r="P18" s="1039">
        <f>MATCH(Application!T189,Application!CB160:CB217,0)</f>
        <v>40</v>
      </c>
      <c r="T18" s="1060">
        <f>SUM(Cdlac[Population])</f>
        <v>7</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7</v>
      </c>
      <c r="N20" s="1066">
        <f>Application!AC726</f>
        <v>0.3</v>
      </c>
      <c r="O20" s="1066">
        <f>IF(Cdlac[[#This Row],[Quantity]]&gt;0,IF(Cdlac[[#This Row],[Federal]],30%,IF(AND(OR(NOT($G$38),$G$38=""),$G$43),40%,Cdlac[[#This Row],[iAMI]])),"")</f>
        <v>0.3</v>
      </c>
      <c r="P20" s="1060" cm="1">
        <f t="array" ref="P20">IF(Cdlac[[#This Row],[Quantity]]&gt;0,INDEX(TcacRents,$P$18,Cdlac[[#This Row],[Bedrooms]]+1)*Cdlac[[#This Row],[AMI]],"")</f>
        <v>781.8</v>
      </c>
      <c r="Q20" s="1157"/>
      <c r="R20" s="1060" cm="1">
        <f t="array" ref="R20">IF(Cdlac[[#This Row],[Quantity]]&gt;0,INDEX(HudFmrs,$P$18,Cdlac[[#This Row],[Bedrooms]]+1),"")</f>
        <v>1855</v>
      </c>
      <c r="S20" s="1060">
        <f>IF(Cdlac[[#This Row],[Quantity]]&gt;0,MAX(0,Cdlac[[#This Row],[Fair Market Rent]]-IF(AND($G$37,$G$38,$G$38&lt;&gt;"",NOT(Cdlac[[#This Row],[Federal]]),Cdlac[[#This Row],[Preservation Rent]]&lt;&gt;""),Cdlac[[#This Row],[Preservation Rent]],Cdlac[[#This Row],[Restricted Rent]])),"")</f>
        <v>1073.2</v>
      </c>
      <c r="T20" s="1039">
        <f>IF(Cdlac[[#This Row],[Quantity]]&gt;0,AND(Application!AK726&lt;&gt;"N/A",Application!AK726&lt;&gt;"")*Cdlac[[#This Row],[Quantity]],"")</f>
        <v>7</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v>
      </c>
      <c r="N21" s="1066">
        <f>Application!AC727</f>
        <v>0.45</v>
      </c>
      <c r="O21" s="1066">
        <f>IF(Cdlac[[#This Row],[Quantity]]&gt;0,IF(Cdlac[[#This Row],[Federal]],30%,IF(AND(OR(NOT($G$38),$G$38=""),$G$43),40%,Cdlac[[#This Row],[iAMI]])),"")</f>
        <v>0.45</v>
      </c>
      <c r="P21" s="1060" cm="1">
        <f t="array" ref="P21">IF(Cdlac[[#This Row],[Quantity]]&gt;0,INDEX(TcacRents,$P$18,Cdlac[[#This Row],[Bedrooms]]+1)*Cdlac[[#This Row],[AMI]],"")</f>
        <v>1172.7</v>
      </c>
      <c r="Q21" s="1157"/>
      <c r="R21" s="1060" cm="1">
        <f t="array" ref="R21">IF(Cdlac[[#This Row],[Quantity]]&gt;0,INDEX(HudFmrs,$P$18,Cdlac[[#This Row],[Bedrooms]]+1),"")</f>
        <v>1855</v>
      </c>
      <c r="S21" s="1060">
        <f>IF(Cdlac[[#This Row],[Quantity]]&gt;0,MAX(0,Cdlac[[#This Row],[Fair Market Rent]]-IF(AND($G$37,$G$38,$G$38&lt;&gt;"",NOT(Cdlac[[#This Row],[Federal]]),Cdlac[[#This Row],[Preservation Rent]]&lt;&gt;""),Cdlac[[#This Row],[Preservation Rent]],Cdlac[[#This Row],[Restricted Rent]])),"")</f>
        <v>682.3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1" t="s">
        <v>1959</v>
      </c>
      <c r="D22" s="2651" t="s">
        <v>1960</v>
      </c>
      <c r="E22" s="2651" t="s">
        <v>1961</v>
      </c>
      <c r="F22" s="2651" t="s">
        <v>2535</v>
      </c>
      <c r="G22" s="2651" t="s">
        <v>1958</v>
      </c>
      <c r="H22" s="1065"/>
      <c r="I22" s="1064"/>
      <c r="L22" s="1039">
        <f>IFERROR(MIN(4,MATCH(Application!B728,UnitSizes,0)-1),"")</f>
        <v>2</v>
      </c>
      <c r="M22" s="1060">
        <f>Application!G728</f>
        <v>3</v>
      </c>
      <c r="N22" s="1066">
        <f>Application!AC728</f>
        <v>0.3</v>
      </c>
      <c r="O22" s="1066">
        <f>IF(Cdlac[[#This Row],[Quantity]]&gt;0,IF(Cdlac[[#This Row],[Federal]],30%,IF(AND(OR(NOT($G$38),$G$38=""),$G$43),40%,Cdlac[[#This Row],[iAMI]])),"")</f>
        <v>0.3</v>
      </c>
      <c r="P22" s="1060" cm="1">
        <f t="array" ref="P22">IF(Cdlac[[#This Row],[Quantity]]&gt;0,INDEX(TcacRents,$P$18,Cdlac[[#This Row],[Bedrooms]]+1)*Cdlac[[#This Row],[AMI]],"")</f>
        <v>937.8</v>
      </c>
      <c r="Q22" s="1157"/>
      <c r="R22" s="1060" cm="1">
        <f t="array" ref="R22">IF(Cdlac[[#This Row],[Quantity]]&gt;0,INDEX(HudFmrs,$P$18,Cdlac[[#This Row],[Bedrooms]]+1),"")</f>
        <v>2434</v>
      </c>
      <c r="S22" s="1060">
        <f>IF(Cdlac[[#This Row],[Quantity]]&gt;0,MAX(0,Cdlac[[#This Row],[Fair Market Rent]]-IF(AND($G$37,$G$38,$G$38&lt;&gt;"",NOT(Cdlac[[#This Row],[Federal]]),Cdlac[[#This Row],[Preservation Rent]]&lt;&gt;""),Cdlac[[#This Row],[Preservation Rent]],Cdlac[[#This Row],[Restricted Rent]])),"")</f>
        <v>1496.2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2"/>
      <c r="D23" s="2652"/>
      <c r="E23" s="2652"/>
      <c r="F23" s="2652"/>
      <c r="G23" s="2652"/>
      <c r="H23" s="1065"/>
      <c r="I23" s="1064"/>
      <c r="L23" s="1039">
        <f>IFERROR(MIN(4,MATCH(Application!B729,UnitSizes,0)-1),"")</f>
        <v>2</v>
      </c>
      <c r="M23" s="1060">
        <f>Application!G729</f>
        <v>3</v>
      </c>
      <c r="N23" s="1066">
        <f>Application!AC729</f>
        <v>0.45</v>
      </c>
      <c r="O23" s="1066">
        <f>IF(Cdlac[[#This Row],[Quantity]]&gt;0,IF(Cdlac[[#This Row],[Federal]],30%,IF(AND(OR(NOT($G$38),$G$38=""),$G$43),40%,Cdlac[[#This Row],[iAMI]])),"")</f>
        <v>0.45</v>
      </c>
      <c r="P23" s="1060" cm="1">
        <f t="array" ref="P23">IF(Cdlac[[#This Row],[Quantity]]&gt;0,INDEX(TcacRents,$P$18,Cdlac[[#This Row],[Bedrooms]]+1)*Cdlac[[#This Row],[AMI]],"")</f>
        <v>1406.7</v>
      </c>
      <c r="Q23" s="1157"/>
      <c r="R23" s="1060" cm="1">
        <f t="array" ref="R23">IF(Cdlac[[#This Row],[Quantity]]&gt;0,INDEX(HudFmrs,$P$18,Cdlac[[#This Row],[Bedrooms]]+1),"")</f>
        <v>2434</v>
      </c>
      <c r="S23" s="1060">
        <f>IF(Cdlac[[#This Row],[Quantity]]&gt;0,MAX(0,Cdlac[[#This Row],[Fair Market Rent]]-IF(AND($G$37,$G$38,$G$38&lt;&gt;"",NOT(Cdlac[[#This Row],[Federal]]),Cdlac[[#This Row],[Preservation Rent]]&lt;&gt;""),Cdlac[[#This Row],[Preservation Rent]],Cdlac[[#This Row],[Restricted Rent]])),"")</f>
        <v>1027.3</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4</v>
      </c>
      <c r="N24" s="1066">
        <f>Application!AC730</f>
        <v>0.55000000000000004</v>
      </c>
      <c r="O24" s="1066">
        <f>IF(Cdlac[[#This Row],[Quantity]]&gt;0,IF(Cdlac[[#This Row],[Federal]],30%,IF(AND(OR(NOT($G$38),$G$38=""),$G$43),40%,Cdlac[[#This Row],[iAMI]])),"")</f>
        <v>0.55000000000000004</v>
      </c>
      <c r="P24" s="1060" cm="1">
        <f t="array" ref="P24">IF(Cdlac[[#This Row],[Quantity]]&gt;0,INDEX(TcacRents,$P$18,Cdlac[[#This Row],[Bedrooms]]+1)*Cdlac[[#This Row],[AMI]],"")</f>
        <v>1719.3000000000002</v>
      </c>
      <c r="Q24" s="1157"/>
      <c r="R24" s="1060" cm="1">
        <f t="array" ref="R24">IF(Cdlac[[#This Row],[Quantity]]&gt;0,INDEX(HudFmrs,$P$18,Cdlac[[#This Row],[Bedrooms]]+1),"")</f>
        <v>2434</v>
      </c>
      <c r="S24" s="1060">
        <f>IF(Cdlac[[#This Row],[Quantity]]&gt;0,MAX(0,Cdlac[[#This Row],[Fair Market Rent]]-IF(AND($G$37,$G$38,$G$38&lt;&gt;"",NOT(Cdlac[[#This Row],[Federal]]),Cdlac[[#This Row],[Preservation Rent]]&lt;&gt;""),Cdlac[[#This Row],[Preservation Rent]],Cdlac[[#This Row],[Restricted Rent]])),"")</f>
        <v>714.69999999999982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10</v>
      </c>
      <c r="F25" s="1067">
        <f>E25</f>
        <v>10</v>
      </c>
      <c r="G25" s="1067">
        <f>D25*F25</f>
        <v>10</v>
      </c>
      <c r="L25" s="1039">
        <f>IFERROR(MIN(4,MATCH(Application!B731,UnitSizes,0)-1),"")</f>
        <v>3</v>
      </c>
      <c r="M25" s="1060">
        <f>Application!G731</f>
        <v>2</v>
      </c>
      <c r="N25" s="1066">
        <f>Application!AC731</f>
        <v>0.3</v>
      </c>
      <c r="O25" s="1066">
        <f>IF(Cdlac[[#This Row],[Quantity]]&gt;0,IF(Cdlac[[#This Row],[Federal]],30%,IF(AND(OR(NOT($G$38),$G$38=""),$G$43),40%,Cdlac[[#This Row],[iAMI]])),"")</f>
        <v>0.3</v>
      </c>
      <c r="P25" s="1060" cm="1">
        <f t="array" ref="P25">IF(Cdlac[[#This Row],[Quantity]]&gt;0,INDEX(TcacRents,$P$18,Cdlac[[#This Row],[Bedrooms]]+1)*Cdlac[[#This Row],[AMI]],"")</f>
        <v>1083.5999999999999</v>
      </c>
      <c r="Q25" s="1157"/>
      <c r="R25" s="1060" cm="1">
        <f t="array" ref="R25">IF(Cdlac[[#This Row],[Quantity]]&gt;0,INDEX(HudFmrs,$P$18,Cdlac[[#This Row],[Bedrooms]]+1),"")</f>
        <v>3250</v>
      </c>
      <c r="S25" s="1060">
        <f>IF(Cdlac[[#This Row],[Quantity]]&gt;0,MAX(0,Cdlac[[#This Row],[Fair Market Rent]]-IF(AND($G$37,$G$38,$G$38&lt;&gt;"",NOT(Cdlac[[#This Row],[Federal]]),Cdlac[[#This Row],[Preservation Rent]]&lt;&gt;""),Cdlac[[#This Row],[Preservation Rent]],Cdlac[[#This Row],[Restricted Rent]])),"")</f>
        <v>2166.4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10</v>
      </c>
      <c r="F26" s="1070">
        <f>SUM(E26:E28)-SUM(F27:F28)</f>
        <v>10</v>
      </c>
      <c r="G26" s="1067">
        <f>D26*F26</f>
        <v>12.5</v>
      </c>
      <c r="H26" s="1069"/>
      <c r="I26" s="1069"/>
      <c r="L26" s="1039">
        <f>IFERROR(MIN(4,MATCH(Application!B732,UnitSizes,0)-1),"")</f>
        <v>3</v>
      </c>
      <c r="M26" s="1060">
        <f>Application!G732</f>
        <v>6</v>
      </c>
      <c r="N26" s="1066">
        <f>Application!AC732</f>
        <v>0.55000000000000004</v>
      </c>
      <c r="O26" s="1066">
        <f>IF(Cdlac[[#This Row],[Quantity]]&gt;0,IF(Cdlac[[#This Row],[Federal]],30%,IF(AND(OR(NOT($G$38),$G$38=""),$G$43),40%,Cdlac[[#This Row],[iAMI]])),"")</f>
        <v>0.55000000000000004</v>
      </c>
      <c r="P26" s="1060" cm="1">
        <f t="array" ref="P26">IF(Cdlac[[#This Row],[Quantity]]&gt;0,INDEX(TcacRents,$P$18,Cdlac[[#This Row],[Bedrooms]]+1)*Cdlac[[#This Row],[AMI]],"")</f>
        <v>1986.6000000000001</v>
      </c>
      <c r="Q26" s="1157"/>
      <c r="R26" s="1060" cm="1">
        <f t="array" ref="R26">IF(Cdlac[[#This Row],[Quantity]]&gt;0,INDEX(HudFmrs,$P$18,Cdlac[[#This Row],[Bedrooms]]+1),"")</f>
        <v>3250</v>
      </c>
      <c r="S26" s="1060">
        <f>IF(Cdlac[[#This Row],[Quantity]]&gt;0,MAX(0,Cdlac[[#This Row],[Fair Market Rent]]-IF(AND($G$37,$G$38,$G$38&lt;&gt;"",NOT(Cdlac[[#This Row],[Federal]]),Cdlac[[#This Row],[Preservation Rent]]&lt;&gt;""),Cdlac[[#This Row],[Preservation Rent]],Cdlac[[#This Row],[Restricted Rent]])),"")</f>
        <v>1263.3999999999999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8</v>
      </c>
      <c r="F27" s="1070">
        <f>MIN(E27,ROUNDDOWN(E29*30%,0))</f>
        <v>8</v>
      </c>
      <c r="G27" s="1067">
        <f>D27*F27</f>
        <v>12</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3" t="s">
        <v>1574</v>
      </c>
      <c r="D29" s="2654"/>
      <c r="E29" s="1084">
        <f>SUM(E24:E28)</f>
        <v>28</v>
      </c>
      <c r="F29" s="1084">
        <f>SUM(F24:F28)</f>
        <v>28</v>
      </c>
      <c r="G29" s="1085">
        <f>SUMPRODUCT(D24:D28,F24:F28)</f>
        <v>34.5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34.5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1725000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0.42142857142857143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31901.800000000003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5742324.0000000009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7</v>
      </c>
    </row>
    <row r="61" spans="2:21" ht="15" customHeight="1">
      <c r="E61" s="1111" t="s">
        <v>1967</v>
      </c>
      <c r="G61" s="1108">
        <f>ROUNDDOWN(E29*50%,0)</f>
        <v>14</v>
      </c>
    </row>
    <row r="62" spans="2:21" ht="15" customHeight="1">
      <c r="E62" s="1111"/>
      <c r="G62" s="1119"/>
    </row>
    <row r="63" spans="2:21" ht="15" customHeight="1">
      <c r="E63" s="1111" t="s">
        <v>1927</v>
      </c>
      <c r="G63" s="1108">
        <f>MIN(G60:G61)</f>
        <v>7</v>
      </c>
    </row>
    <row r="64" spans="2:21" ht="15" customHeight="1">
      <c r="E64" s="1111" t="s">
        <v>1917</v>
      </c>
      <c r="F64" s="1107" t="s">
        <v>1965</v>
      </c>
      <c r="G64" s="1118">
        <v>10000</v>
      </c>
    </row>
    <row r="65" spans="5:7" ht="15" customHeight="1">
      <c r="E65" s="1112" t="s">
        <v>1950</v>
      </c>
      <c r="F65" s="1041"/>
      <c r="G65" s="1117">
        <f>G63*G64</f>
        <v>70000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77" t="s">
        <v>1942</v>
      </c>
      <c r="M83" s="2678"/>
      <c r="N83" s="1125">
        <v>30000</v>
      </c>
    </row>
    <row r="84" spans="2:14" ht="15" customHeight="1">
      <c r="C84" s="1072" t="s">
        <v>1954</v>
      </c>
      <c r="G84" s="1076" t="str">
        <f>IF(Application!D211="Large Family","Yes","No")</f>
        <v>Yes</v>
      </c>
      <c r="L84" s="2681" t="s">
        <v>1910</v>
      </c>
      <c r="M84" s="2682"/>
      <c r="N84" s="1126">
        <v>20000</v>
      </c>
    </row>
    <row r="85" spans="2:14" ht="15" customHeight="1" thickBot="1">
      <c r="C85" s="1072" t="s">
        <v>1940</v>
      </c>
      <c r="G85" s="1038" t="s">
        <v>668</v>
      </c>
      <c r="L85" s="2683" t="s">
        <v>1943</v>
      </c>
      <c r="M85" s="2684"/>
      <c r="N85" s="1127">
        <v>10000</v>
      </c>
    </row>
    <row r="86" spans="2:14" ht="15" customHeight="1" thickBot="1">
      <c r="C86" s="1072" t="s">
        <v>1941</v>
      </c>
      <c r="G86" s="1039" t="str">
        <f>Application!T193</f>
        <v>Highest Resource</v>
      </c>
    </row>
    <row r="87" spans="2:14" ht="15" customHeight="1">
      <c r="C87" s="2659" t="s">
        <v>2210</v>
      </c>
      <c r="D87" s="2659"/>
      <c r="E87" s="2659"/>
      <c r="F87" s="2659"/>
      <c r="G87" s="1038" t="s">
        <v>668</v>
      </c>
      <c r="L87" s="1121" t="str">
        <f>'Points System'!H651</f>
        <v>(i)</v>
      </c>
      <c r="M87" s="2679" t="s">
        <v>1396</v>
      </c>
      <c r="N87" s="2680"/>
    </row>
    <row r="88" spans="2:14" ht="15" customHeight="1">
      <c r="C88" s="2659"/>
      <c r="D88" s="2659"/>
      <c r="E88" s="2659"/>
      <c r="F88" s="2659"/>
      <c r="L88" s="1122" t="str">
        <f>'Points System'!H663</f>
        <v>N/A</v>
      </c>
      <c r="M88" s="2673" t="s">
        <v>1929</v>
      </c>
      <c r="N88" s="2674"/>
    </row>
    <row r="89" spans="2:14" ht="15" customHeight="1">
      <c r="C89" s="1072"/>
      <c r="L89" s="1122" t="str">
        <f>'Points System'!H698</f>
        <v>N/A</v>
      </c>
      <c r="M89" s="2673" t="s">
        <v>1930</v>
      </c>
      <c r="N89" s="2674"/>
    </row>
    <row r="90" spans="2:14" ht="15" customHeight="1">
      <c r="E90" s="1079" t="s">
        <v>1972</v>
      </c>
      <c r="G90" s="1074" t="b">
        <f>OR(AND(COUNTIFS(G84:G85,"Yes")&gt;=1,G83="Yes"),G87="Yes")</f>
        <v>1</v>
      </c>
      <c r="L90" s="1122" t="str">
        <f>IF(OR('Points System'!H722="(ii)",'Points System'!H722="(i)"),"(i)","N/A")</f>
        <v>(i)</v>
      </c>
      <c r="M90" s="2673" t="s">
        <v>1931</v>
      </c>
      <c r="N90" s="2674"/>
    </row>
    <row r="91" spans="2:14" ht="15" customHeight="1">
      <c r="E91" s="1079"/>
      <c r="G91" s="1074"/>
      <c r="L91" s="1123" t="str">
        <f>'Points System'!H736</f>
        <v>N/A</v>
      </c>
      <c r="M91" s="2673" t="s">
        <v>1422</v>
      </c>
      <c r="N91" s="2674"/>
    </row>
    <row r="92" spans="2:14" ht="15" customHeight="1">
      <c r="E92" s="1079" t="s">
        <v>1917</v>
      </c>
      <c r="G92" s="1073">
        <f>IFERROR(IF($G$87="Yes",30000,INDEX(N83:N85,MATCH(LEFT(G86,17),L83:L85,0))),0)</f>
        <v>30000</v>
      </c>
      <c r="L92" s="1122" t="str">
        <f>'Points System'!H748</f>
        <v>N/A</v>
      </c>
      <c r="M92" s="2673" t="s">
        <v>1932</v>
      </c>
      <c r="N92" s="2674"/>
    </row>
    <row r="93" spans="2:14" ht="15" customHeight="1">
      <c r="E93" s="1079" t="str">
        <f>E110</f>
        <v>Bedroom-Adjusted Low-Income Units</v>
      </c>
      <c r="F93" s="1107" t="s">
        <v>1965</v>
      </c>
      <c r="G93" s="1108">
        <f>G29</f>
        <v>34.5</v>
      </c>
      <c r="L93" s="1122" t="str">
        <f>'Points System'!H764</f>
        <v>(i)</v>
      </c>
      <c r="M93" s="2673" t="s">
        <v>1933</v>
      </c>
      <c r="N93" s="2674"/>
    </row>
    <row r="94" spans="2:14" ht="15" customHeight="1" thickBot="1">
      <c r="D94" s="1041"/>
      <c r="E94" s="1112" t="s">
        <v>2213</v>
      </c>
      <c r="F94" s="1041"/>
      <c r="G94" s="1117">
        <f>G93*G92*G90</f>
        <v>1035000</v>
      </c>
      <c r="L94" s="1124" t="str">
        <f>'Points System'!H776</f>
        <v>(i)</v>
      </c>
      <c r="M94" s="2675" t="s">
        <v>1425</v>
      </c>
      <c r="N94" s="2676"/>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34.5</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34.5</v>
      </c>
    </row>
    <row r="111" spans="2:9" ht="15" customHeight="1">
      <c r="E111" s="1112" t="s">
        <v>1934</v>
      </c>
      <c r="F111" s="1041"/>
      <c r="G111" s="1117">
        <f>G108*G109*G110</f>
        <v>552000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552000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34.5</v>
      </c>
    </row>
    <row r="126" spans="2:7" ht="15">
      <c r="E126" s="1079" t="s">
        <v>1917</v>
      </c>
      <c r="F126" s="1107" t="s">
        <v>1965</v>
      </c>
      <c r="G126" s="1118">
        <v>25000</v>
      </c>
    </row>
    <row r="127" spans="2:7" ht="15">
      <c r="E127" s="1112" t="s">
        <v>1936</v>
      </c>
      <c r="F127" s="1041"/>
      <c r="G127" s="1117">
        <f>G123*G126*G110</f>
        <v>862500</v>
      </c>
    </row>
    <row r="128" spans="2:7">
      <c r="C128" s="1072"/>
      <c r="E128" s="1072"/>
    </row>
    <row r="129" spans="2:9" ht="15">
      <c r="E129" s="1112" t="s">
        <v>2215</v>
      </c>
      <c r="G129" s="1117">
        <f>G127+G115+G111</f>
        <v>1966500</v>
      </c>
    </row>
    <row r="131" spans="2:9" ht="15">
      <c r="B131" s="1061" t="s">
        <v>139</v>
      </c>
      <c r="C131" s="1062"/>
      <c r="D131" s="1062"/>
      <c r="E131" s="1062"/>
      <c r="F131" s="1062"/>
      <c r="G131" s="1062"/>
      <c r="H131" s="1062"/>
      <c r="I131" s="1063"/>
    </row>
    <row r="133" spans="2:9">
      <c r="C133" s="2655" t="s">
        <v>2181</v>
      </c>
      <c r="D133" s="2655"/>
      <c r="E133" s="2655"/>
      <c r="F133" s="2655"/>
    </row>
    <row r="134" spans="2:9">
      <c r="C134" s="2655"/>
      <c r="D134" s="2655"/>
      <c r="E134" s="2655"/>
      <c r="F134" s="2655"/>
      <c r="G134" s="1038"/>
    </row>
    <row r="135" spans="2:9" ht="14.25" customHeight="1"/>
    <row r="136" spans="2:9">
      <c r="C136" s="1039" t="s">
        <v>2183</v>
      </c>
      <c r="G136" s="2657"/>
      <c r="H136" s="2657"/>
    </row>
    <row r="137" spans="2:9">
      <c r="G137" s="2657"/>
      <c r="H137" s="2657"/>
    </row>
    <row r="138" spans="2:9">
      <c r="G138" s="2658"/>
      <c r="H138" s="2658"/>
    </row>
    <row r="140" spans="2:9">
      <c r="C140" s="2655" t="s">
        <v>2593</v>
      </c>
      <c r="D140" s="2655"/>
      <c r="E140" s="2655"/>
      <c r="F140" s="2655"/>
    </row>
    <row r="141" spans="2:9">
      <c r="C141" s="2655"/>
      <c r="D141" s="2655"/>
      <c r="E141" s="2655"/>
      <c r="F141" s="2655"/>
      <c r="G141" s="1038"/>
    </row>
    <row r="142" spans="2:9">
      <c r="C142" s="2655"/>
      <c r="D142" s="2655"/>
      <c r="E142" s="2655"/>
      <c r="F142" s="2655"/>
    </row>
    <row r="144" spans="2:9">
      <c r="C144" s="2655" t="s">
        <v>2592</v>
      </c>
      <c r="D144" s="2655"/>
      <c r="E144" s="2655"/>
      <c r="F144" s="2655"/>
    </row>
    <row r="145" spans="2:9">
      <c r="C145" s="2655"/>
      <c r="D145" s="2655"/>
      <c r="E145" s="2655"/>
      <c r="F145" s="2655"/>
      <c r="G145" s="1038"/>
    </row>
    <row r="146" spans="2:9">
      <c r="C146" s="2655"/>
      <c r="D146" s="2655"/>
      <c r="E146" s="2655"/>
      <c r="F146" s="2655"/>
    </row>
    <row r="147" spans="2:9">
      <c r="C147" s="2655"/>
      <c r="D147" s="2655"/>
      <c r="E147" s="2655"/>
      <c r="F147" s="2655"/>
    </row>
    <row r="149" spans="2:9" ht="15">
      <c r="B149" s="1061" t="s">
        <v>1974</v>
      </c>
      <c r="C149" s="1062"/>
      <c r="D149" s="1062"/>
      <c r="E149" s="1062"/>
      <c r="F149" s="1062"/>
      <c r="G149" s="1062"/>
      <c r="H149" s="1062"/>
      <c r="I149" s="1063"/>
    </row>
    <row r="151" spans="2:9">
      <c r="E151" s="1079" t="s">
        <v>581</v>
      </c>
      <c r="G151" s="1039" t="str">
        <f>IF(Application!T189="","",Application!T189)</f>
        <v>San Luis Obispo</v>
      </c>
    </row>
    <row r="152" spans="2:9">
      <c r="E152" s="1079"/>
      <c r="G152" s="1073"/>
    </row>
    <row r="153" spans="2:9">
      <c r="E153" s="1079" t="str">
        <f>"2-Bedroom "&amp;G151&amp;" County Basis Limit"</f>
        <v>2-Bedroom San Luis Obispo County Basis Limit</v>
      </c>
      <c r="G153" s="1073">
        <f>Application!R997</f>
        <v>616000</v>
      </c>
    </row>
    <row r="154" spans="2:9">
      <c r="E154" s="1079" t="s">
        <v>1973</v>
      </c>
      <c r="G154" s="1073">
        <f>MEDIAN((Application!CU160:CU217))</f>
        <v>560000</v>
      </c>
    </row>
    <row r="155" spans="2:9" ht="15">
      <c r="D155" s="1041"/>
      <c r="E155" s="1112" t="s">
        <v>1975</v>
      </c>
      <c r="F155" s="1128"/>
      <c r="G155" s="1129">
        <f>((G153-G154)/G154)*0.25</f>
        <v>2.5000000000000001E-2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50" t="s">
        <v>2217</v>
      </c>
      <c r="D160" s="2650"/>
      <c r="E160" s="2650"/>
      <c r="F160" s="2650"/>
    </row>
    <row r="161" spans="2:7">
      <c r="B161" s="1040"/>
      <c r="C161" s="2650"/>
      <c r="D161" s="2650"/>
      <c r="E161" s="2650"/>
      <c r="F161" s="2650"/>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1039944</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908</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1 Bedroom</v>
      </c>
      <c r="B4" s="1077">
        <f>Application!G726</f>
        <v>7</v>
      </c>
      <c r="C4" s="1155"/>
      <c r="D4" s="428">
        <f>Application!O726</f>
        <v>700</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v>
      </c>
      <c r="C5" s="1155"/>
      <c r="D5" s="428">
        <f>Application!O727</f>
        <v>1091</v>
      </c>
      <c r="E5" s="429"/>
      <c r="F5" s="1078"/>
      <c r="G5" s="428">
        <f t="shared" ref="G5:G38" si="2">F5*B5</f>
        <v>0</v>
      </c>
      <c r="H5" s="429"/>
      <c r="I5" s="428" t="str">
        <f t="shared" si="0"/>
        <v/>
      </c>
      <c r="J5" s="428" t="str">
        <f t="shared" si="1"/>
        <v/>
      </c>
      <c r="K5" s="204"/>
      <c r="L5" s="305"/>
    </row>
    <row r="6" spans="1:12">
      <c r="A6" s="428" t="str">
        <f>Application!B728</f>
        <v>2 Bedrooms</v>
      </c>
      <c r="B6" s="1077">
        <f>Application!G728</f>
        <v>3</v>
      </c>
      <c r="C6" s="1155"/>
      <c r="D6" s="428">
        <f>Application!O728</f>
        <v>841</v>
      </c>
      <c r="E6" s="429"/>
      <c r="F6" s="1078"/>
      <c r="G6" s="428">
        <f t="shared" si="2"/>
        <v>0</v>
      </c>
      <c r="H6" s="429"/>
      <c r="I6" s="428" t="str">
        <f t="shared" si="0"/>
        <v/>
      </c>
      <c r="J6" s="428" t="str">
        <f t="shared" si="1"/>
        <v/>
      </c>
      <c r="K6" s="204"/>
      <c r="L6" s="305"/>
    </row>
    <row r="7" spans="1:12">
      <c r="A7" s="428" t="str">
        <f>Application!B729</f>
        <v>2 Bedrooms</v>
      </c>
      <c r="B7" s="1077">
        <f>Application!G729</f>
        <v>3</v>
      </c>
      <c r="C7" s="1155"/>
      <c r="D7" s="428">
        <f>Application!O729</f>
        <v>1310</v>
      </c>
      <c r="E7" s="429"/>
      <c r="F7" s="1078"/>
      <c r="G7" s="428">
        <f t="shared" si="2"/>
        <v>0</v>
      </c>
      <c r="H7" s="429"/>
      <c r="I7" s="428" t="str">
        <f t="shared" si="0"/>
        <v/>
      </c>
      <c r="J7" s="428" t="str">
        <f t="shared" si="1"/>
        <v/>
      </c>
      <c r="K7" s="204"/>
      <c r="L7" s="305"/>
    </row>
    <row r="8" spans="1:12">
      <c r="A8" s="428" t="str">
        <f>Application!B730</f>
        <v>2 Bedrooms</v>
      </c>
      <c r="B8" s="1077">
        <f>Application!G730</f>
        <v>4</v>
      </c>
      <c r="C8" s="1155"/>
      <c r="D8" s="428">
        <f>Application!O730</f>
        <v>1623</v>
      </c>
      <c r="E8" s="429"/>
      <c r="F8" s="1078"/>
      <c r="G8" s="428">
        <f t="shared" si="2"/>
        <v>0</v>
      </c>
      <c r="H8" s="429"/>
      <c r="I8" s="428" t="str">
        <f t="shared" si="0"/>
        <v/>
      </c>
      <c r="J8" s="428" t="str">
        <f t="shared" si="1"/>
        <v/>
      </c>
      <c r="K8" s="204"/>
      <c r="L8" s="305"/>
    </row>
    <row r="9" spans="1:12">
      <c r="A9" s="428" t="str">
        <f>Application!B731</f>
        <v>3 Bedrooms</v>
      </c>
      <c r="B9" s="1077">
        <f>Application!G731</f>
        <v>2</v>
      </c>
      <c r="C9" s="1155"/>
      <c r="D9" s="428">
        <f>Application!O731</f>
        <v>967</v>
      </c>
      <c r="E9" s="429"/>
      <c r="F9" s="1078"/>
      <c r="G9" s="428">
        <f t="shared" si="2"/>
        <v>0</v>
      </c>
      <c r="H9" s="429"/>
      <c r="I9" s="428" t="str">
        <f t="shared" si="0"/>
        <v/>
      </c>
      <c r="J9" s="428" t="str">
        <f t="shared" si="1"/>
        <v/>
      </c>
      <c r="K9" s="204"/>
      <c r="L9" s="305"/>
    </row>
    <row r="10" spans="1:12">
      <c r="A10" s="428" t="str">
        <f>Application!B732</f>
        <v>3 Bedrooms</v>
      </c>
      <c r="B10" s="1077">
        <f>Application!G732</f>
        <v>6</v>
      </c>
      <c r="C10" s="1155"/>
      <c r="D10" s="428">
        <f>Application!O732</f>
        <v>1870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34272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2206</v>
      </c>
    </row>
    <row r="43" spans="1:12">
      <c r="A43" s="2686" t="s">
        <v>2427</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2207</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1" workbookViewId="0">
      <selection activeCell="S54" sqref="S5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411264</v>
      </c>
      <c r="G4" s="219">
        <f>E4*$C$4</f>
        <v>421545.6</v>
      </c>
      <c r="I4" s="219">
        <f>G4*$C$4</f>
        <v>432084.23999999993</v>
      </c>
      <c r="K4" s="219">
        <f>I4*$C$4</f>
        <v>442886.3459999999</v>
      </c>
      <c r="M4" s="219">
        <f>K4*$C$4</f>
        <v>453958.50464999984</v>
      </c>
      <c r="O4" s="219">
        <f>M4*$C$4</f>
        <v>465307.46726624982</v>
      </c>
      <c r="Q4" s="219">
        <f>O4*$C$4</f>
        <v>476940.15394790604</v>
      </c>
      <c r="S4" s="219">
        <f>Q4*$C$4</f>
        <v>488863.65779660363</v>
      </c>
      <c r="U4" s="219">
        <f>S4*$C$4</f>
        <v>501085.24924151867</v>
      </c>
      <c r="W4" s="219">
        <f>U4*$C$4</f>
        <v>513612.38047255657</v>
      </c>
      <c r="Y4" s="219">
        <f>W4*$C$4</f>
        <v>526452.68998437049</v>
      </c>
      <c r="AA4" s="219">
        <f>Y4*$C$4</f>
        <v>539614.00723397965</v>
      </c>
      <c r="AC4" s="219">
        <f>AA4*$C$4</f>
        <v>553104.35741482908</v>
      </c>
      <c r="AE4" s="219">
        <f>AC4*$C$4</f>
        <v>566931.96635019977</v>
      </c>
      <c r="AG4" s="219">
        <f>AE4*$C$4</f>
        <v>581105.26550895476</v>
      </c>
    </row>
    <row r="5" spans="1:34" s="210" customFormat="1" ht="14.25">
      <c r="B5" s="210" t="s">
        <v>837</v>
      </c>
      <c r="C5" s="238">
        <f>IF(Application!$D$211="Special Needs",(((0.1*Application!$T$212)+(0.05*(1-Application!$T$212)))),0.05)</f>
        <v>0.05</v>
      </c>
      <c r="E5" s="221">
        <f>-E4*$C$5</f>
        <v>-20563.2</v>
      </c>
      <c r="F5" s="221"/>
      <c r="G5" s="221">
        <f>-G4*$C$5</f>
        <v>-21077.279999999999</v>
      </c>
      <c r="H5" s="221"/>
      <c r="I5" s="221">
        <f>-I4*$C$5</f>
        <v>-21604.212</v>
      </c>
      <c r="J5" s="221"/>
      <c r="K5" s="221">
        <f>-K4*$C$5</f>
        <v>-22144.317299999995</v>
      </c>
      <c r="L5" s="221"/>
      <c r="M5" s="221">
        <f>-M4*$C$5</f>
        <v>-22697.925232499994</v>
      </c>
      <c r="N5" s="221"/>
      <c r="O5" s="221">
        <f>-O4*$C$5</f>
        <v>-23265.373363312494</v>
      </c>
      <c r="P5" s="221"/>
      <c r="Q5" s="221">
        <f>-Q4*$C$5</f>
        <v>-23847.007697395304</v>
      </c>
      <c r="R5" s="221"/>
      <c r="S5" s="221">
        <f>-S4*$C$5</f>
        <v>-24443.182889830183</v>
      </c>
      <c r="T5" s="221"/>
      <c r="U5" s="221">
        <f>-U4*$C$5</f>
        <v>-25054.262462075934</v>
      </c>
      <c r="V5" s="221"/>
      <c r="W5" s="221">
        <f>-W4*$C$5</f>
        <v>-25680.619023627831</v>
      </c>
      <c r="X5" s="221"/>
      <c r="Y5" s="221">
        <f>-Y4*$C$5</f>
        <v>-26322.634499218526</v>
      </c>
      <c r="Z5" s="221"/>
      <c r="AA5" s="221">
        <f>-AA4*$C$5</f>
        <v>-26980.700361698982</v>
      </c>
      <c r="AB5" s="221"/>
      <c r="AC5" s="221">
        <f>-AC4*$C$5</f>
        <v>-27655.217870741457</v>
      </c>
      <c r="AD5" s="221"/>
      <c r="AE5" s="221">
        <f>-AE4*$C$5</f>
        <v>-28346.59831750999</v>
      </c>
      <c r="AF5" s="221"/>
      <c r="AG5" s="221">
        <f>-AG4*$C$5</f>
        <v>-29055.263275447738</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1200</v>
      </c>
      <c r="F8" s="222"/>
      <c r="G8" s="222">
        <f>E8*$C$8</f>
        <v>1230</v>
      </c>
      <c r="H8" s="222"/>
      <c r="I8" s="222">
        <f>G8*$C$8</f>
        <v>1260.75</v>
      </c>
      <c r="J8" s="222"/>
      <c r="K8" s="222">
        <f>I8*$C$8</f>
        <v>1292.26875</v>
      </c>
      <c r="L8" s="222"/>
      <c r="M8" s="222">
        <f>K8*$C$8</f>
        <v>1324.5754687499998</v>
      </c>
      <c r="N8" s="222"/>
      <c r="O8" s="222">
        <f>M8*$C$8</f>
        <v>1357.6898554687498</v>
      </c>
      <c r="P8" s="222"/>
      <c r="Q8" s="222">
        <f>O8*$C$8</f>
        <v>1391.6321018554684</v>
      </c>
      <c r="R8" s="222"/>
      <c r="S8" s="222">
        <f>Q8*$C$8</f>
        <v>1426.422904401855</v>
      </c>
      <c r="T8" s="222"/>
      <c r="U8" s="222">
        <f>S8*$C$8</f>
        <v>1462.0834770119013</v>
      </c>
      <c r="V8" s="222"/>
      <c r="W8" s="222">
        <f>U8*$C$8</f>
        <v>1498.6355639371986</v>
      </c>
      <c r="X8" s="222"/>
      <c r="Y8" s="222">
        <f>W8*$C$8</f>
        <v>1536.1014530356285</v>
      </c>
      <c r="Z8" s="222"/>
      <c r="AA8" s="222">
        <f>Y8*$C$8</f>
        <v>1574.5039893615192</v>
      </c>
      <c r="AB8" s="222"/>
      <c r="AC8" s="222">
        <f>AA8*$C$8</f>
        <v>1613.8665890955569</v>
      </c>
      <c r="AD8" s="222"/>
      <c r="AE8" s="222">
        <f>AC8*$C$8</f>
        <v>1654.2132538229457</v>
      </c>
      <c r="AF8" s="222"/>
      <c r="AG8" s="222">
        <f>AE8*$C$8</f>
        <v>1695.5685851685191</v>
      </c>
    </row>
    <row r="9" spans="1:34" s="210" customFormat="1" ht="14.25">
      <c r="B9" s="210" t="s">
        <v>837</v>
      </c>
      <c r="C9" s="238">
        <f>IF(Application!$D$211="Special Needs",(((0.1*Application!$T$212)+(0.05*(1-Application!$T$212)))),0.05)</f>
        <v>0.05</v>
      </c>
      <c r="E9" s="221">
        <f>-E8*$C$9</f>
        <v>-60</v>
      </c>
      <c r="F9" s="221"/>
      <c r="G9" s="221">
        <f>-G8*$C$9</f>
        <v>-61.5</v>
      </c>
      <c r="H9" s="221"/>
      <c r="I9" s="221">
        <f>-I8*$C$9</f>
        <v>-63.037500000000001</v>
      </c>
      <c r="J9" s="221"/>
      <c r="K9" s="221">
        <f>-K8*$C$9</f>
        <v>-64.613437500000003</v>
      </c>
      <c r="L9" s="221"/>
      <c r="M9" s="221">
        <f>-M8*$C$9</f>
        <v>-66.228773437499996</v>
      </c>
      <c r="N9" s="221"/>
      <c r="O9" s="221">
        <f>-O8*$C$9</f>
        <v>-67.884492773437486</v>
      </c>
      <c r="P9" s="221"/>
      <c r="Q9" s="221">
        <f>-Q8*$C$9</f>
        <v>-69.581605092773415</v>
      </c>
      <c r="R9" s="221"/>
      <c r="S9" s="221">
        <f>-S8*$C$9</f>
        <v>-71.32114522009276</v>
      </c>
      <c r="T9" s="221"/>
      <c r="U9" s="221">
        <f>-U8*$C$9</f>
        <v>-73.104173850595075</v>
      </c>
      <c r="V9" s="221"/>
      <c r="W9" s="221">
        <f>-W8*$C$9</f>
        <v>-74.931778196859938</v>
      </c>
      <c r="X9" s="221"/>
      <c r="Y9" s="221">
        <f>-Y8*$C$9</f>
        <v>-76.80507265178143</v>
      </c>
      <c r="Z9" s="221"/>
      <c r="AA9" s="221">
        <f>-AA8*$C$9</f>
        <v>-78.725199468075971</v>
      </c>
      <c r="AB9" s="221"/>
      <c r="AC9" s="221">
        <f>-AC8*$C$9</f>
        <v>-80.693329454777853</v>
      </c>
      <c r="AD9" s="221"/>
      <c r="AE9" s="221">
        <f>-AE8*$C$9</f>
        <v>-82.710662691147292</v>
      </c>
      <c r="AF9" s="221"/>
      <c r="AG9" s="221">
        <f>-AG8*$C$9</f>
        <v>-84.778429258425959</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391840.8</v>
      </c>
      <c r="G11" s="223">
        <f>SUM(G4:G10)</f>
        <v>401636.81999999995</v>
      </c>
      <c r="I11" s="223">
        <f>SUM(I4:I10)</f>
        <v>411677.74049999996</v>
      </c>
      <c r="K11" s="223">
        <f>SUM(K4:K10)</f>
        <v>421969.68401249987</v>
      </c>
      <c r="M11" s="223">
        <f>SUM(M4:M10)</f>
        <v>432518.9261128123</v>
      </c>
      <c r="O11" s="223">
        <f>SUM(O4:O10)</f>
        <v>443331.89926563262</v>
      </c>
      <c r="Q11" s="223">
        <f>SUM(Q4:Q10)</f>
        <v>454415.19674727344</v>
      </c>
      <c r="S11" s="223">
        <f>SUM(S4:S10)</f>
        <v>465775.57666595519</v>
      </c>
      <c r="U11" s="223">
        <f>SUM(U4:U10)</f>
        <v>477419.96608260402</v>
      </c>
      <c r="W11" s="223">
        <f>SUM(W4:W10)</f>
        <v>489355.46523466904</v>
      </c>
      <c r="Y11" s="223">
        <f>SUM(Y4:Y10)</f>
        <v>501589.35186553578</v>
      </c>
      <c r="AA11" s="223">
        <f>SUM(AA4:AA10)</f>
        <v>514129.0856621741</v>
      </c>
      <c r="AC11" s="223">
        <f>SUM(AC4:AC10)</f>
        <v>526982.31280372839</v>
      </c>
      <c r="AE11" s="223">
        <f>SUM(AE4:AE10)</f>
        <v>540156.87062382163</v>
      </c>
      <c r="AG11" s="223">
        <f>SUM(AG4:AG10)</f>
        <v>553660.79238941718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17000</v>
      </c>
      <c r="G15" s="219">
        <f>E15*$C$14</f>
        <v>17595</v>
      </c>
      <c r="I15" s="219">
        <f>G15*$C$14</f>
        <v>18210.824999999997</v>
      </c>
      <c r="K15" s="219">
        <f>I15*$C$14</f>
        <v>18848.203874999996</v>
      </c>
      <c r="M15" s="219">
        <f>K15*$C$14</f>
        <v>19507.891010624993</v>
      </c>
      <c r="O15" s="219">
        <f>M15*$C$14</f>
        <v>20190.667195996866</v>
      </c>
      <c r="Q15" s="219">
        <f>O15*$C$14</f>
        <v>20897.340547856755</v>
      </c>
      <c r="S15" s="219">
        <f>Q15*$C$14</f>
        <v>21628.747467031739</v>
      </c>
      <c r="U15" s="219">
        <f>S15*$C$14</f>
        <v>22385.753628377846</v>
      </c>
      <c r="W15" s="219">
        <f>U15*$C$14</f>
        <v>23169.255005371069</v>
      </c>
      <c r="Y15" s="219">
        <f>W15*$C$14</f>
        <v>23980.178930559054</v>
      </c>
      <c r="AA15" s="219">
        <f>Y15*$C$14</f>
        <v>24819.485193128618</v>
      </c>
      <c r="AC15" s="219">
        <f>AA15*$C$14</f>
        <v>25688.167174888116</v>
      </c>
      <c r="AE15" s="219">
        <f>AC15*$C$14</f>
        <v>26587.253026009199</v>
      </c>
      <c r="AG15" s="219">
        <f>AE15*$C$14</f>
        <v>27517.806881919518</v>
      </c>
    </row>
    <row r="16" spans="1:34" s="210" customFormat="1" ht="14.25">
      <c r="A16" s="210" t="s">
        <v>344</v>
      </c>
      <c r="C16" s="233"/>
      <c r="E16" s="222">
        <f>Application!W857</f>
        <v>28560</v>
      </c>
      <c r="F16" s="222"/>
      <c r="G16" s="222">
        <f t="shared" ref="G16:AG21" si="0">E16*$C$14</f>
        <v>29559.599999999999</v>
      </c>
      <c r="H16" s="222"/>
      <c r="I16" s="222">
        <f t="shared" si="0"/>
        <v>30594.185999999998</v>
      </c>
      <c r="J16" s="222"/>
      <c r="K16" s="222">
        <f t="shared" si="0"/>
        <v>31664.982509999994</v>
      </c>
      <c r="L16" s="222"/>
      <c r="M16" s="222">
        <f t="shared" si="0"/>
        <v>32773.256897849991</v>
      </c>
      <c r="N16" s="222"/>
      <c r="O16" s="222">
        <f t="shared" si="0"/>
        <v>33920.320889274735</v>
      </c>
      <c r="P16" s="222"/>
      <c r="Q16" s="222">
        <f t="shared" si="0"/>
        <v>35107.532120399352</v>
      </c>
      <c r="R16" s="222"/>
      <c r="S16" s="222">
        <f t="shared" si="0"/>
        <v>36336.29574461333</v>
      </c>
      <c r="T16" s="222"/>
      <c r="U16" s="222">
        <f t="shared" si="0"/>
        <v>37608.066095674796</v>
      </c>
      <c r="V16" s="222"/>
      <c r="W16" s="222">
        <f t="shared" si="0"/>
        <v>38924.348409023412</v>
      </c>
      <c r="X16" s="222"/>
      <c r="Y16" s="222">
        <f t="shared" si="0"/>
        <v>40286.700603339232</v>
      </c>
      <c r="Z16" s="222"/>
      <c r="AA16" s="222">
        <f t="shared" si="0"/>
        <v>41696.7351244561</v>
      </c>
      <c r="AB16" s="222"/>
      <c r="AC16" s="222">
        <f t="shared" si="0"/>
        <v>43156.120853812063</v>
      </c>
      <c r="AD16" s="222"/>
      <c r="AE16" s="222">
        <f t="shared" si="0"/>
        <v>44666.585083695485</v>
      </c>
      <c r="AF16" s="222"/>
      <c r="AG16" s="222">
        <f t="shared" si="0"/>
        <v>46229.915561624824</v>
      </c>
    </row>
    <row r="17" spans="1:33" s="210" customFormat="1" ht="14.25">
      <c r="A17" s="210" t="s">
        <v>560</v>
      </c>
      <c r="C17" s="233"/>
      <c r="E17" s="222">
        <f>Application!W863</f>
        <v>57366</v>
      </c>
      <c r="F17" s="222"/>
      <c r="G17" s="222">
        <f t="shared" si="0"/>
        <v>59373.81</v>
      </c>
      <c r="H17" s="222"/>
      <c r="I17" s="222">
        <f t="shared" si="0"/>
        <v>61451.893349999991</v>
      </c>
      <c r="J17" s="222"/>
      <c r="K17" s="222">
        <f t="shared" si="0"/>
        <v>63602.709617249988</v>
      </c>
      <c r="L17" s="222"/>
      <c r="M17" s="222">
        <f t="shared" si="0"/>
        <v>65828.804453853736</v>
      </c>
      <c r="N17" s="222"/>
      <c r="O17" s="222">
        <f t="shared" si="0"/>
        <v>68132.812609738612</v>
      </c>
      <c r="P17" s="222"/>
      <c r="Q17" s="222">
        <f t="shared" si="0"/>
        <v>70517.461051079459</v>
      </c>
      <c r="R17" s="222"/>
      <c r="S17" s="222">
        <f t="shared" si="0"/>
        <v>72985.572187867234</v>
      </c>
      <c r="T17" s="222"/>
      <c r="U17" s="222">
        <f t="shared" si="0"/>
        <v>75540.067214442577</v>
      </c>
      <c r="V17" s="222"/>
      <c r="W17" s="222">
        <f t="shared" si="0"/>
        <v>78183.969566948057</v>
      </c>
      <c r="X17" s="222"/>
      <c r="Y17" s="222">
        <f t="shared" si="0"/>
        <v>80920.408501791229</v>
      </c>
      <c r="Z17" s="222"/>
      <c r="AA17" s="222">
        <f t="shared" si="0"/>
        <v>83752.622799353921</v>
      </c>
      <c r="AB17" s="222"/>
      <c r="AC17" s="222">
        <f t="shared" si="0"/>
        <v>86683.964597331302</v>
      </c>
      <c r="AD17" s="222"/>
      <c r="AE17" s="222">
        <f t="shared" si="0"/>
        <v>89717.903358237891</v>
      </c>
      <c r="AF17" s="222"/>
      <c r="AG17" s="222">
        <f t="shared" si="0"/>
        <v>92858.029975776211</v>
      </c>
    </row>
    <row r="18" spans="1:33" s="210" customFormat="1" ht="14.25">
      <c r="A18" s="210" t="s">
        <v>841</v>
      </c>
      <c r="C18" s="233"/>
      <c r="E18" s="222">
        <f>Application!W870</f>
        <v>67000</v>
      </c>
      <c r="F18" s="222"/>
      <c r="G18" s="222">
        <f t="shared" si="0"/>
        <v>69345</v>
      </c>
      <c r="H18" s="222"/>
      <c r="I18" s="222">
        <f t="shared" si="0"/>
        <v>71772.074999999997</v>
      </c>
      <c r="J18" s="222"/>
      <c r="K18" s="222">
        <f t="shared" si="0"/>
        <v>74284.097624999995</v>
      </c>
      <c r="L18" s="222"/>
      <c r="M18" s="222">
        <f t="shared" si="0"/>
        <v>76884.041041874982</v>
      </c>
      <c r="N18" s="222"/>
      <c r="O18" s="222">
        <f t="shared" si="0"/>
        <v>79574.982478340593</v>
      </c>
      <c r="P18" s="222"/>
      <c r="Q18" s="222">
        <f t="shared" si="0"/>
        <v>82360.106865082504</v>
      </c>
      <c r="R18" s="222"/>
      <c r="S18" s="222">
        <f t="shared" si="0"/>
        <v>85242.710605360378</v>
      </c>
      <c r="T18" s="222"/>
      <c r="U18" s="222">
        <f t="shared" si="0"/>
        <v>88226.205476547984</v>
      </c>
      <c r="V18" s="222"/>
      <c r="W18" s="222">
        <f t="shared" si="0"/>
        <v>91314.122668227152</v>
      </c>
      <c r="X18" s="222"/>
      <c r="Y18" s="222">
        <f t="shared" si="0"/>
        <v>94510.116961615102</v>
      </c>
      <c r="Z18" s="222"/>
      <c r="AA18" s="222">
        <f t="shared" si="0"/>
        <v>97817.971055271628</v>
      </c>
      <c r="AB18" s="222"/>
      <c r="AC18" s="222">
        <f t="shared" si="0"/>
        <v>101241.60004220613</v>
      </c>
      <c r="AD18" s="222"/>
      <c r="AE18" s="222">
        <f t="shared" si="0"/>
        <v>104785.05604368333</v>
      </c>
      <c r="AF18" s="222"/>
      <c r="AG18" s="222">
        <f t="shared" si="0"/>
        <v>108452.53300521224</v>
      </c>
    </row>
    <row r="19" spans="1:33" s="210" customFormat="1" ht="14.25">
      <c r="A19" s="210" t="s">
        <v>155</v>
      </c>
      <c r="C19" s="233"/>
      <c r="E19" s="222">
        <f>Application!W872</f>
        <v>42000</v>
      </c>
      <c r="F19" s="222"/>
      <c r="G19" s="222">
        <f t="shared" si="0"/>
        <v>43470</v>
      </c>
      <c r="H19" s="222"/>
      <c r="I19" s="222">
        <f t="shared" si="0"/>
        <v>44991.45</v>
      </c>
      <c r="J19" s="222"/>
      <c r="K19" s="222">
        <f t="shared" si="0"/>
        <v>46566.150749999993</v>
      </c>
      <c r="L19" s="222"/>
      <c r="M19" s="222">
        <f t="shared" si="0"/>
        <v>48195.966026249989</v>
      </c>
      <c r="N19" s="222"/>
      <c r="O19" s="222">
        <f t="shared" si="0"/>
        <v>49882.824837168737</v>
      </c>
      <c r="P19" s="222"/>
      <c r="Q19" s="222">
        <f t="shared" si="0"/>
        <v>51628.723706469638</v>
      </c>
      <c r="R19" s="222"/>
      <c r="S19" s="222">
        <f t="shared" si="0"/>
        <v>53435.72903619607</v>
      </c>
      <c r="T19" s="222"/>
      <c r="U19" s="222">
        <f t="shared" si="0"/>
        <v>55305.97955246293</v>
      </c>
      <c r="V19" s="222"/>
      <c r="W19" s="222">
        <f t="shared" si="0"/>
        <v>57241.688836799127</v>
      </c>
      <c r="X19" s="222"/>
      <c r="Y19" s="222">
        <f t="shared" si="0"/>
        <v>59245.147946087091</v>
      </c>
      <c r="Z19" s="222"/>
      <c r="AA19" s="222">
        <f t="shared" si="0"/>
        <v>61318.728124200134</v>
      </c>
      <c r="AB19" s="222"/>
      <c r="AC19" s="222">
        <f t="shared" si="0"/>
        <v>63464.883608547134</v>
      </c>
      <c r="AD19" s="222"/>
      <c r="AE19" s="222">
        <f t="shared" si="0"/>
        <v>65686.154534846282</v>
      </c>
      <c r="AF19" s="222"/>
      <c r="AG19" s="222">
        <f t="shared" si="0"/>
        <v>67985.169943565896</v>
      </c>
    </row>
    <row r="20" spans="1:33" s="210" customFormat="1" ht="14.25">
      <c r="A20" s="210" t="s">
        <v>390</v>
      </c>
      <c r="C20" s="233"/>
      <c r="E20" s="222">
        <f>Application!W881</f>
        <v>41958</v>
      </c>
      <c r="F20" s="222"/>
      <c r="G20" s="222">
        <f t="shared" si="0"/>
        <v>43426.53</v>
      </c>
      <c r="H20" s="222"/>
      <c r="I20" s="222">
        <f t="shared" si="0"/>
        <v>44946.458549999996</v>
      </c>
      <c r="J20" s="222"/>
      <c r="K20" s="222">
        <f t="shared" si="0"/>
        <v>46519.584599249989</v>
      </c>
      <c r="L20" s="222"/>
      <c r="M20" s="222">
        <f t="shared" si="0"/>
        <v>48147.770060223738</v>
      </c>
      <c r="N20" s="222"/>
      <c r="O20" s="222">
        <f t="shared" si="0"/>
        <v>49832.942012331565</v>
      </c>
      <c r="P20" s="222"/>
      <c r="Q20" s="222">
        <f t="shared" si="0"/>
        <v>51577.094982763163</v>
      </c>
      <c r="R20" s="222"/>
      <c r="S20" s="222">
        <f t="shared" si="0"/>
        <v>53382.293307159867</v>
      </c>
      <c r="T20" s="222"/>
      <c r="U20" s="222">
        <f t="shared" si="0"/>
        <v>55250.673572910455</v>
      </c>
      <c r="V20" s="222"/>
      <c r="W20" s="222">
        <f t="shared" si="0"/>
        <v>57184.447147962317</v>
      </c>
      <c r="X20" s="222"/>
      <c r="Y20" s="222">
        <f t="shared" si="0"/>
        <v>59185.902798140996</v>
      </c>
      <c r="Z20" s="222"/>
      <c r="AA20" s="222">
        <f t="shared" si="0"/>
        <v>61257.409396075927</v>
      </c>
      <c r="AB20" s="222"/>
      <c r="AC20" s="222">
        <f t="shared" si="0"/>
        <v>63401.41872493858</v>
      </c>
      <c r="AD20" s="222"/>
      <c r="AE20" s="222">
        <f t="shared" si="0"/>
        <v>65620.468380311431</v>
      </c>
      <c r="AF20" s="222"/>
      <c r="AG20" s="222">
        <f t="shared" si="0"/>
        <v>67917.184773622328</v>
      </c>
    </row>
    <row r="21" spans="1:33" s="210" customFormat="1" ht="14.25">
      <c r="A21" s="226" t="s">
        <v>961</v>
      </c>
      <c r="B21" s="226"/>
      <c r="C21" s="233"/>
      <c r="E21" s="232">
        <f>Application!W888</f>
        <v>28701</v>
      </c>
      <c r="F21" s="222"/>
      <c r="G21" s="232">
        <f t="shared" si="0"/>
        <v>29705.534999999996</v>
      </c>
      <c r="H21" s="222"/>
      <c r="I21" s="232">
        <f t="shared" si="0"/>
        <v>30745.228724999994</v>
      </c>
      <c r="J21" s="222"/>
      <c r="K21" s="232">
        <f t="shared" si="0"/>
        <v>31821.31173037499</v>
      </c>
      <c r="L21" s="222"/>
      <c r="M21" s="232">
        <f t="shared" si="0"/>
        <v>32935.05764093811</v>
      </c>
      <c r="N21" s="222"/>
      <c r="O21" s="232">
        <f t="shared" si="0"/>
        <v>34087.78465837094</v>
      </c>
      <c r="P21" s="222"/>
      <c r="Q21" s="232">
        <f t="shared" si="0"/>
        <v>35280.857121413923</v>
      </c>
      <c r="R21" s="222"/>
      <c r="S21" s="232">
        <f t="shared" si="0"/>
        <v>36515.68712066341</v>
      </c>
      <c r="T21" s="222"/>
      <c r="U21" s="232">
        <f t="shared" si="0"/>
        <v>37793.736169886623</v>
      </c>
      <c r="V21" s="222"/>
      <c r="W21" s="232">
        <f t="shared" si="0"/>
        <v>39116.516935832653</v>
      </c>
      <c r="X21" s="222"/>
      <c r="Y21" s="232">
        <f t="shared" si="0"/>
        <v>40485.595028586795</v>
      </c>
      <c r="Z21" s="222"/>
      <c r="AA21" s="232">
        <f t="shared" si="0"/>
        <v>41902.590854587332</v>
      </c>
      <c r="AB21" s="222"/>
      <c r="AC21" s="232">
        <f t="shared" si="0"/>
        <v>43369.181534497882</v>
      </c>
      <c r="AD21" s="222"/>
      <c r="AE21" s="232">
        <f t="shared" si="0"/>
        <v>44887.102888205307</v>
      </c>
      <c r="AF21" s="222"/>
      <c r="AG21" s="232">
        <f t="shared" si="0"/>
        <v>46458.15148929249</v>
      </c>
    </row>
    <row r="22" spans="1:33" s="223" customFormat="1" ht="15">
      <c r="A22" s="223" t="s">
        <v>842</v>
      </c>
      <c r="C22" s="233"/>
      <c r="E22" s="223">
        <f>SUM(E15:E21)</f>
        <v>282585</v>
      </c>
      <c r="G22" s="223">
        <f>SUM(G15:G21)</f>
        <v>292475.47499999998</v>
      </c>
      <c r="I22" s="223">
        <f>SUM(I15:I21)</f>
        <v>302712.11662499997</v>
      </c>
      <c r="K22" s="223">
        <f>SUM(K15:K21)</f>
        <v>313307.04070687492</v>
      </c>
      <c r="M22" s="223">
        <f>SUM(M15:M21)</f>
        <v>324272.78713161551</v>
      </c>
      <c r="O22" s="223">
        <f>SUM(O15:O21)</f>
        <v>335622.33468122204</v>
      </c>
      <c r="Q22" s="223">
        <f>SUM(Q15:Q21)</f>
        <v>347369.1163950648</v>
      </c>
      <c r="S22" s="223">
        <f>SUM(S15:S21)</f>
        <v>359527.03546889202</v>
      </c>
      <c r="U22" s="223">
        <f>SUM(U15:U21)</f>
        <v>372110.48171030317</v>
      </c>
      <c r="W22" s="223">
        <f>SUM(W15:W21)</f>
        <v>385134.34857016383</v>
      </c>
      <c r="Y22" s="223">
        <f>SUM(Y15:Y21)</f>
        <v>398614.05077011953</v>
      </c>
      <c r="AA22" s="223">
        <f>SUM(AA15:AA21)</f>
        <v>412565.54254707368</v>
      </c>
      <c r="AC22" s="223">
        <f>SUM(AC15:AC21)</f>
        <v>427005.33653622121</v>
      </c>
      <c r="AE22" s="223">
        <f>SUM(AE15:AE21)</f>
        <v>441950.523314989</v>
      </c>
      <c r="AG22" s="223">
        <f>SUM(AG15:AG21)</f>
        <v>457418.7916310135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15542</v>
      </c>
      <c r="F27" s="222"/>
      <c r="G27" s="222">
        <f>E27*$C$27</f>
        <v>16085.97</v>
      </c>
      <c r="H27" s="222"/>
      <c r="I27" s="222">
        <f>G27*$C$27</f>
        <v>16648.978949999997</v>
      </c>
      <c r="J27" s="222"/>
      <c r="K27" s="222">
        <f>I27*$C$27</f>
        <v>17231.693213249997</v>
      </c>
      <c r="L27" s="222"/>
      <c r="M27" s="222">
        <f>K27*$C$27</f>
        <v>17834.802475713746</v>
      </c>
      <c r="N27" s="222"/>
      <c r="O27" s="222">
        <f>M27*$C$27</f>
        <v>18459.020562363727</v>
      </c>
      <c r="P27" s="222"/>
      <c r="Q27" s="222">
        <f>O27*$C$27</f>
        <v>19105.086282046457</v>
      </c>
      <c r="R27" s="222"/>
      <c r="S27" s="222">
        <f>Q27*$C$27</f>
        <v>19773.764301918083</v>
      </c>
      <c r="T27" s="222"/>
      <c r="U27" s="222">
        <f>S27*$C$27</f>
        <v>20465.846052485216</v>
      </c>
      <c r="V27" s="222"/>
      <c r="W27" s="222">
        <f>U27*$C$27</f>
        <v>21182.150664322198</v>
      </c>
      <c r="X27" s="222"/>
      <c r="Y27" s="222">
        <f>W27*$C$27</f>
        <v>21923.525937573475</v>
      </c>
      <c r="Z27" s="222"/>
      <c r="AA27" s="222">
        <f>Y27*$C$27</f>
        <v>22690.849345388546</v>
      </c>
      <c r="AB27" s="222"/>
      <c r="AC27" s="222">
        <f>AA27*$C$27</f>
        <v>23485.029072477144</v>
      </c>
      <c r="AD27" s="222"/>
      <c r="AE27" s="222">
        <f>AC27*$C$27</f>
        <v>24307.005090013841</v>
      </c>
      <c r="AF27" s="222"/>
      <c r="AG27" s="222">
        <f>AE27*$C$27</f>
        <v>25157.750268164324</v>
      </c>
    </row>
    <row r="28" spans="1:33" s="210" customFormat="1" ht="14.25">
      <c r="A28" s="210" t="s">
        <v>845</v>
      </c>
      <c r="C28" s="237"/>
      <c r="E28" s="222">
        <f>Application!AC898</f>
        <v>14000</v>
      </c>
      <c r="F28" s="222"/>
      <c r="G28" s="222">
        <f>$E$28</f>
        <v>14000</v>
      </c>
      <c r="H28" s="222"/>
      <c r="I28" s="222">
        <f>$E$28</f>
        <v>14000</v>
      </c>
      <c r="J28" s="222"/>
      <c r="K28" s="222">
        <f>$E$28</f>
        <v>14000</v>
      </c>
      <c r="L28" s="222"/>
      <c r="M28" s="222">
        <f>$E$28</f>
        <v>14000</v>
      </c>
      <c r="N28" s="222"/>
      <c r="O28" s="222">
        <f>$E$28</f>
        <v>14000</v>
      </c>
      <c r="P28" s="222"/>
      <c r="Q28" s="222">
        <f>$E$28</f>
        <v>14000</v>
      </c>
      <c r="R28" s="222"/>
      <c r="S28" s="222">
        <f>$E$28</f>
        <v>14000</v>
      </c>
      <c r="T28" s="222"/>
      <c r="U28" s="222">
        <f>$E$28</f>
        <v>14000</v>
      </c>
      <c r="V28" s="222"/>
      <c r="W28" s="222">
        <f>$E$28</f>
        <v>14000</v>
      </c>
      <c r="X28" s="222"/>
      <c r="Y28" s="222">
        <f>$E$28</f>
        <v>14000</v>
      </c>
      <c r="Z28" s="222"/>
      <c r="AA28" s="222">
        <f>$E$28</f>
        <v>14000</v>
      </c>
      <c r="AB28" s="222"/>
      <c r="AC28" s="222">
        <f>$E$28</f>
        <v>14000</v>
      </c>
      <c r="AD28" s="222"/>
      <c r="AE28" s="222">
        <f>$E$28</f>
        <v>14000</v>
      </c>
      <c r="AF28" s="222"/>
      <c r="AG28" s="222">
        <f>$E$28</f>
        <v>14000</v>
      </c>
    </row>
    <row r="29" spans="1:33" s="210" customFormat="1" ht="14.25">
      <c r="A29" s="210" t="s">
        <v>1668</v>
      </c>
      <c r="C29" s="237"/>
      <c r="E29" s="222">
        <f>Application!AC899</f>
        <v>6000</v>
      </c>
      <c r="F29" s="222"/>
      <c r="G29" s="222">
        <f>$E$29</f>
        <v>6000</v>
      </c>
      <c r="H29" s="222"/>
      <c r="I29" s="222">
        <f>$E$29</f>
        <v>6000</v>
      </c>
      <c r="J29" s="222"/>
      <c r="K29" s="222">
        <f>$E$29</f>
        <v>6000</v>
      </c>
      <c r="L29" s="222"/>
      <c r="M29" s="222">
        <f>$E$29</f>
        <v>6000</v>
      </c>
      <c r="N29" s="222"/>
      <c r="O29" s="222">
        <f>$E$29</f>
        <v>6000</v>
      </c>
      <c r="P29" s="222"/>
      <c r="Q29" s="222">
        <f>$E$29</f>
        <v>6000</v>
      </c>
      <c r="R29" s="222"/>
      <c r="S29" s="222">
        <f>$E$29</f>
        <v>6000</v>
      </c>
      <c r="T29" s="222"/>
      <c r="U29" s="222">
        <f>$E$29</f>
        <v>6000</v>
      </c>
      <c r="V29" s="222"/>
      <c r="W29" s="222">
        <f>$E$29</f>
        <v>6000</v>
      </c>
      <c r="X29" s="222"/>
      <c r="Y29" s="222">
        <f>$E$29</f>
        <v>6000</v>
      </c>
      <c r="Z29" s="222"/>
      <c r="AA29" s="222">
        <f>$E$29</f>
        <v>6000</v>
      </c>
      <c r="AB29" s="222"/>
      <c r="AC29" s="222">
        <f>$E$29</f>
        <v>6000</v>
      </c>
      <c r="AD29" s="222"/>
      <c r="AE29" s="222">
        <f>$E$29</f>
        <v>6000</v>
      </c>
      <c r="AF29" s="222"/>
      <c r="AG29" s="222">
        <f>$E$29</f>
        <v>6000</v>
      </c>
    </row>
    <row r="30" spans="1:33" s="210" customFormat="1" ht="14.25">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 xml:space="preserve">Other (Specify): </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318127</v>
      </c>
      <c r="G35" s="223">
        <f>SUM(G22:G33)</f>
        <v>328561.44499999995</v>
      </c>
      <c r="I35" s="223">
        <f>SUM(I22:I33)</f>
        <v>339361.09557499998</v>
      </c>
      <c r="K35" s="223">
        <f>SUM(K22:K33)</f>
        <v>350538.73392012494</v>
      </c>
      <c r="M35" s="223">
        <f>SUM(M22:M33)</f>
        <v>362107.58960732922</v>
      </c>
      <c r="O35" s="223">
        <f>SUM(O22:O33)</f>
        <v>374081.35524358577</v>
      </c>
      <c r="Q35" s="223">
        <f>SUM(Q22:Q33)</f>
        <v>386474.20267711126</v>
      </c>
      <c r="S35" s="223">
        <f>SUM(S22:S33)</f>
        <v>399300.79977081012</v>
      </c>
      <c r="U35" s="223">
        <f>SUM(U22:U33)</f>
        <v>412576.32776278839</v>
      </c>
      <c r="W35" s="223">
        <f>SUM(W22:W33)</f>
        <v>426316.49923448602</v>
      </c>
      <c r="Y35" s="223">
        <f>SUM(Y22:Y33)</f>
        <v>440537.57670769299</v>
      </c>
      <c r="AA35" s="223">
        <f>SUM(AA22:AA33)</f>
        <v>455256.39189246221</v>
      </c>
      <c r="AC35" s="223">
        <f>SUM(AC22:AC33)</f>
        <v>470490.36560869834</v>
      </c>
      <c r="AE35" s="223">
        <f>SUM(AE22:AE33)</f>
        <v>486257.52840500284</v>
      </c>
      <c r="AG35" s="223">
        <f>SUM(AG22:AG33)</f>
        <v>502576.54189917783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73713.799999999988</v>
      </c>
      <c r="G37" s="223">
        <f>G11-G35</f>
        <v>73075.375</v>
      </c>
      <c r="I37" s="223">
        <f>I11-I35</f>
        <v>72316.644924999971</v>
      </c>
      <c r="K37" s="223">
        <f>K11-K35</f>
        <v>71430.950092374929</v>
      </c>
      <c r="M37" s="223">
        <f>M11-M35</f>
        <v>70411.336505483079</v>
      </c>
      <c r="O37" s="223">
        <f>O11-O35</f>
        <v>69250.544022046844</v>
      </c>
      <c r="Q37" s="223">
        <f>Q11-Q35</f>
        <v>67940.994070162182</v>
      </c>
      <c r="S37" s="223">
        <f>S11-S35</f>
        <v>66474.776895145071</v>
      </c>
      <c r="U37" s="223">
        <f>U11-U35</f>
        <v>64843.638319815625</v>
      </c>
      <c r="W37" s="223">
        <f>W11-W35</f>
        <v>63038.96600018302</v>
      </c>
      <c r="Y37" s="223">
        <f>Y11-Y35</f>
        <v>61051.775157842785</v>
      </c>
      <c r="AA37" s="223">
        <f>AA11-AA35</f>
        <v>58872.693769711885</v>
      </c>
      <c r="AC37" s="223">
        <f>AC11-AC35</f>
        <v>56491.94719503005</v>
      </c>
      <c r="AE37" s="223">
        <f>AE11-AE35</f>
        <v>53899.342218818783</v>
      </c>
      <c r="AG37" s="223">
        <f>AG11-AG35</f>
        <v>51084.250490239356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
        <v>2780</v>
      </c>
      <c r="B40" s="226"/>
      <c r="C40" s="220"/>
      <c r="E40" s="222">
        <f>Application!AF636</f>
        <v>31672</v>
      </c>
      <c r="F40" s="222"/>
      <c r="G40" s="222">
        <f>$E$40</f>
        <v>31672</v>
      </c>
      <c r="H40" s="222"/>
      <c r="I40" s="222">
        <f>$E$40</f>
        <v>31672</v>
      </c>
      <c r="J40" s="222"/>
      <c r="K40" s="222">
        <f>$E$40</f>
        <v>31672</v>
      </c>
      <c r="L40" s="222"/>
      <c r="M40" s="222">
        <f>$E$40</f>
        <v>31672</v>
      </c>
      <c r="N40" s="222"/>
      <c r="O40" s="222">
        <f>$E$40</f>
        <v>31672</v>
      </c>
      <c r="P40" s="222"/>
      <c r="Q40" s="222">
        <f>$E$40</f>
        <v>31672</v>
      </c>
      <c r="R40" s="222"/>
      <c r="S40" s="222">
        <f>$E$40</f>
        <v>31672</v>
      </c>
      <c r="T40" s="222"/>
      <c r="U40" s="222">
        <f>$E$40</f>
        <v>31672</v>
      </c>
      <c r="V40" s="222"/>
      <c r="W40" s="222">
        <f>$E$40</f>
        <v>31672</v>
      </c>
      <c r="X40" s="222"/>
      <c r="Y40" s="222">
        <f>$E$40</f>
        <v>31672</v>
      </c>
      <c r="Z40" s="222"/>
      <c r="AA40" s="222">
        <f>$E$40</f>
        <v>31672</v>
      </c>
      <c r="AB40" s="222"/>
      <c r="AC40" s="222">
        <f>$E$40</f>
        <v>31672</v>
      </c>
      <c r="AD40" s="222"/>
      <c r="AE40" s="222">
        <f>$E$40</f>
        <v>31672</v>
      </c>
      <c r="AF40" s="222"/>
      <c r="AG40" s="222">
        <f>$E$40</f>
        <v>31672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31672</v>
      </c>
      <c r="G43" s="223">
        <f>SUM(G40:G42)</f>
        <v>31672</v>
      </c>
      <c r="I43" s="223">
        <f>SUM(I40:I42)</f>
        <v>31672</v>
      </c>
      <c r="K43" s="223">
        <f>SUM(K40:K42)</f>
        <v>31672</v>
      </c>
      <c r="M43" s="223">
        <f>SUM(M40:M42)</f>
        <v>31672</v>
      </c>
      <c r="O43" s="223">
        <f>SUM(O40:O42)</f>
        <v>31672</v>
      </c>
      <c r="Q43" s="223">
        <f>SUM(Q40:Q42)</f>
        <v>31672</v>
      </c>
      <c r="S43" s="223">
        <f>SUM(S40:S42)</f>
        <v>31672</v>
      </c>
      <c r="U43" s="223">
        <f>SUM(U40:U42)</f>
        <v>31672</v>
      </c>
      <c r="W43" s="223">
        <f>SUM(W40:W42)</f>
        <v>31672</v>
      </c>
      <c r="Y43" s="223">
        <f>SUM(Y40:Y42)</f>
        <v>31672</v>
      </c>
      <c r="AA43" s="223">
        <f>SUM(AA40:AA42)</f>
        <v>31672</v>
      </c>
      <c r="AC43" s="223">
        <f>SUM(AC40:AC42)</f>
        <v>31672</v>
      </c>
      <c r="AE43" s="223">
        <f>SUM(AE40:AE42)</f>
        <v>31672</v>
      </c>
      <c r="AG43" s="223">
        <f>SUM(AG40:AG42)</f>
        <v>31672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42041.799999999988</v>
      </c>
      <c r="G45" s="223">
        <f>G37-G43</f>
        <v>41403.375</v>
      </c>
      <c r="I45" s="223">
        <f>I37-I43</f>
        <v>40644.644924999971</v>
      </c>
      <c r="K45" s="223">
        <f>K37-K43</f>
        <v>39758.950092374929</v>
      </c>
      <c r="M45" s="223">
        <f>M37-M43</f>
        <v>38739.336505483079</v>
      </c>
      <c r="O45" s="223">
        <f>O37-O43</f>
        <v>37578.544022046844</v>
      </c>
      <c r="Q45" s="223">
        <f>Q37-Q43</f>
        <v>36268.994070162182</v>
      </c>
      <c r="S45" s="223">
        <f>S37-S43</f>
        <v>34802.776895145071</v>
      </c>
      <c r="U45" s="223">
        <f>U37-U43</f>
        <v>33171.638319815625</v>
      </c>
      <c r="W45" s="223">
        <f>W37-W43</f>
        <v>31366.96600018302</v>
      </c>
      <c r="Y45" s="223">
        <f>Y37-Y43</f>
        <v>29379.775157842785</v>
      </c>
      <c r="AA45" s="223">
        <f>AA37-AA43</f>
        <v>27200.693769711885</v>
      </c>
      <c r="AC45" s="223">
        <f>AC37-AC43</f>
        <v>24819.94719503005</v>
      </c>
      <c r="AE45" s="223">
        <f>AE37-AE43</f>
        <v>22227.342218818783</v>
      </c>
      <c r="AG45" s="223">
        <f>AG37-AG43</f>
        <v>19412.250490239356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0.10192841072190539</v>
      </c>
      <c r="G47" s="227">
        <f>G45/(G4+G6+G8)</f>
        <v>9.7932271871886648E-2</v>
      </c>
      <c r="I47" s="227">
        <f>I45/(I4+I6+I8)</f>
        <v>9.3792811415680563E-2</v>
      </c>
      <c r="K47" s="227">
        <f>K45/(K4+K6+K8)</f>
        <v>8.9511175847024366E-2</v>
      </c>
      <c r="M47" s="227">
        <f>M45/(M4+M6+M8)</f>
        <v>8.5088460777806282E-2</v>
      </c>
      <c r="O47" s="227">
        <f>O45/(O4+O6+O8)</f>
        <v>8.0525711955489687E-2</v>
      </c>
      <c r="Q47" s="227">
        <f>Q45/(Q4+Q6+Q8)</f>
        <v>7.5823926253542076E-2</v>
      </c>
      <c r="S47" s="227">
        <f>S45/(S4+S6+S8)</f>
        <v>7.0984052635502767E-2</v>
      </c>
      <c r="U47" s="227">
        <f>U45/(U4+U6+U8)</f>
        <v>6.6006993093314412E-2</v>
      </c>
      <c r="W47" s="227">
        <f>W45/(W4+W6+W8)</f>
        <v>6.0893603560520211E-2</v>
      </c>
      <c r="Y47" s="227">
        <f>Y45/(Y4+Y6+Y8)</f>
        <v>5.564469480092326E-2</v>
      </c>
      <c r="AA47" s="227">
        <f>AA45/(AA4+AA6+AA8)</f>
        <v>5.0261033273277536E-2</v>
      </c>
      <c r="AC47" s="227">
        <f>AC45/(AC4+AC6+AC8)</f>
        <v>4.474334197258039E-2</v>
      </c>
      <c r="AE47" s="227">
        <f>AE45/(AE4+AE6+AE8)</f>
        <v>3.9092301248508085E-2</v>
      </c>
      <c r="AG47" s="227">
        <f>AG45/(AG4+AG6+AG8)</f>
        <v>3.330854960153376E-2</v>
      </c>
    </row>
    <row r="48" spans="1:33" s="227" customFormat="1" ht="14.25">
      <c r="A48" s="227" t="s">
        <v>851</v>
      </c>
      <c r="C48" s="220"/>
      <c r="E48" s="227">
        <f>E45/E43</f>
        <v>1.3274122253094212</v>
      </c>
      <c r="G48" s="227">
        <f>G45/G43</f>
        <v>1.3072548307653449</v>
      </c>
      <c r="I48" s="227">
        <f>I45/I43</f>
        <v>1.2832989683316485</v>
      </c>
      <c r="K48" s="227">
        <f>K45/K43</f>
        <v>1.2553343676551822</v>
      </c>
      <c r="M48" s="227">
        <f>M45/M43</f>
        <v>1.2231414658210116</v>
      </c>
      <c r="O48" s="227">
        <f>O45/O43</f>
        <v>1.1864910337852628</v>
      </c>
      <c r="Q48" s="227">
        <f>Q45/Q43</f>
        <v>1.1451437885249489</v>
      </c>
      <c r="S48" s="227">
        <f>S45/S43</f>
        <v>1.0988499903746234</v>
      </c>
      <c r="U48" s="227">
        <f>U45/U43</f>
        <v>1.0473490250004933</v>
      </c>
      <c r="W48" s="227">
        <f>W45/W43</f>
        <v>0.99036896944250508</v>
      </c>
      <c r="Y48" s="227">
        <f>Y45/Y43</f>
        <v>0.92762614163433899</v>
      </c>
      <c r="AA48" s="227">
        <f>AA45/AA43</f>
        <v>0.85882463278958965</v>
      </c>
      <c r="AC48" s="227">
        <f>AC45/AC43</f>
        <v>0.78365582202039819</v>
      </c>
      <c r="AE48" s="227">
        <f>AE45/AE43</f>
        <v>0.70179787253153525</v>
      </c>
      <c r="AG48" s="227">
        <f>AG45/AG43</f>
        <v>0.61291520870924965</v>
      </c>
    </row>
    <row r="49" spans="1:34" s="228" customFormat="1" ht="14.25">
      <c r="A49" s="228" t="s">
        <v>849</v>
      </c>
      <c r="C49" s="229"/>
      <c r="E49" s="228">
        <f>E37/E43</f>
        <v>2.3274122253094212</v>
      </c>
      <c r="G49" s="228">
        <f>G37/G43</f>
        <v>2.3072548307653449</v>
      </c>
      <c r="I49" s="228">
        <f>I37/I43</f>
        <v>2.2832989683316485</v>
      </c>
      <c r="K49" s="228">
        <f>K37/K43</f>
        <v>2.2553343676551822</v>
      </c>
      <c r="M49" s="228">
        <f>M37/M43</f>
        <v>2.2231414658210116</v>
      </c>
      <c r="O49" s="228">
        <f>O37/O43</f>
        <v>2.1864910337852628</v>
      </c>
      <c r="Q49" s="228">
        <f>Q37/Q43</f>
        <v>2.1451437885249489</v>
      </c>
      <c r="S49" s="228">
        <f>S37/S43</f>
        <v>2.0988499903746232</v>
      </c>
      <c r="U49" s="228">
        <f>U37/U43</f>
        <v>2.0473490250004933</v>
      </c>
      <c r="W49" s="228">
        <f>W37/W43</f>
        <v>1.9903689694425051</v>
      </c>
      <c r="Y49" s="228">
        <f>Y37/Y43</f>
        <v>1.927626141634339</v>
      </c>
      <c r="AA49" s="228">
        <f>AA37/AA43</f>
        <v>1.8588246327895896</v>
      </c>
      <c r="AC49" s="228">
        <f>AC37/AC43</f>
        <v>1.7836558220203982</v>
      </c>
      <c r="AE49" s="228">
        <f>AE37/AE43</f>
        <v>1.7017978725315352</v>
      </c>
      <c r="AG49" s="228">
        <f>AG37/AG43</f>
        <v>1.6129152087092498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9" t="s">
        <v>2781</v>
      </c>
      <c r="B52" s="2689"/>
      <c r="C52" s="2689"/>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c r="G53" s="956">
        <f>E53*$C$53</f>
        <v>0</v>
      </c>
      <c r="I53" s="956">
        <f>G53*$C$53</f>
        <v>0</v>
      </c>
      <c r="K53" s="956">
        <f>I53*$C$53</f>
        <v>0</v>
      </c>
      <c r="M53" s="956">
        <f>K53*$C$53</f>
        <v>0</v>
      </c>
      <c r="O53" s="956">
        <v>0</v>
      </c>
      <c r="P53" s="956"/>
      <c r="Q53" s="956">
        <v>0</v>
      </c>
      <c r="R53" s="956"/>
      <c r="S53" s="956">
        <v>0</v>
      </c>
      <c r="T53" s="956"/>
      <c r="U53" s="956">
        <v>0</v>
      </c>
      <c r="V53" s="956"/>
      <c r="W53" s="956">
        <v>0</v>
      </c>
      <c r="X53" s="956"/>
      <c r="Y53" s="956">
        <v>0</v>
      </c>
      <c r="Z53" s="956"/>
      <c r="AA53" s="956">
        <v>0</v>
      </c>
      <c r="AB53" s="956"/>
      <c r="AC53" s="956">
        <v>0</v>
      </c>
      <c r="AD53" s="956"/>
      <c r="AE53" s="956">
        <v>0</v>
      </c>
      <c r="AF53" s="956"/>
      <c r="AG53" s="956">
        <v>0</v>
      </c>
    </row>
    <row r="54" spans="1:34" s="3" customFormat="1">
      <c r="A54" s="3" t="s">
        <v>854</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M54*$C$53-98</f>
        <v>8596.5555572499998</v>
      </c>
      <c r="P54" s="956"/>
      <c r="Q54" s="956">
        <f t="shared" si="1"/>
        <v>8854.4522239675007</v>
      </c>
      <c r="R54" s="956"/>
      <c r="S54" s="956">
        <f t="shared" si="1"/>
        <v>9120.0857906865258</v>
      </c>
      <c r="T54" s="956"/>
      <c r="U54" s="956">
        <f t="shared" si="1"/>
        <v>9393.6883644071222</v>
      </c>
      <c r="V54" s="956"/>
      <c r="W54" s="956">
        <f t="shared" si="1"/>
        <v>9675.4990153393355</v>
      </c>
      <c r="X54" s="956"/>
      <c r="Y54" s="956">
        <f t="shared" si="1"/>
        <v>9965.7639857995164</v>
      </c>
      <c r="Z54" s="956"/>
      <c r="AA54" s="956">
        <f t="shared" si="1"/>
        <v>10264.736905373502</v>
      </c>
      <c r="AB54" s="956"/>
      <c r="AC54" s="956">
        <f t="shared" si="1"/>
        <v>10572.679012534707</v>
      </c>
      <c r="AD54" s="956"/>
      <c r="AE54" s="956">
        <f t="shared" si="1"/>
        <v>10889.859382910749</v>
      </c>
      <c r="AF54" s="956"/>
      <c r="AG54" s="956">
        <f t="shared" si="1"/>
        <v>11216.555164398071</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7500</v>
      </c>
      <c r="F58" s="956"/>
      <c r="G58" s="956">
        <f>SUM(G53:G57)</f>
        <v>7725</v>
      </c>
      <c r="H58" s="956"/>
      <c r="I58" s="956">
        <f>SUM(I53:I57)</f>
        <v>7956.75</v>
      </c>
      <c r="J58" s="956"/>
      <c r="K58" s="956">
        <f>SUM(K53:K57)</f>
        <v>8195.4524999999994</v>
      </c>
      <c r="L58" s="956"/>
      <c r="M58" s="956">
        <f>SUM(M53:M57)</f>
        <v>8441.3160749999988</v>
      </c>
      <c r="N58" s="956"/>
      <c r="O58" s="956">
        <f>SUM(O53:O57)</f>
        <v>8596.5555572499998</v>
      </c>
      <c r="P58" s="956"/>
      <c r="Q58" s="956">
        <f>SUM(Q53:Q57)</f>
        <v>8854.4522239675007</v>
      </c>
      <c r="R58" s="956"/>
      <c r="S58" s="956">
        <f>SUM(S53:S57)</f>
        <v>9120.0857906865258</v>
      </c>
      <c r="T58" s="956"/>
      <c r="U58" s="956">
        <f>SUM(U53:U57)</f>
        <v>9393.6883644071222</v>
      </c>
      <c r="V58" s="956"/>
      <c r="W58" s="956">
        <f>SUM(W53:W57)</f>
        <v>9675.4990153393355</v>
      </c>
      <c r="X58" s="956"/>
      <c r="Y58" s="956">
        <f>SUM(Y53:Y57)</f>
        <v>9965.7639857995164</v>
      </c>
      <c r="Z58" s="956"/>
      <c r="AA58" s="956">
        <f>SUM(AA53:AA57)</f>
        <v>10264.736905373502</v>
      </c>
      <c r="AB58" s="956"/>
      <c r="AC58" s="956">
        <f>SUM(AC53:AC57)</f>
        <v>10572.679012534707</v>
      </c>
      <c r="AD58" s="956"/>
      <c r="AE58" s="956">
        <f>SUM(AE53:AE57)</f>
        <v>10889.859382910749</v>
      </c>
      <c r="AF58" s="956"/>
      <c r="AG58" s="956">
        <f>SUM(AG53:AG57)</f>
        <v>11216.555164398071</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34541.799999999988</v>
      </c>
      <c r="G60" s="958">
        <f>G45-G58</f>
        <v>33678.375</v>
      </c>
      <c r="I60" s="958">
        <f>I45-I58</f>
        <v>32687.894924999971</v>
      </c>
      <c r="K60" s="958">
        <f>K45-K58</f>
        <v>31563.49759237493</v>
      </c>
      <c r="M60" s="958">
        <f>M45-M58</f>
        <v>30298.02043048308</v>
      </c>
      <c r="O60" s="958">
        <f>O45-O58</f>
        <v>28981.988464796843</v>
      </c>
      <c r="Q60" s="958">
        <f>Q45-Q58</f>
        <v>27414.541846194683</v>
      </c>
      <c r="S60" s="958">
        <f>S45-S58</f>
        <v>25682.691104458543</v>
      </c>
      <c r="U60" s="958">
        <f>U45-U58</f>
        <v>23777.949955408505</v>
      </c>
      <c r="W60" s="958">
        <f>W45-W58</f>
        <v>21691.466984843682</v>
      </c>
      <c r="Y60" s="958">
        <f>Y45-Y58</f>
        <v>19414.011172043269</v>
      </c>
      <c r="AA60" s="958">
        <f>AA45-AA58</f>
        <v>16935.956864338383</v>
      </c>
      <c r="AC60" s="958">
        <f>AC45-AC58</f>
        <v>14247.268182495343</v>
      </c>
      <c r="AE60" s="958">
        <f>AE45-AE58</f>
        <v>11337.482835908035</v>
      </c>
      <c r="AG60" s="958">
        <f>AG45-AG58</f>
        <v>8195.695325841285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34541.799999999988</v>
      </c>
      <c r="G62" s="958">
        <f>G60*$C$62</f>
        <v>33678.375</v>
      </c>
      <c r="I62" s="958">
        <f>I60*$C$62</f>
        <v>32687.894924999971</v>
      </c>
      <c r="K62" s="958">
        <f>K60*$C$62</f>
        <v>31563.49759237493</v>
      </c>
      <c r="M62" s="958">
        <f>M60*$C$62</f>
        <v>30298.02043048308</v>
      </c>
      <c r="O62" s="958">
        <f>O60*$C$62</f>
        <v>28981.988464796843</v>
      </c>
      <c r="Q62" s="958">
        <f>Q60*$C$62</f>
        <v>27414.541846194683</v>
      </c>
      <c r="S62" s="958">
        <f>S60*$C$62</f>
        <v>25682.691104458543</v>
      </c>
      <c r="U62" s="958">
        <f>U60*$C$62</f>
        <v>23777.949955408505</v>
      </c>
      <c r="W62" s="958">
        <f>W60*$C$62</f>
        <v>21691.466984843682</v>
      </c>
      <c r="Y62" s="958">
        <f>Y60*$C$62</f>
        <v>19414.011172043269</v>
      </c>
      <c r="AA62" s="958">
        <f>AA60*$C$62</f>
        <v>16935.956864338383</v>
      </c>
      <c r="AC62" s="958">
        <f>AC60*$C$62</f>
        <v>14247.268182495343</v>
      </c>
      <c r="AE62" s="958">
        <f>AE60*$C$62</f>
        <v>11337.482835908035</v>
      </c>
      <c r="AG62" s="958">
        <f>AG60*$C$62</f>
        <v>8195.695325841285</v>
      </c>
    </row>
    <row r="63" spans="1:34" s="958" customFormat="1">
      <c r="A63" s="2689" t="s">
        <v>1183</v>
      </c>
      <c r="B63" s="2689"/>
      <c r="C63" s="2689"/>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8635.4499999999971</v>
      </c>
      <c r="G66" s="956">
        <f>G60*$C$65</f>
        <v>8419.59375</v>
      </c>
      <c r="I66" s="956">
        <f>I60*$C$65</f>
        <v>8171.9737312499929</v>
      </c>
      <c r="K66" s="956">
        <f>K60*$C$65</f>
        <v>7890.8743980937325</v>
      </c>
      <c r="M66" s="956">
        <f>M60*$C$65</f>
        <v>7574.5051076207701</v>
      </c>
      <c r="O66" s="956">
        <f>O60*$C$65</f>
        <v>7245.4971161992107</v>
      </c>
      <c r="Q66" s="956">
        <f>Q60*$C$65</f>
        <v>6853.6354615486707</v>
      </c>
      <c r="S66" s="956">
        <f>S60*$C$65</f>
        <v>6420.6727761146358</v>
      </c>
      <c r="U66" s="956">
        <f>U60*$C$65</f>
        <v>5944.4874888521263</v>
      </c>
      <c r="W66" s="956">
        <f>W60*$C$65</f>
        <v>5422.8667462109206</v>
      </c>
      <c r="Y66" s="956">
        <f>Y60*$C$65</f>
        <v>4853.5027930108172</v>
      </c>
      <c r="AA66" s="956">
        <f>AA60*$C$65</f>
        <v>4233.9892160845957</v>
      </c>
      <c r="AC66" s="956">
        <f>AC60*$C$65</f>
        <v>3561.8170456238358</v>
      </c>
      <c r="AE66" s="956">
        <f>AE60*$C$65</f>
        <v>2834.3707089770087</v>
      </c>
      <c r="AG66" s="956">
        <f>AG60*$C$65</f>
        <v>2048.9238314603213</v>
      </c>
    </row>
    <row r="67" spans="1:34" s="956" customFormat="1">
      <c r="A67" s="961"/>
      <c r="B67" s="961"/>
      <c r="C67" s="966"/>
      <c r="E67" s="960">
        <f>$E60*$C$65</f>
        <v>8635.4499999999971</v>
      </c>
      <c r="G67" s="956">
        <f>G60*$C$65</f>
        <v>8419.59375</v>
      </c>
      <c r="I67" s="956">
        <f>I60*$C$65</f>
        <v>8171.9737312499929</v>
      </c>
      <c r="K67" s="956">
        <f>K60*$C$65</f>
        <v>7890.8743980937325</v>
      </c>
      <c r="M67" s="956">
        <f>M60*$C$65</f>
        <v>7574.5051076207701</v>
      </c>
      <c r="O67" s="956">
        <f>O60*$C$65</f>
        <v>7245.4971161992107</v>
      </c>
      <c r="Q67" s="956">
        <f>Q60*$C$65</f>
        <v>6853.6354615486707</v>
      </c>
      <c r="S67" s="956">
        <f>S60*$C$65</f>
        <v>6420.6727761146358</v>
      </c>
      <c r="U67" s="956">
        <f>U60*$C$65</f>
        <v>5944.4874888521263</v>
      </c>
      <c r="W67" s="956">
        <f>W60*$C$65</f>
        <v>5422.8667462109206</v>
      </c>
      <c r="Y67" s="956">
        <f>Y60*$C$65</f>
        <v>4853.5027930108172</v>
      </c>
      <c r="AA67" s="956">
        <f>AA60*$C$65</f>
        <v>4233.9892160845957</v>
      </c>
      <c r="AC67" s="956">
        <f>AC60*$C$65</f>
        <v>3561.8170456238358</v>
      </c>
      <c r="AE67" s="956">
        <f>AE60*$C$65</f>
        <v>2834.3707089770087</v>
      </c>
      <c r="AG67" s="956">
        <f>AG60*$C$65</f>
        <v>2048.9238314603213</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17270.899999999994</v>
      </c>
      <c r="G70" s="956">
        <f>SUM(G66:G69)</f>
        <v>16839.1875</v>
      </c>
      <c r="I70" s="956">
        <f>SUM(I66:I69)</f>
        <v>16343.947462499986</v>
      </c>
      <c r="K70" s="956">
        <f>SUM(K66:K69)</f>
        <v>15781.748796187465</v>
      </c>
      <c r="M70" s="956">
        <f>SUM(M66:M69)</f>
        <v>15149.01021524154</v>
      </c>
      <c r="O70" s="956">
        <f>SUM(O66:O69)</f>
        <v>14490.994232398421</v>
      </c>
      <c r="Q70" s="956">
        <f>SUM(Q66:Q69)</f>
        <v>13707.270923097341</v>
      </c>
      <c r="S70" s="956">
        <f>SUM(S66:S69)</f>
        <v>12841.345552229272</v>
      </c>
      <c r="U70" s="956">
        <f>SUM(U66:U69)</f>
        <v>11888.974977704253</v>
      </c>
      <c r="W70" s="956">
        <f>SUM(W66:W69)</f>
        <v>10845.733492421841</v>
      </c>
      <c r="Y70" s="956">
        <f>SUM(Y66:Y69)</f>
        <v>9707.0055860216344</v>
      </c>
      <c r="AA70" s="956">
        <f>SUM(AA66:AA69)</f>
        <v>8467.9784321691914</v>
      </c>
      <c r="AC70" s="956">
        <f>SUM(AC66:AC69)</f>
        <v>7123.6340912476717</v>
      </c>
      <c r="AE70" s="956">
        <f>SUM(AE66:AE69)</f>
        <v>5668.7414179540174</v>
      </c>
      <c r="AG70" s="956">
        <f>SUM(AG66:AG69)</f>
        <v>4097.8476629206425</v>
      </c>
    </row>
    <row r="71" spans="1:34" s="956" customFormat="1">
      <c r="A71" s="958"/>
      <c r="C71" s="966"/>
    </row>
    <row r="72" spans="1:34" s="956" customFormat="1">
      <c r="A72" s="958" t="s">
        <v>1711</v>
      </c>
      <c r="C72" s="966"/>
      <c r="E72" s="958">
        <f>E60-E62-E70</f>
        <v>-17270.899999999994</v>
      </c>
      <c r="G72" s="958">
        <f>G60-G62-G70</f>
        <v>-16839.1875</v>
      </c>
      <c r="I72" s="958">
        <f>I60-I62-I70</f>
        <v>-16343.947462499986</v>
      </c>
      <c r="K72" s="958">
        <f>K60-K62-K70</f>
        <v>-15781.748796187465</v>
      </c>
      <c r="M72" s="958">
        <f>M60-M62-M70</f>
        <v>-15149.01021524154</v>
      </c>
      <c r="O72" s="958">
        <f>O60-O62-O70</f>
        <v>-14490.994232398421</v>
      </c>
      <c r="Q72" s="958">
        <f>Q60-Q62-Q70</f>
        <v>-13707.270923097341</v>
      </c>
      <c r="S72" s="958">
        <f>S60-S62-S70</f>
        <v>-12841.345552229272</v>
      </c>
      <c r="U72" s="958">
        <f>U60-U62-U70</f>
        <v>-11888.974977704253</v>
      </c>
      <c r="W72" s="958">
        <f>W60-W62-W70</f>
        <v>-10845.733492421841</v>
      </c>
      <c r="Y72" s="958">
        <f>Y60-Y62-Y70</f>
        <v>-9707.0055860216344</v>
      </c>
      <c r="AA72" s="958">
        <f>AA60-AA62-AA70</f>
        <v>-8467.9784321691914</v>
      </c>
      <c r="AC72" s="958">
        <f>AC60-AC62-AC70</f>
        <v>-7123.6340912476717</v>
      </c>
      <c r="AE72" s="958">
        <f>AE60-AE62-AE70</f>
        <v>-5668.7414179540174</v>
      </c>
      <c r="AG72" s="958">
        <f>AG60-AG62-AG70</f>
        <v>-4097.8476629206425</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7" t="s">
        <v>1709</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1800000</v>
      </c>
      <c r="C5" s="266">
        <f>'Sources and Uses Budget'!$C4</f>
        <v>1800000</v>
      </c>
      <c r="D5" s="270">
        <f>C5-B5</f>
        <v>0</v>
      </c>
      <c r="E5" s="268"/>
      <c r="F5" s="267"/>
    </row>
    <row r="6" spans="1:6" s="352" customFormat="1">
      <c r="A6" s="364" t="s">
        <v>28</v>
      </c>
      <c r="B6" s="266">
        <f>'Sources and Uses Budget'!$C5</f>
        <v>9873</v>
      </c>
      <c r="C6" s="266">
        <f>'Sources and Uses Budget'!$C5</f>
        <v>9873</v>
      </c>
      <c r="D6" s="270">
        <f t="shared" ref="D6:D77" si="0">C6-B6</f>
        <v>0</v>
      </c>
      <c r="E6" s="268"/>
      <c r="F6" s="267"/>
    </row>
    <row r="7" spans="1:6" s="352" customFormat="1">
      <c r="A7" s="364" t="s">
        <v>29</v>
      </c>
      <c r="B7" s="266">
        <f>'Sources and Uses Budget'!$C6</f>
        <v>7624</v>
      </c>
      <c r="C7" s="266">
        <f>'Sources and Uses Budget'!$C6</f>
        <v>7624</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1817497</v>
      </c>
      <c r="C9" s="270">
        <f>SUM(C5:C8)</f>
        <v>1817497</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272448</v>
      </c>
      <c r="C11" s="266">
        <f>'Sources and Uses Budget'!$C10</f>
        <v>272448</v>
      </c>
      <c r="D11" s="270">
        <f t="shared" si="0"/>
        <v>0</v>
      </c>
      <c r="E11" s="268"/>
      <c r="F11" s="267"/>
    </row>
    <row r="12" spans="1:6" s="352" customFormat="1">
      <c r="A12" s="365" t="s">
        <v>595</v>
      </c>
      <c r="B12" s="270">
        <f>SUM(B10:B11)</f>
        <v>272448</v>
      </c>
      <c r="C12" s="270">
        <f>SUM(C10:C11)</f>
        <v>272448</v>
      </c>
      <c r="D12" s="270">
        <f t="shared" si="0"/>
        <v>0</v>
      </c>
      <c r="E12" s="268"/>
      <c r="F12" s="267"/>
    </row>
    <row r="13" spans="1:6" s="352" customFormat="1">
      <c r="A13" s="365" t="s">
        <v>84</v>
      </c>
      <c r="B13" s="270">
        <f>SUM(B9+B12)</f>
        <v>2089945</v>
      </c>
      <c r="C13" s="270">
        <f>SUM(C9+C12)</f>
        <v>2089945</v>
      </c>
      <c r="D13" s="270">
        <f t="shared" si="0"/>
        <v>0</v>
      </c>
      <c r="E13" s="268"/>
      <c r="F13" s="267"/>
    </row>
    <row r="14" spans="1:6" s="352" customFormat="1">
      <c r="A14" s="366" t="s">
        <v>901</v>
      </c>
      <c r="B14" s="266">
        <f>'Sources and Uses Budget'!$C13</f>
        <v>981575</v>
      </c>
      <c r="C14" s="266">
        <f>'Sources and Uses Budget'!$C13</f>
        <v>981575</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11579796</v>
      </c>
      <c r="C31" s="266">
        <f>'Sources and Uses Budget'!$C30</f>
        <v>11579796</v>
      </c>
      <c r="D31" s="270">
        <f t="shared" si="0"/>
        <v>0</v>
      </c>
      <c r="E31" s="268"/>
      <c r="F31" s="267"/>
    </row>
    <row r="32" spans="1:6" s="352" customFormat="1">
      <c r="A32" s="145" t="s">
        <v>599</v>
      </c>
      <c r="B32" s="266">
        <f>'Sources and Uses Budget'!$C31</f>
        <v>890760</v>
      </c>
      <c r="C32" s="266">
        <f>'Sources and Uses Budget'!$C31</f>
        <v>890760</v>
      </c>
      <c r="D32" s="270">
        <f t="shared" si="0"/>
        <v>0</v>
      </c>
      <c r="E32" s="268"/>
      <c r="F32" s="267"/>
    </row>
    <row r="33" spans="1:6" s="352" customFormat="1">
      <c r="A33" s="145" t="s">
        <v>137</v>
      </c>
      <c r="B33" s="266">
        <f>'Sources and Uses Budget'!$C32</f>
        <v>1014668</v>
      </c>
      <c r="C33" s="266">
        <f>'Sources and Uses Budget'!$C32</f>
        <v>1014668</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10000</v>
      </c>
      <c r="C37" s="266">
        <f>'Sources and Uses Budget'!$C36</f>
        <v>10000</v>
      </c>
      <c r="D37" s="270"/>
      <c r="E37" s="268"/>
      <c r="F37" s="267"/>
    </row>
    <row r="38" spans="1:6" s="352" customFormat="1">
      <c r="A38" s="155">
        <f>'Sources and Uses Budget'!A37</f>
        <v>0</v>
      </c>
      <c r="B38" s="266">
        <f>'Sources and Uses Budget'!$C37</f>
        <v>0</v>
      </c>
      <c r="C38" s="266">
        <f>'Sources and Uses Budget'!$C37</f>
        <v>0</v>
      </c>
      <c r="D38" s="270">
        <f t="shared" si="0"/>
        <v>0</v>
      </c>
      <c r="E38" s="268"/>
      <c r="F38" s="267"/>
    </row>
    <row r="39" spans="1:6" s="352" customFormat="1">
      <c r="A39" s="271" t="s">
        <v>143</v>
      </c>
      <c r="B39" s="270">
        <f>SUM(B30:B38)</f>
        <v>13495224</v>
      </c>
      <c r="C39" s="270">
        <f>SUM(C30:C38)</f>
        <v>13495224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1177022</v>
      </c>
      <c r="C41" s="266">
        <f>'Sources and Uses Budget'!$C40</f>
        <v>1177022</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1177022</v>
      </c>
      <c r="C43" s="270">
        <f>SUM(C41:C42)</f>
        <v>1177022</v>
      </c>
      <c r="D43" s="270">
        <f t="shared" si="0"/>
        <v>0</v>
      </c>
      <c r="E43" s="268"/>
      <c r="F43" s="267"/>
    </row>
    <row r="44" spans="1:6" s="352" customFormat="1">
      <c r="A44" s="271" t="s">
        <v>148</v>
      </c>
      <c r="B44" s="266">
        <f>'Sources and Uses Budget'!$C43</f>
        <v>371000</v>
      </c>
      <c r="C44" s="266">
        <f>'Sources and Uses Budget'!$C43</f>
        <v>371000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1378296</v>
      </c>
      <c r="C46" s="266">
        <f>'Sources and Uses Budget'!$C45</f>
        <v>1378296</v>
      </c>
      <c r="D46" s="270">
        <f t="shared" si="0"/>
        <v>0</v>
      </c>
      <c r="E46" s="268"/>
      <c r="F46" s="267"/>
    </row>
    <row r="47" spans="1:6" s="352" customFormat="1">
      <c r="A47" s="145" t="s">
        <v>151</v>
      </c>
      <c r="B47" s="266">
        <f>'Sources and Uses Budget'!$C46</f>
        <v>90342</v>
      </c>
      <c r="C47" s="266">
        <f>'Sources and Uses Budget'!$C46</f>
        <v>90342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48014</v>
      </c>
      <c r="C50" s="266">
        <f>'Sources and Uses Budget'!$C49</f>
        <v>48014</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151416</v>
      </c>
      <c r="C52" s="266">
        <f>'Sources and Uses Budget'!$C51</f>
        <v>151416</v>
      </c>
      <c r="D52" s="270">
        <f t="shared" si="0"/>
        <v>0</v>
      </c>
      <c r="E52" s="268"/>
      <c r="F52" s="267"/>
    </row>
    <row r="53" spans="1:6" s="352" customFormat="1">
      <c r="A53" s="145" t="s">
        <v>155</v>
      </c>
      <c r="B53" s="266">
        <f>'Sources and Uses Budget'!$C52</f>
        <v>200000</v>
      </c>
      <c r="C53" s="266">
        <f>'Sources and Uses Budget'!$C52</f>
        <v>200000</v>
      </c>
      <c r="D53" s="270">
        <f t="shared" si="0"/>
        <v>0</v>
      </c>
      <c r="E53" s="268"/>
      <c r="F53" s="267"/>
    </row>
    <row r="54" spans="1:6" s="352" customFormat="1">
      <c r="A54" s="155" t="str">
        <f>'Sources and Uses Budget'!A53</f>
        <v>Lender Expenses</v>
      </c>
      <c r="B54" s="266">
        <f>'Sources and Uses Budget'!$C53</f>
        <v>40000</v>
      </c>
      <c r="C54" s="266">
        <f>'Sources and Uses Budget'!$C53</f>
        <v>40000</v>
      </c>
      <c r="D54" s="270">
        <f t="shared" si="0"/>
        <v>0</v>
      </c>
      <c r="E54" s="268"/>
      <c r="F54" s="267"/>
    </row>
    <row r="55" spans="1:6" s="353" customFormat="1">
      <c r="A55" s="271" t="s">
        <v>157</v>
      </c>
      <c r="B55" s="273">
        <f>SUM(B46:B54)</f>
        <v>1968068</v>
      </c>
      <c r="C55" s="273">
        <f>SUM(C46:C54)</f>
        <v>1968068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Legal Perm Closing</v>
      </c>
      <c r="B62" s="266">
        <f>'Sources and Uses Budget'!$C61</f>
        <v>40000</v>
      </c>
      <c r="C62" s="266">
        <f>'Sources and Uses Budget'!$C61</f>
        <v>40000</v>
      </c>
      <c r="D62" s="270">
        <f t="shared" si="0"/>
        <v>0</v>
      </c>
      <c r="E62" s="268"/>
      <c r="F62" s="267"/>
    </row>
    <row r="63" spans="1:6" s="352" customFormat="1" ht="13.7" customHeight="1">
      <c r="A63" s="271" t="s">
        <v>301</v>
      </c>
      <c r="B63" s="270">
        <f>SUM(B57:B62)</f>
        <v>70000</v>
      </c>
      <c r="C63" s="270">
        <f>SUM(C57:C62)</f>
        <v>70000</v>
      </c>
      <c r="D63" s="270">
        <f t="shared" si="0"/>
        <v>0</v>
      </c>
      <c r="E63" s="268"/>
      <c r="F63" s="267"/>
    </row>
    <row r="64" spans="1:6" s="352" customFormat="1">
      <c r="A64" s="274" t="s">
        <v>302</v>
      </c>
      <c r="B64" s="270">
        <f>SUM(B9+B12+B14+B15+B17+B26+B28+B39+B43+B44+B55+B63)</f>
        <v>20152834</v>
      </c>
      <c r="C64" s="270">
        <f>SUM(C9+C12+C14+C15+C17+C26+C28+C39+C43+C44+C55+C63)</f>
        <v>20152834</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60000</v>
      </c>
      <c r="C68" s="266">
        <f>'Sources and Uses Budget'!$C67</f>
        <v>60000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Legal - Construction Closing</v>
      </c>
      <c r="B70" s="266">
        <f>'Sources and Uses Budget'!$C69</f>
        <v>40000</v>
      </c>
      <c r="C70" s="266">
        <f>'Sources and Uses Budget'!$C69</f>
        <v>40000</v>
      </c>
      <c r="D70" s="270">
        <f t="shared" si="0"/>
        <v>0</v>
      </c>
      <c r="E70" s="268"/>
      <c r="F70" s="267"/>
    </row>
    <row r="71" spans="1:6" s="352" customFormat="1">
      <c r="A71" s="149" t="s">
        <v>1633</v>
      </c>
      <c r="B71" s="270">
        <f>SUM(B66:B70)</f>
        <v>160000</v>
      </c>
      <c r="C71" s="270">
        <f>SUM(C66:C70)</f>
        <v>160000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85950</v>
      </c>
      <c r="C76" s="266">
        <f>'Sources and Uses Budget'!$C75</f>
        <v>85950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85950</v>
      </c>
      <c r="C78" s="270">
        <f>SUM(C73:C77)</f>
        <v>85950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688377</v>
      </c>
      <c r="C80" s="266">
        <f>'Sources and Uses Budget'!$C79</f>
        <v>688377</v>
      </c>
      <c r="D80" s="270">
        <f t="shared" si="1"/>
        <v>0</v>
      </c>
      <c r="E80" s="268"/>
      <c r="F80" s="267"/>
    </row>
    <row r="81" spans="1:6" s="352" customFormat="1">
      <c r="A81" s="510" t="s">
        <v>58</v>
      </c>
      <c r="B81" s="266">
        <f>'Sources and Uses Budget'!$C80</f>
        <v>267022</v>
      </c>
      <c r="C81" s="266">
        <f>'Sources and Uses Budget'!$C80</f>
        <v>267022</v>
      </c>
      <c r="D81" s="270">
        <f>C81-B81</f>
        <v>0</v>
      </c>
      <c r="E81" s="268"/>
      <c r="F81" s="267"/>
    </row>
    <row r="82" spans="1:6" s="352" customFormat="1">
      <c r="A82" s="271" t="s">
        <v>1208</v>
      </c>
      <c r="B82" s="270">
        <f>SUM(B80:B81)</f>
        <v>955399</v>
      </c>
      <c r="C82" s="270">
        <f>SUM(C80:C81)</f>
        <v>955399</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33249</v>
      </c>
      <c r="C84" s="266">
        <f>'Sources and Uses Budget'!$C83</f>
        <v>33249</v>
      </c>
      <c r="D84" s="270">
        <f t="shared" si="1"/>
        <v>0</v>
      </c>
      <c r="E84" s="268"/>
      <c r="F84" s="267"/>
    </row>
    <row r="85" spans="1:6" s="352" customFormat="1">
      <c r="A85" s="269" t="s">
        <v>766</v>
      </c>
      <c r="B85" s="266">
        <f>'Sources and Uses Budget'!$C84</f>
        <v>16580</v>
      </c>
      <c r="C85" s="266">
        <f>'Sources and Uses Budget'!$C84</f>
        <v>16580</v>
      </c>
      <c r="D85" s="270">
        <f t="shared" si="1"/>
        <v>0</v>
      </c>
      <c r="E85" s="268"/>
      <c r="F85" s="267"/>
    </row>
    <row r="86" spans="1:6" s="352" customFormat="1">
      <c r="A86" s="269" t="s">
        <v>767</v>
      </c>
      <c r="B86" s="266">
        <f>'Sources and Uses Budget'!$C85</f>
        <v>600756</v>
      </c>
      <c r="C86" s="266">
        <f>'Sources and Uses Budget'!$C85</f>
        <v>600756</v>
      </c>
      <c r="D86" s="270">
        <f t="shared" si="1"/>
        <v>0</v>
      </c>
      <c r="E86" s="268"/>
      <c r="F86" s="267"/>
    </row>
    <row r="87" spans="1:6" s="352" customFormat="1">
      <c r="A87" s="269" t="s">
        <v>768</v>
      </c>
      <c r="B87" s="266">
        <f>'Sources and Uses Budget'!$C86</f>
        <v>311563</v>
      </c>
      <c r="C87" s="266">
        <f>'Sources and Uses Budget'!$C86</f>
        <v>311563</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37580</v>
      </c>
      <c r="C89" s="266">
        <f>'Sources and Uses Budget'!$C88</f>
        <v>37580</v>
      </c>
      <c r="D89" s="270">
        <f t="shared" si="1"/>
        <v>0</v>
      </c>
      <c r="E89" s="268"/>
      <c r="F89" s="267"/>
    </row>
    <row r="90" spans="1:6" s="352" customFormat="1">
      <c r="A90" s="269" t="s">
        <v>771</v>
      </c>
      <c r="B90" s="266">
        <f>'Sources and Uses Budget'!$C89</f>
        <v>60000</v>
      </c>
      <c r="C90" s="266">
        <f>'Sources and Uses Budget'!$C89</f>
        <v>60000</v>
      </c>
      <c r="D90" s="270">
        <f t="shared" si="1"/>
        <v>0</v>
      </c>
      <c r="E90" s="268"/>
      <c r="F90" s="267"/>
    </row>
    <row r="91" spans="1:6" s="352" customFormat="1">
      <c r="A91" s="269" t="s">
        <v>772</v>
      </c>
      <c r="B91" s="266">
        <f>'Sources and Uses Budget'!$C90</f>
        <v>30000</v>
      </c>
      <c r="C91" s="266">
        <f>'Sources and Uses Budget'!$C90</f>
        <v>30000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25000</v>
      </c>
      <c r="C93" s="266">
        <f>'Sources and Uses Budget'!$C92</f>
        <v>25000</v>
      </c>
      <c r="D93" s="270">
        <f t="shared" si="1"/>
        <v>0</v>
      </c>
      <c r="E93" s="268"/>
      <c r="F93" s="267"/>
    </row>
    <row r="94" spans="1:6" s="352" customFormat="1">
      <c r="A94" s="272" t="s">
        <v>34</v>
      </c>
      <c r="B94" s="266">
        <f>'Sources and Uses Budget'!$C93</f>
        <v>573393</v>
      </c>
      <c r="C94" s="266">
        <f>'Sources and Uses Budget'!$C93</f>
        <v>573393</v>
      </c>
      <c r="D94" s="270">
        <f t="shared" si="1"/>
        <v>0</v>
      </c>
      <c r="E94" s="268"/>
      <c r="F94" s="267"/>
    </row>
    <row r="95" spans="1:6" s="352" customFormat="1">
      <c r="A95" s="272" t="s">
        <v>34</v>
      </c>
      <c r="B95" s="266">
        <f>'Sources and Uses Budget'!$C94</f>
        <v>28483</v>
      </c>
      <c r="C95" s="266">
        <f>'Sources and Uses Budget'!$C94</f>
        <v>28483</v>
      </c>
      <c r="D95" s="270">
        <f t="shared" si="1"/>
        <v>0</v>
      </c>
      <c r="E95" s="268"/>
      <c r="F95" s="267"/>
    </row>
    <row r="96" spans="1:6" s="352" customFormat="1">
      <c r="A96" s="272" t="s">
        <v>34</v>
      </c>
      <c r="B96" s="266">
        <f>'Sources and Uses Budget'!$C95</f>
        <v>25000</v>
      </c>
      <c r="C96" s="266">
        <f>'Sources and Uses Budget'!$C95</f>
        <v>25000</v>
      </c>
      <c r="D96" s="270">
        <f t="shared" si="1"/>
        <v>0</v>
      </c>
      <c r="E96" s="268"/>
      <c r="F96" s="267"/>
    </row>
    <row r="97" spans="1:6" s="352" customFormat="1">
      <c r="A97" s="271" t="s">
        <v>773</v>
      </c>
      <c r="B97" s="270">
        <f>SUM(B84:B96)</f>
        <v>1741604</v>
      </c>
      <c r="C97" s="270">
        <f>SUM(C84:C96)</f>
        <v>1741604</v>
      </c>
      <c r="D97" s="270">
        <f t="shared" si="1"/>
        <v>0</v>
      </c>
      <c r="E97" s="268"/>
      <c r="F97" s="267"/>
    </row>
    <row r="98" spans="1:6" s="352" customFormat="1">
      <c r="A98" s="271" t="s">
        <v>774</v>
      </c>
      <c r="B98" s="270">
        <f>SUM(B64+B71+B78+B82+B97)</f>
        <v>23095787</v>
      </c>
      <c r="C98" s="270">
        <f>SUM(C64+C71+C78+C82+C97)</f>
        <v>23095787</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3047304</v>
      </c>
      <c r="C100" s="266">
        <f>'Sources and Uses Budget'!$C99</f>
        <v>3047304</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3047304</v>
      </c>
      <c r="C105" s="270">
        <f>SUM(C100:C104)</f>
        <v>3047304</v>
      </c>
      <c r="D105" s="270">
        <f t="shared" si="1"/>
        <v>0</v>
      </c>
      <c r="E105" s="268"/>
      <c r="F105" s="267"/>
    </row>
    <row r="106" spans="1:6" s="352" customFormat="1">
      <c r="A106" s="271" t="s">
        <v>779</v>
      </c>
      <c r="B106" s="273">
        <f>SUM(B98+B105)</f>
        <v>26143091</v>
      </c>
      <c r="C106" s="273">
        <f>SUM(C98+C105)</f>
        <v>26143091</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2004</v>
      </c>
      <c r="B90" s="1273"/>
      <c r="C90" s="1273"/>
      <c r="D90" s="1273"/>
      <c r="E90" s="1273"/>
    </row>
    <row r="91" spans="1:9" ht="12.75">
      <c r="A91" s="1273" t="s">
        <v>2005</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8" workbookViewId="0">
      <selection activeCell="B1141" sqref="B114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7"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25">
      <c r="A15" s="484"/>
      <c r="B15" s="485" t="s">
        <v>2756</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2756</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2757</v>
      </c>
      <c r="D24" s="1290" t="s">
        <v>1090</v>
      </c>
      <c r="E24" s="1290"/>
      <c r="F24" s="1290"/>
      <c r="I24" s="490"/>
    </row>
    <row r="25" spans="1:9" ht="14.25">
      <c r="A25" s="484"/>
      <c r="B25" s="484"/>
      <c r="D25" s="1290"/>
      <c r="E25" s="1290"/>
      <c r="F25" s="1290"/>
      <c r="I25" s="490"/>
    </row>
    <row r="26" spans="1:9">
      <c r="I26" s="490"/>
    </row>
    <row r="27" spans="1:9" ht="14.25">
      <c r="A27" s="484"/>
      <c r="B27" s="485" t="s">
        <v>2756</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2757</v>
      </c>
      <c r="D33" s="1290" t="s">
        <v>2008</v>
      </c>
      <c r="E33" s="1290"/>
      <c r="F33" s="1290"/>
      <c r="I33" s="490"/>
    </row>
    <row r="34" spans="1:9">
      <c r="D34" s="1290"/>
      <c r="E34" s="1290"/>
      <c r="F34" s="1290"/>
      <c r="I34" s="490"/>
    </row>
    <row r="35" spans="1:9" ht="14.25">
      <c r="A35" s="484"/>
      <c r="B35" s="484"/>
      <c r="D35" s="447"/>
      <c r="I35" s="490"/>
    </row>
    <row r="36" spans="1:9" ht="14.45" customHeight="1">
      <c r="A36" s="484"/>
      <c r="B36" s="485" t="s">
        <v>2757</v>
      </c>
      <c r="D36" s="1290" t="s">
        <v>1213</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2756</v>
      </c>
      <c r="D41" s="1290" t="s">
        <v>1091</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2757</v>
      </c>
      <c r="D47" s="1290" t="s">
        <v>1092</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2757</v>
      </c>
      <c r="D52" s="1290" t="s">
        <v>1093</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2756</v>
      </c>
      <c r="D56" s="1312" t="s">
        <v>1094</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2757</v>
      </c>
      <c r="D61" s="1290" t="s">
        <v>1095</v>
      </c>
      <c r="E61" s="1290"/>
      <c r="F61" s="1290"/>
      <c r="I61" s="490"/>
    </row>
    <row r="62" spans="1:9">
      <c r="D62" s="1290"/>
      <c r="E62" s="1290"/>
      <c r="F62" s="1290"/>
      <c r="I62" s="490"/>
    </row>
    <row r="63" spans="1:9">
      <c r="D63" s="1290"/>
      <c r="E63" s="1290"/>
      <c r="F63" s="1290"/>
      <c r="I63" s="490"/>
    </row>
    <row r="64" spans="1:9">
      <c r="I64" s="490"/>
    </row>
    <row r="65" spans="1:9" ht="14.25">
      <c r="A65" s="484"/>
      <c r="B65" s="485" t="s">
        <v>2757</v>
      </c>
      <c r="D65" s="1290" t="s">
        <v>1096</v>
      </c>
      <c r="E65" s="1290"/>
      <c r="F65" s="1290"/>
      <c r="I65" s="490"/>
    </row>
    <row r="66" spans="1:9">
      <c r="D66" s="1290"/>
      <c r="E66" s="1290"/>
      <c r="F66" s="1290"/>
      <c r="I66" s="490"/>
    </row>
    <row r="67" spans="1:9">
      <c r="I67" s="490"/>
    </row>
    <row r="68" spans="1:9" ht="14.25">
      <c r="A68" s="484"/>
      <c r="B68" s="485" t="s">
        <v>2757</v>
      </c>
      <c r="D68" s="1290" t="s">
        <v>1097</v>
      </c>
      <c r="E68" s="1290"/>
      <c r="F68" s="1290"/>
      <c r="I68" s="490"/>
    </row>
    <row r="69" spans="1:9">
      <c r="D69" s="1290"/>
      <c r="E69" s="1290"/>
      <c r="F69" s="1290"/>
      <c r="I69" s="490"/>
    </row>
    <row r="70" spans="1:9">
      <c r="D70" s="1290"/>
      <c r="E70" s="1290"/>
      <c r="F70" s="1290"/>
      <c r="I70" s="490"/>
    </row>
    <row r="71" spans="1:9">
      <c r="I71" s="490"/>
    </row>
    <row r="72" spans="1:9" ht="14.25">
      <c r="A72" s="484"/>
      <c r="B72" s="485" t="s">
        <v>2757</v>
      </c>
      <c r="D72" s="1290" t="s">
        <v>1098</v>
      </c>
      <c r="E72" s="1290"/>
      <c r="F72" s="1290"/>
      <c r="I72" s="490"/>
    </row>
    <row r="73" spans="1:9">
      <c r="D73" s="1290"/>
      <c r="E73" s="1290"/>
      <c r="F73" s="1290"/>
      <c r="I73" s="490"/>
    </row>
    <row r="74" spans="1:9" ht="14.25">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7" customHeight="1">
      <c r="A80" s="484"/>
      <c r="B80" s="485" t="s">
        <v>2756</v>
      </c>
      <c r="D80" s="1290" t="s">
        <v>1244</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2756</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2757</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2756</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2757</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2757</v>
      </c>
      <c r="D103" s="1290" t="s">
        <v>1193</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2757</v>
      </c>
      <c r="D119" s="1308" t="s">
        <v>1102</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2757</v>
      </c>
      <c r="C128" s="402"/>
      <c r="D128" s="1308" t="s">
        <v>2009</v>
      </c>
      <c r="E128" s="1308"/>
      <c r="F128" s="1308"/>
      <c r="I128" s="490"/>
    </row>
    <row r="129" spans="1:9" ht="14.25">
      <c r="A129" s="484"/>
      <c r="B129" s="484"/>
      <c r="C129" s="402"/>
      <c r="D129" s="1308"/>
      <c r="E129" s="1308"/>
      <c r="F129" s="1308"/>
      <c r="I129" s="490"/>
    </row>
    <row r="130" spans="1:9">
      <c r="I130" s="490"/>
    </row>
    <row r="131" spans="1:9" ht="14.25">
      <c r="A131" s="484"/>
      <c r="B131" s="485" t="s">
        <v>2756</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2757</v>
      </c>
      <c r="D137" s="1290" t="s">
        <v>1104</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2756</v>
      </c>
      <c r="D151" s="1290" t="s">
        <v>1176</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2031</v>
      </c>
      <c r="E169" s="1309"/>
      <c r="F169" s="1309"/>
      <c r="G169" s="507"/>
      <c r="I169" s="490"/>
    </row>
    <row r="170" spans="1:9" ht="13.7" customHeight="1">
      <c r="D170" s="1304"/>
      <c r="E170" s="1304"/>
      <c r="F170" s="1304"/>
      <c r="G170" s="1304"/>
      <c r="I170" s="490"/>
    </row>
    <row r="171" spans="1:9" ht="14.45" customHeight="1">
      <c r="A171" s="489"/>
      <c r="B171" s="485" t="s">
        <v>2757</v>
      </c>
      <c r="C171" s="476"/>
      <c r="D171" s="1269" t="s">
        <v>2167</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2757</v>
      </c>
      <c r="C177" s="476"/>
      <c r="D177" s="1269" t="s">
        <v>1105</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2010</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2756</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307</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307</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307</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307</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307</v>
      </c>
      <c r="D217" s="1290" t="s">
        <v>1215</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7" customHeight="1">
      <c r="A227" s="490"/>
      <c r="C227" s="490"/>
      <c r="D227" s="1299" t="s">
        <v>545</v>
      </c>
      <c r="E227" s="1299"/>
      <c r="F227" s="1299"/>
      <c r="I227" s="490"/>
    </row>
    <row r="228" spans="1:9" ht="14.25">
      <c r="A228" s="484"/>
      <c r="B228" s="485" t="s">
        <v>2756</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2756</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1117</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2756</v>
      </c>
      <c r="D245" s="1290" t="s">
        <v>2012</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2757</v>
      </c>
      <c r="D250" s="1290" t="s">
        <v>2013</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2756</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2756</v>
      </c>
      <c r="D259" s="1290" t="s">
        <v>1118</v>
      </c>
      <c r="E259" s="1290"/>
      <c r="F259" s="1290"/>
      <c r="I259" s="490"/>
    </row>
    <row r="260" spans="1:9" ht="14.25">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2756</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2757</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2757</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1123</v>
      </c>
      <c r="E288" s="1302"/>
      <c r="F288" s="1302"/>
      <c r="I288" s="490"/>
    </row>
    <row r="289" spans="1:9">
      <c r="E289" s="446"/>
      <c r="F289" s="446"/>
      <c r="I289" s="490"/>
    </row>
    <row r="290" spans="1:9" ht="14.25">
      <c r="A290" s="484"/>
      <c r="B290" s="485" t="s">
        <v>2757</v>
      </c>
      <c r="D290" s="1290" t="s">
        <v>1124</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2757</v>
      </c>
      <c r="D293" s="1290" t="s">
        <v>1125</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2757</v>
      </c>
      <c r="D297" s="1290" t="s">
        <v>1126</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1127</v>
      </c>
      <c r="E303" s="1291"/>
      <c r="F303" s="1291"/>
      <c r="I303" s="490"/>
    </row>
    <row r="304" spans="1:9">
      <c r="C304" s="490"/>
      <c r="D304" s="493"/>
      <c r="I304" s="490"/>
    </row>
    <row r="305" spans="1:9">
      <c r="B305" s="485" t="s">
        <v>2757</v>
      </c>
      <c r="D305" s="1291" t="s">
        <v>1128</v>
      </c>
      <c r="E305" s="1291"/>
      <c r="F305" s="1291"/>
      <c r="I305" s="490"/>
    </row>
    <row r="306" spans="1:9" ht="14.25">
      <c r="A306" s="484"/>
      <c r="B306" s="484"/>
      <c r="D306" s="494"/>
      <c r="E306" s="495"/>
      <c r="F306" s="495"/>
      <c r="I306" s="490"/>
    </row>
    <row r="307" spans="1:9" ht="13.7" customHeight="1">
      <c r="B307" s="485" t="s">
        <v>2757</v>
      </c>
      <c r="D307" s="1314" t="s">
        <v>1218</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2757</v>
      </c>
      <c r="D313" s="1314" t="s">
        <v>1129</v>
      </c>
      <c r="E313" s="1314"/>
      <c r="F313" s="1314"/>
      <c r="I313" s="490"/>
    </row>
    <row r="314" spans="1:9">
      <c r="D314" s="1314"/>
      <c r="E314" s="1314"/>
      <c r="F314" s="1314"/>
      <c r="I314" s="490"/>
    </row>
    <row r="315" spans="1:9" ht="14.25">
      <c r="A315" s="484"/>
      <c r="B315" s="484"/>
      <c r="D315" s="494"/>
      <c r="E315" s="495"/>
      <c r="F315" s="495"/>
      <c r="I315" s="490"/>
    </row>
    <row r="316" spans="1:9">
      <c r="B316" s="485" t="s">
        <v>2757</v>
      </c>
      <c r="D316" s="1291" t="s">
        <v>1130</v>
      </c>
      <c r="E316" s="1291"/>
      <c r="F316" s="1291"/>
      <c r="I316" s="490"/>
    </row>
    <row r="317" spans="1:9">
      <c r="E317" s="446"/>
      <c r="F317" s="446"/>
      <c r="I317" s="490"/>
    </row>
    <row r="318" spans="1:9" ht="14.25">
      <c r="A318" s="484"/>
      <c r="B318" s="485" t="s">
        <v>2757</v>
      </c>
      <c r="D318" s="1290" t="s">
        <v>2198</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2757</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2757</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978</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2757</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25">
      <c r="A360" s="484"/>
      <c r="B360" s="485" t="s">
        <v>2757</v>
      </c>
      <c r="C360" s="476"/>
      <c r="D360" s="1304" t="s">
        <v>2016</v>
      </c>
      <c r="E360" s="1304"/>
      <c r="F360" s="1304"/>
      <c r="I360" s="480"/>
    </row>
    <row r="361" spans="1:9">
      <c r="A361" s="476"/>
      <c r="B361" s="476"/>
      <c r="C361" s="476"/>
      <c r="D361" s="447"/>
      <c r="E361" s="447"/>
      <c r="F361" s="446"/>
      <c r="I361" s="490"/>
    </row>
    <row r="362" spans="1:9">
      <c r="A362" s="476"/>
      <c r="B362" s="485" t="s">
        <v>2757</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2757</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2757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2757</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2757</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2757</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2757</v>
      </c>
      <c r="C429" s="476"/>
      <c r="D429" s="1269" t="s">
        <v>1239</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ht="14.25">
      <c r="A435" s="484"/>
      <c r="B435" s="485" t="s">
        <v>2757</v>
      </c>
      <c r="C435" s="487"/>
      <c r="D435" s="1290" t="s">
        <v>2018</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2757</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2757</v>
      </c>
      <c r="C471" s="484"/>
      <c r="D471" s="1290" t="s">
        <v>1196</v>
      </c>
      <c r="E471" s="1290"/>
      <c r="F471" s="1290"/>
      <c r="I471" s="490"/>
    </row>
    <row r="472" spans="1:9">
      <c r="D472" s="1290"/>
      <c r="E472" s="1290"/>
      <c r="F472" s="1290"/>
      <c r="I472" s="490"/>
    </row>
    <row r="473" spans="1:9">
      <c r="D473" s="446"/>
      <c r="E473" s="446"/>
      <c r="F473" s="446"/>
      <c r="I473" s="490"/>
    </row>
    <row r="474" spans="1:9" ht="14.25">
      <c r="B474" s="485" t="s">
        <v>2757</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2757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2757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2757</v>
      </c>
      <c r="C486" s="402"/>
      <c r="D486" s="1290"/>
      <c r="E486" s="1290"/>
      <c r="F486" s="1290"/>
      <c r="I486" s="490"/>
    </row>
    <row r="487" spans="1:9">
      <c r="A487" s="402"/>
      <c r="C487" s="402"/>
      <c r="D487" s="1290"/>
      <c r="E487" s="1290"/>
      <c r="F487" s="1290"/>
      <c r="I487" s="490"/>
    </row>
    <row r="488" spans="1:9">
      <c r="A488" s="402"/>
      <c r="B488" s="485" t="s">
        <v>2757</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2757</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ht="14.25">
      <c r="A499" s="484"/>
      <c r="B499" s="484"/>
      <c r="D499" s="1304" t="s">
        <v>1140</v>
      </c>
      <c r="E499" s="1304"/>
      <c r="F499" s="1304"/>
      <c r="I499" s="490"/>
    </row>
    <row r="500" spans="1:9" ht="14.25">
      <c r="A500" s="484"/>
      <c r="B500" s="484"/>
      <c r="D500" s="447"/>
      <c r="I500" s="490"/>
    </row>
    <row r="501" spans="1:9" ht="14.25">
      <c r="A501" s="484"/>
      <c r="B501" s="485" t="s">
        <v>2757</v>
      </c>
      <c r="D501" s="1269" t="s">
        <v>1141</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2757</v>
      </c>
      <c r="D504" s="1294" t="s">
        <v>1272</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2757</v>
      </c>
      <c r="D509" s="1291" t="s">
        <v>1142</v>
      </c>
      <c r="E509" s="1291"/>
      <c r="F509" s="1291"/>
      <c r="I509" s="490"/>
    </row>
    <row r="510" spans="1:9" ht="14.25">
      <c r="A510" s="484"/>
      <c r="B510" s="484"/>
      <c r="D510" s="446"/>
      <c r="I510" s="490"/>
    </row>
    <row r="511" spans="1:9" ht="14.25">
      <c r="A511" s="484"/>
      <c r="B511" s="485" t="s">
        <v>2757</v>
      </c>
      <c r="D511" s="1290" t="s">
        <v>1143</v>
      </c>
      <c r="E511" s="1290"/>
      <c r="F511" s="1290"/>
      <c r="I511" s="490"/>
    </row>
    <row r="512" spans="1:9" ht="14.25">
      <c r="A512" s="484"/>
      <c r="D512" s="1290"/>
      <c r="E512" s="1290"/>
      <c r="F512" s="1290"/>
      <c r="I512" s="490"/>
    </row>
    <row r="513" spans="1:9">
      <c r="A513" s="490"/>
      <c r="B513" s="490"/>
      <c r="D513" s="447"/>
      <c r="I513" s="490"/>
    </row>
    <row r="514" spans="1:9">
      <c r="A514" s="490"/>
      <c r="B514" s="485" t="s">
        <v>2757</v>
      </c>
      <c r="D514" s="1291" t="s">
        <v>1144</v>
      </c>
      <c r="E514" s="1291"/>
      <c r="F514" s="1291"/>
      <c r="I514" s="490"/>
    </row>
    <row r="515" spans="1:9">
      <c r="D515" s="446"/>
      <c r="E515" s="446"/>
      <c r="F515" s="446"/>
      <c r="I515" s="490"/>
    </row>
    <row r="516" spans="1:9">
      <c r="B516" s="485" t="s">
        <v>2757</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2756</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2756</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2757</v>
      </c>
      <c r="C536" s="483"/>
      <c r="D536" s="1290" t="s">
        <v>2637</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1080</v>
      </c>
      <c r="E547" s="1291"/>
      <c r="F547" s="1291"/>
      <c r="I547" s="490"/>
    </row>
    <row r="548" spans="1:9">
      <c r="C548" s="487"/>
      <c r="D548" s="446"/>
      <c r="E548" s="446"/>
      <c r="F548" s="446"/>
      <c r="I548" s="490"/>
    </row>
    <row r="549" spans="1:9" ht="13.7" customHeight="1">
      <c r="A549" s="484"/>
      <c r="B549" s="485" t="s">
        <v>2756</v>
      </c>
      <c r="C549" s="487"/>
      <c r="D549" s="1291" t="s">
        <v>883</v>
      </c>
      <c r="E549" s="1291"/>
      <c r="F549" s="1291"/>
      <c r="I549" s="490"/>
    </row>
    <row r="550" spans="1:9" ht="13.7" customHeight="1">
      <c r="A550" s="487"/>
      <c r="B550" s="487"/>
      <c r="C550" s="487"/>
      <c r="D550" s="446"/>
      <c r="I550" s="490"/>
    </row>
    <row r="551" spans="1:9" ht="14.25">
      <c r="A551" s="484"/>
      <c r="B551" s="485" t="s">
        <v>2756</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2756</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2756</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2756</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2757</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2756</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2756</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2756</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2756</v>
      </c>
      <c r="C579" s="487"/>
      <c r="D579" s="1290" t="s">
        <v>2021</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307</v>
      </c>
      <c r="D589" s="1294" t="s">
        <v>887</v>
      </c>
      <c r="E589" s="1294"/>
      <c r="F589" s="1294"/>
      <c r="I589" s="490"/>
    </row>
    <row r="590" spans="1:9" hidden="1">
      <c r="A590" s="490"/>
      <c r="B590" s="490"/>
      <c r="D590" s="476"/>
      <c r="I590" s="490"/>
    </row>
    <row r="591" spans="1:9">
      <c r="A591" s="490"/>
      <c r="B591" s="485" t="s">
        <v>2756</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2757</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2756</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2757</v>
      </c>
      <c r="D603" s="1294" t="s">
        <v>1068</v>
      </c>
      <c r="E603" s="1294"/>
      <c r="F603" s="1294"/>
      <c r="I603" s="490"/>
    </row>
    <row r="604" spans="1:9">
      <c r="A604" s="490"/>
      <c r="B604" s="490"/>
      <c r="D604" s="1294"/>
      <c r="E604" s="1294"/>
      <c r="F604" s="1294"/>
      <c r="I604" s="490"/>
    </row>
    <row r="605" spans="1:9" ht="14.25">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2756</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2756</v>
      </c>
      <c r="C621" s="483"/>
      <c r="D621" s="1306" t="s">
        <v>2604</v>
      </c>
      <c r="E621" s="1306"/>
      <c r="F621" s="1306"/>
      <c r="I621" s="490"/>
    </row>
    <row r="622" spans="1:9">
      <c r="C622" s="483"/>
      <c r="D622" s="444"/>
      <c r="E622" s="444"/>
      <c r="F622" s="444"/>
      <c r="I622" s="490"/>
    </row>
    <row r="623" spans="1:9" ht="12.75" customHeight="1">
      <c r="A623" s="490"/>
      <c r="B623" s="485" t="s">
        <v>2756</v>
      </c>
      <c r="D623" s="1301" t="s">
        <v>1110</v>
      </c>
      <c r="E623" s="1301"/>
      <c r="F623" s="1301"/>
      <c r="I623" s="490"/>
    </row>
    <row r="624" spans="1:9">
      <c r="D624" s="1301"/>
      <c r="E624" s="1301"/>
      <c r="F624" s="1301"/>
      <c r="I624" s="490"/>
    </row>
    <row r="625" spans="1:9">
      <c r="I625" s="490"/>
    </row>
    <row r="626" spans="1:9">
      <c r="B626" s="485" t="s">
        <v>2756</v>
      </c>
      <c r="D626" s="1301" t="s">
        <v>1111</v>
      </c>
      <c r="E626" s="1301"/>
      <c r="F626" s="1301"/>
      <c r="I626" s="490"/>
    </row>
    <row r="627" spans="1:9">
      <c r="C627" s="500"/>
      <c r="D627" s="1301"/>
      <c r="E627" s="1301"/>
      <c r="F627" s="1301"/>
      <c r="I627" s="490"/>
    </row>
    <row r="628" spans="1:9">
      <c r="C628" s="500"/>
      <c r="I628" s="490"/>
    </row>
    <row r="629" spans="1:9">
      <c r="B629" s="485" t="s">
        <v>2757</v>
      </c>
      <c r="C629" s="500"/>
      <c r="D629" s="1301" t="s">
        <v>1112</v>
      </c>
      <c r="E629" s="1301"/>
      <c r="F629" s="1301"/>
      <c r="I629" s="490"/>
    </row>
    <row r="630" spans="1:9">
      <c r="C630" s="500"/>
      <c r="D630" s="1301"/>
      <c r="E630" s="1301"/>
      <c r="F630" s="1301"/>
      <c r="I630" s="500"/>
    </row>
    <row r="631" spans="1:9">
      <c r="C631" s="500"/>
      <c r="I631" s="490"/>
    </row>
    <row r="632" spans="1:9">
      <c r="B632" s="485" t="s">
        <v>2757</v>
      </c>
      <c r="C632" s="500"/>
      <c r="D632" s="1306" t="s">
        <v>2549</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2756</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2756</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2757</v>
      </c>
      <c r="C648" s="487"/>
      <c r="D648" s="1290" t="s">
        <v>1224</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2757</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2757</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2757</v>
      </c>
      <c r="C663" s="487"/>
      <c r="D663" s="1290" t="s">
        <v>1282</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2757</v>
      </c>
      <c r="C669" s="487"/>
      <c r="D669" s="1290" t="s">
        <v>1281</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2757</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25">
      <c r="A690" s="484"/>
      <c r="B690" s="485" t="s">
        <v>2756</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2757</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2756</v>
      </c>
      <c r="C699" s="483"/>
      <c r="D699" s="1291" t="s">
        <v>916</v>
      </c>
      <c r="E699" s="1291"/>
      <c r="F699" s="1291"/>
      <c r="H699" s="501"/>
      <c r="I699" s="483"/>
      <c r="J699" s="501"/>
      <c r="K699" s="501"/>
    </row>
    <row r="700" spans="1:11" ht="14.25">
      <c r="A700" s="484"/>
      <c r="B700" s="484"/>
      <c r="C700" s="483"/>
      <c r="D700" s="1291" t="s">
        <v>893</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2757</v>
      </c>
      <c r="C703" s="483"/>
      <c r="D703" s="1291" t="s">
        <v>2400</v>
      </c>
      <c r="E703" s="1291"/>
      <c r="F703" s="1291"/>
      <c r="H703" s="501"/>
      <c r="I703" s="483"/>
      <c r="J703" s="501"/>
      <c r="K703" s="501"/>
    </row>
    <row r="704" spans="1:11" ht="14.25">
      <c r="A704" s="484"/>
      <c r="B704" s="484"/>
      <c r="C704" s="483"/>
      <c r="D704" s="1291" t="s">
        <v>893</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2757</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2757</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2757</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2757</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2757</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2757</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2757</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2757</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2756</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2756</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2757</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2757</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2757</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2756</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2757</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2757</v>
      </c>
      <c r="C799" s="984"/>
      <c r="D799" s="1321" t="s">
        <v>1746</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2757</v>
      </c>
      <c r="C803" s="984"/>
      <c r="D803" s="1321" t="s">
        <v>1747</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1790</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2757</v>
      </c>
      <c r="C813" s="984"/>
      <c r="D813" s="1321" t="s">
        <v>1748</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2757</v>
      </c>
      <c r="C820" s="984"/>
      <c r="D820" s="1321" t="s">
        <v>1749</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2757</v>
      </c>
      <c r="C827" s="984"/>
      <c r="D827" s="1295" t="s">
        <v>1750</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2756</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2756</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2757</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2757</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2757</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2756</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2756</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2757</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2757</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2757</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2756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2756</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2756</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2757</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2757</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2757</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2757</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2756</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2756</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2756</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2757</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2757</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2757</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2756</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2756</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2757</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2757</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2756</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2756</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2757</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2757</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2757</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2757</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2757</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2757</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2756</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307</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2756</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2757</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2757</v>
      </c>
      <c r="C1067" s="402"/>
      <c r="D1067" s="402" t="s">
        <v>1800</v>
      </c>
      <c r="I1067" s="490"/>
    </row>
    <row r="1068" spans="1:9">
      <c r="A1068" s="402"/>
      <c r="B1068" s="402"/>
      <c r="C1068" s="402"/>
      <c r="I1068" s="490"/>
    </row>
    <row r="1069" spans="1:9">
      <c r="A1069" s="402"/>
      <c r="B1069" s="485" t="s">
        <v>2757</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2756</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2757</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2757</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2757</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2757</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2756</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2757</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2757</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2757</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2756</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2756</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2757</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2757</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AS727" sqref="AS72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 xml:space="preserve">Coastal (Monterey, Napa, Orange, San Benito, San Diego, San Luis Obispo, Santa Barbara, Sonoma, and Ventura Counties) </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12</v>
      </c>
    </row>
    <row r="8" spans="1:58" ht="26.25" customHeight="1">
      <c r="A8" s="1829" t="s">
        <v>100</v>
      </c>
      <c r="B8" s="1829"/>
      <c r="C8" s="1829"/>
      <c r="D8" s="1829"/>
      <c r="E8" s="1829"/>
      <c r="F8" s="1829"/>
      <c r="G8" s="1829"/>
      <c r="H8" s="1829"/>
      <c r="I8" s="1829"/>
      <c r="J8" s="1829"/>
      <c r="K8" s="1829"/>
      <c r="L8" s="1829"/>
      <c r="M8" s="1829"/>
      <c r="N8" s="1829"/>
      <c r="O8" s="1829"/>
      <c r="P8" s="1829"/>
      <c r="Q8" s="1829"/>
      <c r="R8" s="1829"/>
      <c r="S8" s="1829"/>
      <c r="T8" s="1829"/>
      <c r="U8" s="1829"/>
      <c r="V8" s="1829"/>
      <c r="W8" s="1829"/>
      <c r="X8" s="1829"/>
      <c r="Y8" s="1829"/>
      <c r="Z8" s="1829"/>
      <c r="AA8" s="1829"/>
      <c r="AB8" s="1829"/>
      <c r="AC8" s="1829"/>
      <c r="AD8" s="1829"/>
      <c r="AE8" s="1829"/>
      <c r="AF8" s="1829"/>
      <c r="AG8" s="1829"/>
      <c r="AH8" s="1829"/>
      <c r="AI8" s="1829"/>
      <c r="AJ8" s="1829"/>
      <c r="AK8" s="1829"/>
      <c r="AL8" s="1829"/>
      <c r="AM8" s="1829"/>
      <c r="AN8" s="1829"/>
      <c r="AO8" s="1829"/>
      <c r="AP8" s="1829"/>
      <c r="AQ8" s="1829"/>
      <c r="AR8" s="1829"/>
      <c r="AS8" s="1829"/>
      <c r="AT8" s="1829"/>
      <c r="AU8" s="894"/>
      <c r="AV8" s="894"/>
      <c r="AW8" s="894"/>
      <c r="AX8" s="894"/>
      <c r="AY8" s="894"/>
      <c r="BD8" s="3" t="s">
        <v>2441</v>
      </c>
      <c r="BE8" s="1183">
        <f>SUMIF($AC$726:$AC$760,"&lt;=35%",$G$726:G$760)-SUM($BE$5:BE7)</f>
        <v>0</v>
      </c>
    </row>
    <row r="9" spans="1:58" ht="12.95" customHeight="1">
      <c r="A9" s="1830" t="s">
        <v>2033</v>
      </c>
      <c r="B9" s="1830"/>
      <c r="C9" s="1830"/>
      <c r="D9" s="1830"/>
      <c r="E9" s="1830"/>
      <c r="F9" s="1830"/>
      <c r="G9" s="1830"/>
      <c r="H9" s="1830"/>
      <c r="I9" s="1830"/>
      <c r="J9" s="1830"/>
      <c r="K9" s="1830"/>
      <c r="L9" s="1830"/>
      <c r="M9" s="1830"/>
      <c r="N9" s="1830"/>
      <c r="O9" s="1830"/>
      <c r="P9" s="1830"/>
      <c r="Q9" s="1830"/>
      <c r="R9" s="1830"/>
      <c r="S9" s="1830"/>
      <c r="T9" s="1830"/>
      <c r="U9" s="1830"/>
      <c r="V9" s="1830"/>
      <c r="W9" s="1830"/>
      <c r="X9" s="1830"/>
      <c r="Y9" s="1830"/>
      <c r="Z9" s="1830"/>
      <c r="AA9" s="1830"/>
      <c r="AB9" s="1830"/>
      <c r="AC9" s="1830"/>
      <c r="AD9" s="1830"/>
      <c r="AE9" s="1830"/>
      <c r="AF9" s="1830"/>
      <c r="AG9" s="1830"/>
      <c r="AH9" s="1830"/>
      <c r="AI9" s="1830"/>
      <c r="AJ9" s="1830"/>
      <c r="AK9" s="1830"/>
      <c r="AL9" s="1830"/>
      <c r="AM9" s="1830"/>
      <c r="AN9" s="1830"/>
      <c r="AO9" s="1830"/>
      <c r="AP9" s="1830"/>
      <c r="AQ9" s="1830"/>
      <c r="AR9" s="1830"/>
      <c r="AS9" s="1830"/>
      <c r="AT9" s="1830"/>
      <c r="AU9" s="13"/>
      <c r="AV9" s="13"/>
      <c r="AW9" s="13"/>
      <c r="AX9" s="13"/>
      <c r="AY9" s="13"/>
      <c r="BD9" s="1182" t="s">
        <v>2433</v>
      </c>
      <c r="BE9" s="1183">
        <f>SUMIF($AC$726:$AC$760,"&lt;=40%",$G$726:G$760)-SUM($BE$5:BE8)</f>
        <v>0</v>
      </c>
    </row>
    <row r="10" spans="1:58" ht="12.95" customHeight="1">
      <c r="A10" s="1830" t="s">
        <v>2607</v>
      </c>
      <c r="B10" s="1830"/>
      <c r="C10" s="1830"/>
      <c r="D10" s="1830"/>
      <c r="E10" s="1830"/>
      <c r="F10" s="1830"/>
      <c r="G10" s="1830"/>
      <c r="H10" s="1830"/>
      <c r="I10" s="1830"/>
      <c r="J10" s="1830"/>
      <c r="K10" s="1830"/>
      <c r="L10" s="1830"/>
      <c r="M10" s="1830"/>
      <c r="N10" s="1830"/>
      <c r="O10" s="1830"/>
      <c r="P10" s="1830"/>
      <c r="Q10" s="1830"/>
      <c r="R10" s="1830"/>
      <c r="S10" s="1830"/>
      <c r="T10" s="1830"/>
      <c r="U10" s="1830"/>
      <c r="V10" s="1830"/>
      <c r="W10" s="1830"/>
      <c r="X10" s="1830"/>
      <c r="Y10" s="1830"/>
      <c r="Z10" s="1830"/>
      <c r="AA10" s="1830"/>
      <c r="AB10" s="1830"/>
      <c r="AC10" s="1830"/>
      <c r="AD10" s="1830"/>
      <c r="AE10" s="1830"/>
      <c r="AF10" s="1830"/>
      <c r="AG10" s="1830"/>
      <c r="AH10" s="1830"/>
      <c r="AI10" s="1830"/>
      <c r="AJ10" s="1830"/>
      <c r="AK10" s="1830"/>
      <c r="AL10" s="1830"/>
      <c r="AM10" s="1830"/>
      <c r="AN10" s="1830"/>
      <c r="AO10" s="1830"/>
      <c r="AP10" s="1830"/>
      <c r="AQ10" s="1830"/>
      <c r="AR10" s="1830"/>
      <c r="AS10" s="1830"/>
      <c r="AT10" s="1830"/>
      <c r="AU10" s="13"/>
      <c r="AV10" s="13"/>
      <c r="AW10" s="13"/>
      <c r="AX10" s="13"/>
      <c r="AY10" s="13"/>
      <c r="BD10" s="3" t="s">
        <v>2442</v>
      </c>
      <c r="BE10" s="1183">
        <f>SUMIF($AC$726:$AC$760,"&lt;=45%",$G$726:G$760)-SUM($BE$5:BE9)</f>
        <v>6</v>
      </c>
    </row>
    <row r="11" spans="1:58" ht="12.95" customHeight="1">
      <c r="A11" s="1830" t="s">
        <v>2531</v>
      </c>
      <c r="B11" s="1830"/>
      <c r="C11" s="1830"/>
      <c r="D11" s="1830"/>
      <c r="E11" s="1830"/>
      <c r="F11" s="1830"/>
      <c r="G11" s="1830"/>
      <c r="H11" s="1830"/>
      <c r="I11" s="1830"/>
      <c r="J11" s="1830"/>
      <c r="K11" s="1830"/>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1830"/>
      <c r="AM11" s="1830"/>
      <c r="AN11" s="1830"/>
      <c r="AO11" s="1830"/>
      <c r="AP11" s="1830"/>
      <c r="AQ11" s="1830"/>
      <c r="AR11" s="1830"/>
      <c r="AS11" s="1830"/>
      <c r="AT11" s="1830"/>
      <c r="AU11" s="13"/>
      <c r="AV11" s="13"/>
      <c r="AW11" s="13"/>
      <c r="AX11" s="13"/>
      <c r="AY11" s="13"/>
      <c r="BD11" s="1181" t="s">
        <v>2434</v>
      </c>
      <c r="BE11" s="1183">
        <f>SUMIF($AC$726:$AC$760,"&lt;=50%",$G$726:G$760)-SUM($BE$5:BE10)</f>
        <v>0</v>
      </c>
    </row>
    <row r="12" spans="1:58" ht="12.95" customHeight="1">
      <c r="A12" s="1831" t="s">
        <v>2642</v>
      </c>
      <c r="B12" s="1831"/>
      <c r="C12" s="1831"/>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c r="AT12" s="1831"/>
      <c r="AU12" s="6"/>
      <c r="AV12" s="6"/>
      <c r="AW12" s="6"/>
      <c r="AX12" s="6"/>
      <c r="AY12" s="6"/>
      <c r="BD12" s="3" t="s">
        <v>2443</v>
      </c>
      <c r="BE12" s="1183">
        <f>SUMIF($AC$726:$AC$760,"&lt;=55%",$G$726:G$760)-SUM($BE$5:BE11)</f>
        <v>10</v>
      </c>
    </row>
    <row r="13" spans="1:58" ht="12.95"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0</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562" t="s">
        <v>2643</v>
      </c>
      <c r="I16" s="1534"/>
      <c r="J16" s="1534"/>
      <c r="K16" s="1534"/>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c r="AH16" s="1534"/>
      <c r="AI16" s="1534"/>
      <c r="AJ16" s="1534"/>
      <c r="BD16" s="1182" t="s">
        <v>655</v>
      </c>
      <c r="BE16" s="1183" t="str">
        <f>Application!H18</f>
        <v>Rolling Hills III</v>
      </c>
    </row>
    <row r="17" spans="1:58" ht="12.95" customHeight="1">
      <c r="BD17" s="1181" t="s">
        <v>2449</v>
      </c>
      <c r="BE17" s="1183">
        <f>Application!AA943</f>
        <v>0</v>
      </c>
    </row>
    <row r="18" spans="1:58" ht="12.95" customHeight="1">
      <c r="A18" s="57" t="s">
        <v>101</v>
      </c>
      <c r="C18" s="4"/>
      <c r="D18" s="4"/>
      <c r="E18" s="4"/>
      <c r="F18" s="4"/>
      <c r="G18" s="4"/>
      <c r="H18" s="1503" t="s">
        <v>2644</v>
      </c>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BD18" s="1182" t="s">
        <v>2450</v>
      </c>
      <c r="BE18" s="1183">
        <f>AA943</f>
        <v>0</v>
      </c>
    </row>
    <row r="19" spans="1:58" ht="12.95" customHeight="1">
      <c r="BD19" s="1181" t="s">
        <v>2451</v>
      </c>
      <c r="BE19" s="1183">
        <f>Application!M26</f>
        <v>1214859</v>
      </c>
    </row>
    <row r="20" spans="1:58" ht="12.95" customHeight="1">
      <c r="A20" s="1832" t="s">
        <v>872</v>
      </c>
      <c r="B20" s="1832"/>
      <c r="C20" s="1832"/>
      <c r="D20" s="1832"/>
      <c r="E20" s="1832"/>
      <c r="F20" s="1832"/>
      <c r="G20" s="1832"/>
      <c r="H20" s="1832"/>
      <c r="I20" s="1832"/>
      <c r="J20" s="1832"/>
      <c r="K20" s="1832"/>
      <c r="L20" s="1832"/>
      <c r="M20" s="1832"/>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c r="AL20" s="1832"/>
      <c r="AM20" s="1832"/>
      <c r="AN20" s="1832"/>
      <c r="AO20" s="1832"/>
      <c r="AP20" s="1832"/>
      <c r="AQ20" s="1832"/>
      <c r="AR20" s="1832"/>
      <c r="AS20" s="1832"/>
      <c r="AT20" s="1832"/>
      <c r="AU20" s="896"/>
      <c r="AV20" s="896"/>
      <c r="AW20" s="896"/>
      <c r="AX20" s="896"/>
      <c r="AY20" s="896"/>
      <c r="BD20" s="1182" t="s">
        <v>2452</v>
      </c>
      <c r="BE20" s="1183">
        <f>Application!M27</f>
        <v>5600000</v>
      </c>
    </row>
    <row r="21" spans="1:58" ht="12.95" customHeight="1">
      <c r="A21" s="1854" t="s">
        <v>1008</v>
      </c>
      <c r="B21" s="1854"/>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897"/>
      <c r="AN21" s="897"/>
      <c r="AO21" s="897"/>
      <c r="AP21" s="897"/>
      <c r="AQ21" s="897"/>
      <c r="AR21" s="897"/>
      <c r="AS21" s="897"/>
      <c r="AT21" s="897"/>
      <c r="AU21" s="897"/>
      <c r="AV21" s="897"/>
      <c r="AW21" s="897"/>
      <c r="AX21" s="897"/>
      <c r="AY21" s="897"/>
      <c r="BD21" s="1181" t="s">
        <v>2453</v>
      </c>
      <c r="BE21" s="1183">
        <f>Application!AM562</f>
        <v>6932960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26143091</v>
      </c>
      <c r="BF22" s="3" t="s">
        <v>2524</v>
      </c>
    </row>
    <row r="23" spans="1:58" ht="12.95"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1800000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51465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2.95" customHeight="1">
      <c r="A26" s="4"/>
      <c r="C26" s="4"/>
      <c r="D26" s="4"/>
      <c r="E26" s="4"/>
      <c r="F26" s="4"/>
      <c r="G26" s="4"/>
      <c r="H26" s="4"/>
      <c r="I26" s="4"/>
      <c r="J26" s="4"/>
      <c r="K26" s="4"/>
      <c r="L26" s="4"/>
      <c r="M26" s="1834">
        <f>'Basis &amp; Credits'!AB56</f>
        <v>1214859</v>
      </c>
      <c r="N26" s="1834"/>
      <c r="O26" s="1834"/>
      <c r="P26" s="1834"/>
      <c r="Q26" s="1834"/>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366">
        <f>'Basis &amp; Credits'!AB78</f>
        <v>5600000</v>
      </c>
      <c r="N27" s="1366"/>
      <c r="O27" s="1366"/>
      <c r="P27" s="1366"/>
      <c r="Q27" s="1366"/>
      <c r="R27" s="3" t="s">
        <v>1266</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27" t="s">
        <v>2102</v>
      </c>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527"/>
      <c r="AM29" s="1527"/>
      <c r="AN29" s="1527"/>
      <c r="AO29" s="1527"/>
      <c r="AP29" s="1527"/>
      <c r="AQ29" s="1527"/>
      <c r="AR29" s="1527"/>
      <c r="AS29" s="1527"/>
      <c r="AT29" s="1527"/>
      <c r="BD29" s="1181" t="s">
        <v>2458</v>
      </c>
      <c r="BE29" s="1183" t="b">
        <f>Application!M367="Yes"</f>
        <v>0</v>
      </c>
    </row>
    <row r="30" spans="1:58" ht="12.95" customHeight="1">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Z30" s="20"/>
      <c r="BD30" s="1182" t="s">
        <v>28</v>
      </c>
      <c r="BE30" s="1183" t="b">
        <f>Application!AJ364="Yes"</f>
        <v>0</v>
      </c>
    </row>
    <row r="31" spans="1:58" ht="12.95" customHeight="1">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20"/>
      <c r="AV31" s="20"/>
      <c r="AW31" s="20"/>
      <c r="AX31" s="20"/>
      <c r="AY31" s="20"/>
      <c r="AZ31" s="20"/>
      <c r="BD31" s="1181" t="s">
        <v>2459</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5" customHeight="1">
      <c r="A33" s="519" t="s">
        <v>1277</v>
      </c>
      <c r="C33" s="519"/>
      <c r="D33" s="519"/>
      <c r="E33" s="519"/>
      <c r="F33" s="519"/>
      <c r="G33" s="519"/>
      <c r="H33" s="519"/>
      <c r="I33" s="519"/>
      <c r="J33" s="519"/>
      <c r="K33" s="519"/>
      <c r="L33" s="519"/>
      <c r="M33" s="519"/>
      <c r="N33" s="519"/>
      <c r="O33" s="1410" t="s">
        <v>544</v>
      </c>
      <c r="P33" s="1410"/>
      <c r="Q33" s="1833" t="s">
        <v>2103</v>
      </c>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33"/>
      <c r="AT33" s="1833"/>
      <c r="AU33" s="20"/>
      <c r="AV33" s="20"/>
      <c r="AW33" s="20"/>
      <c r="AX33" s="20"/>
      <c r="AY33" s="20"/>
      <c r="BD33" s="1181" t="s">
        <v>2525</v>
      </c>
      <c r="BE33" s="1183" t="str">
        <f>Application!D220</f>
        <v>Central Coast Region: Monterey, San Luis Obispo, Santa Barbara, Santa Cruz, and Ventura Counties</v>
      </c>
    </row>
    <row r="34" spans="1:57" ht="12.95" customHeight="1">
      <c r="A34" s="1527" t="s">
        <v>2104</v>
      </c>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1527"/>
      <c r="AK34" s="1527"/>
      <c r="AL34" s="1527"/>
      <c r="AM34" s="1527"/>
      <c r="AN34" s="1527"/>
      <c r="AO34" s="1527"/>
      <c r="AP34" s="1527"/>
      <c r="AQ34" s="1527"/>
      <c r="AR34" s="1527"/>
      <c r="AS34" s="1527"/>
      <c r="AT34" s="1527"/>
      <c r="AU34" s="20"/>
      <c r="AV34" s="20"/>
      <c r="AW34" s="20"/>
      <c r="AX34" s="20"/>
      <c r="AY34" s="20"/>
      <c r="AZ34" s="20"/>
      <c r="BD34" s="1182" t="s">
        <v>2461</v>
      </c>
      <c r="BE34" s="1183" t="str">
        <f>Application!I185</f>
        <v>246 Bennett Way</v>
      </c>
    </row>
    <row r="35" spans="1:57" ht="12.95" customHeight="1">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c r="Y35" s="1527"/>
      <c r="Z35" s="1527"/>
      <c r="AA35" s="1527"/>
      <c r="AB35" s="1527"/>
      <c r="AC35" s="1527"/>
      <c r="AD35" s="1527"/>
      <c r="AE35" s="1527"/>
      <c r="AF35" s="1527"/>
      <c r="AG35" s="1527"/>
      <c r="AH35" s="1527"/>
      <c r="AI35" s="1527"/>
      <c r="AJ35" s="1527"/>
      <c r="AK35" s="1527"/>
      <c r="AL35" s="1527"/>
      <c r="AM35" s="1527"/>
      <c r="AN35" s="1527"/>
      <c r="AO35" s="1527"/>
      <c r="AP35" s="1527"/>
      <c r="AQ35" s="1527"/>
      <c r="AR35" s="1527"/>
      <c r="AS35" s="1527"/>
      <c r="AT35" s="1527"/>
      <c r="AU35" s="20"/>
      <c r="AV35" s="20"/>
      <c r="AW35" s="20"/>
      <c r="AX35" s="20"/>
      <c r="AY35" s="20"/>
      <c r="AZ35" s="20"/>
      <c r="BD35" s="1181" t="s">
        <v>2462</v>
      </c>
      <c r="BE35" s="1183" t="str">
        <f>IF(Application!E187="","",Application!E187)</f>
        <v/>
      </c>
    </row>
    <row r="36" spans="1:57" ht="12.95" customHeight="1">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c r="AN36" s="1527"/>
      <c r="AO36" s="1527"/>
      <c r="AP36" s="1527"/>
      <c r="AQ36" s="1527"/>
      <c r="AR36" s="1527"/>
      <c r="AS36" s="1527"/>
      <c r="AT36" s="1527"/>
      <c r="AU36" s="20"/>
      <c r="AV36" s="20"/>
      <c r="AW36" s="20"/>
      <c r="AX36" s="20"/>
      <c r="AY36" s="20"/>
      <c r="AZ36" s="20"/>
      <c r="BD36" s="1182" t="s">
        <v>2463</v>
      </c>
      <c r="BE36" s="1183" t="str">
        <f>Application!I189</f>
        <v>Templeton</v>
      </c>
    </row>
    <row r="37" spans="1:57" ht="12.95" customHeight="1">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27"/>
      <c r="AM37" s="1527"/>
      <c r="AN37" s="1527"/>
      <c r="AO37" s="1527"/>
      <c r="AP37" s="1527"/>
      <c r="AQ37" s="1527"/>
      <c r="AR37" s="1527"/>
      <c r="AS37" s="1527"/>
      <c r="AT37" s="1527"/>
      <c r="AZ37" s="20"/>
      <c r="BD37" s="1181" t="s">
        <v>2464</v>
      </c>
      <c r="BE37" s="1183" t="str">
        <f>Application!T189</f>
        <v>San Luis Obispo</v>
      </c>
    </row>
    <row r="38" spans="1:57" ht="12.95" customHeight="1">
      <c r="A38" s="3"/>
      <c r="AZ38" s="20"/>
      <c r="BD38" s="1182" t="s">
        <v>2465</v>
      </c>
      <c r="BE38" s="1183">
        <f>Application!I190</f>
        <v>93465</v>
      </c>
    </row>
    <row r="39" spans="1:57" ht="12.95"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28</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28</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0.42142857142857137</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0.42140381341833244</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933681.82142857148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2</v>
      </c>
    </row>
    <row r="46" spans="1:57" ht="12.95"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 xml:space="preserve">Rolling Hills III, L.P. </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Katherine Aguilar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People's Self-Help Housing Corporation</v>
      </c>
    </row>
    <row r="51" spans="1:57" ht="12.95"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t="str">
        <f>Application!M260</f>
        <v>Rolling Hills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t="str">
        <f>Application!M263</f>
        <v>Katherine Aguilar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People's Self-Help Housing Corporation</v>
      </c>
    </row>
    <row r="54" spans="1:57" ht="12.95"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People's Self-Help Housing Corporation</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1060 Kendall Road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San Luis Obispo</v>
      </c>
    </row>
    <row r="60" spans="1:57" ht="12.95"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Veronica Z. Garcia</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veronicag@pshhc.org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0.85106526000000005</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0.85991399999999996</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08" t="s">
        <v>2111</v>
      </c>
      <c r="B65" s="1508"/>
      <c r="C65" s="1508"/>
      <c r="D65" s="1508"/>
      <c r="E65" s="1508"/>
      <c r="F65" s="1508"/>
      <c r="G65" s="1508"/>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508"/>
      <c r="AM65" s="1508"/>
      <c r="AN65" s="1508"/>
      <c r="AO65" s="1508"/>
      <c r="AP65" s="1508"/>
      <c r="AQ65" s="1508"/>
      <c r="AR65" s="1508"/>
      <c r="AS65" s="1508"/>
      <c r="AT65" s="1508"/>
      <c r="AU65" s="21"/>
      <c r="AV65" s="21"/>
      <c r="AW65" s="21"/>
      <c r="AX65" s="21"/>
      <c r="AY65" s="21"/>
      <c r="AZ65" s="20"/>
      <c r="BD65" s="1181" t="s">
        <v>2522</v>
      </c>
      <c r="BE65" s="1183" t="str">
        <f>Z205</f>
        <v>State Farmworker Credit</v>
      </c>
    </row>
    <row r="66" spans="1:57" ht="12.95" customHeight="1">
      <c r="A66" s="1508"/>
      <c r="B66" s="1508"/>
      <c r="C66" s="1508"/>
      <c r="D66" s="1508"/>
      <c r="E66" s="1508"/>
      <c r="F66" s="1508"/>
      <c r="G66" s="1508"/>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21"/>
      <c r="AV66" s="21"/>
      <c r="AW66" s="21"/>
      <c r="AX66" s="21"/>
      <c r="AY66" s="21"/>
      <c r="AZ66" s="20"/>
      <c r="BD66" s="1182" t="s">
        <v>2489</v>
      </c>
      <c r="BE66" s="1183" t="b">
        <f>Application!Z205="State Farmworker Credit"</f>
        <v>1</v>
      </c>
    </row>
    <row r="67" spans="1:57" ht="12.95" customHeight="1">
      <c r="A67" s="1508"/>
      <c r="B67" s="1508"/>
      <c r="C67" s="1508"/>
      <c r="D67" s="1508"/>
      <c r="E67" s="1508"/>
      <c r="F67" s="1508"/>
      <c r="G67" s="1508"/>
      <c r="H67" s="1508"/>
      <c r="I67" s="1508"/>
      <c r="J67" s="1508"/>
      <c r="K67" s="1508"/>
      <c r="L67" s="1508"/>
      <c r="M67" s="1508"/>
      <c r="N67" s="1508"/>
      <c r="O67" s="1508"/>
      <c r="P67" s="1508"/>
      <c r="Q67" s="1508"/>
      <c r="R67" s="1508"/>
      <c r="S67" s="1508"/>
      <c r="T67" s="1508"/>
      <c r="U67" s="1508"/>
      <c r="V67" s="1508"/>
      <c r="W67" s="1508"/>
      <c r="X67" s="1508"/>
      <c r="Y67" s="1508"/>
      <c r="Z67" s="1508"/>
      <c r="AA67" s="1508"/>
      <c r="AB67" s="1508"/>
      <c r="AC67" s="1508"/>
      <c r="AD67" s="1508"/>
      <c r="AE67" s="1508"/>
      <c r="AF67" s="1508"/>
      <c r="AG67" s="1508"/>
      <c r="AH67" s="1508"/>
      <c r="AI67" s="1508"/>
      <c r="AJ67" s="1508"/>
      <c r="AK67" s="1508"/>
      <c r="AL67" s="1508"/>
      <c r="AM67" s="1508"/>
      <c r="AN67" s="1508"/>
      <c r="AO67" s="1508"/>
      <c r="AP67" s="1508"/>
      <c r="AQ67" s="1508"/>
      <c r="AR67" s="1508"/>
      <c r="AS67" s="1508"/>
      <c r="AT67" s="1508"/>
      <c r="AZ67" s="20"/>
      <c r="BD67" s="1181" t="s">
        <v>2490</v>
      </c>
      <c r="BE67" s="1183"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5" customHeight="1">
      <c r="A69" s="1508" t="s">
        <v>2112</v>
      </c>
      <c r="B69" s="1508"/>
      <c r="C69" s="1508"/>
      <c r="D69" s="1508"/>
      <c r="E69" s="1508"/>
      <c r="F69" s="1508"/>
      <c r="G69" s="1508"/>
      <c r="H69" s="1508"/>
      <c r="I69" s="1508"/>
      <c r="J69" s="1508"/>
      <c r="K69" s="1508"/>
      <c r="L69" s="1508"/>
      <c r="M69" s="1508"/>
      <c r="N69" s="1508"/>
      <c r="O69" s="1508"/>
      <c r="P69" s="1508"/>
      <c r="Q69" s="1508"/>
      <c r="R69" s="1508"/>
      <c r="S69" s="1508"/>
      <c r="T69" s="1508"/>
      <c r="U69" s="1508"/>
      <c r="V69" s="1508"/>
      <c r="W69" s="1508"/>
      <c r="X69" s="1508"/>
      <c r="Y69" s="1508"/>
      <c r="Z69" s="1508"/>
      <c r="AA69" s="1508"/>
      <c r="AB69" s="1508"/>
      <c r="AC69" s="1508"/>
      <c r="AD69" s="1508"/>
      <c r="AE69" s="1508"/>
      <c r="AF69" s="1508"/>
      <c r="AG69" s="1508"/>
      <c r="AH69" s="1508"/>
      <c r="AI69" s="1508"/>
      <c r="AJ69" s="1508"/>
      <c r="AK69" s="1508"/>
      <c r="AL69" s="1508"/>
      <c r="AM69" s="1508"/>
      <c r="AN69" s="1508"/>
      <c r="AO69" s="1508"/>
      <c r="AP69" s="1508"/>
      <c r="AQ69" s="1508"/>
      <c r="AR69" s="1508"/>
      <c r="AS69" s="1508"/>
      <c r="AT69" s="1508"/>
      <c r="AZ69" s="20"/>
      <c r="BD69" s="1181" t="s">
        <v>2492</v>
      </c>
      <c r="BE69" s="1183" t="str">
        <f>Application!W708</f>
        <v>California Municipal Finance Authority</v>
      </c>
    </row>
    <row r="70" spans="1:57" ht="12.95" customHeight="1">
      <c r="A70" s="1508"/>
      <c r="B70" s="1508"/>
      <c r="C70" s="1508"/>
      <c r="D70" s="1508"/>
      <c r="E70" s="1508"/>
      <c r="F70" s="1508"/>
      <c r="G70" s="1508"/>
      <c r="H70" s="1508"/>
      <c r="I70" s="1508"/>
      <c r="J70" s="1508"/>
      <c r="K70" s="1508"/>
      <c r="L70" s="1508"/>
      <c r="M70" s="1508"/>
      <c r="N70" s="1508"/>
      <c r="O70" s="1508"/>
      <c r="P70" s="1508"/>
      <c r="Q70" s="1508"/>
      <c r="R70" s="1508"/>
      <c r="S70" s="1508"/>
      <c r="T70" s="1508"/>
      <c r="U70" s="1508"/>
      <c r="V70" s="1508"/>
      <c r="W70" s="1508"/>
      <c r="X70" s="1508"/>
      <c r="Y70" s="1508"/>
      <c r="Z70" s="1508"/>
      <c r="AA70" s="1508"/>
      <c r="AB70" s="1508"/>
      <c r="AC70" s="1508"/>
      <c r="AD70" s="1508"/>
      <c r="AE70" s="1508"/>
      <c r="AF70" s="1508"/>
      <c r="AG70" s="1508"/>
      <c r="AH70" s="1508"/>
      <c r="AI70" s="1508"/>
      <c r="AJ70" s="1508"/>
      <c r="AK70" s="1508"/>
      <c r="AL70" s="1508"/>
      <c r="AM70" s="1508"/>
      <c r="AN70" s="1508"/>
      <c r="AO70" s="1508"/>
      <c r="AP70" s="1508"/>
      <c r="AQ70" s="1508"/>
      <c r="AR70" s="1508"/>
      <c r="AS70" s="1508"/>
      <c r="AT70" s="1508"/>
      <c r="AU70" s="20"/>
      <c r="AV70" s="20"/>
      <c r="AW70" s="20"/>
      <c r="AX70" s="20"/>
      <c r="AY70" s="20"/>
      <c r="AZ70" s="20"/>
      <c r="BD70" s="1182" t="s">
        <v>2493</v>
      </c>
      <c r="BE70" s="1183">
        <f>'Points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27" t="s">
        <v>2113</v>
      </c>
      <c r="B72" s="1527"/>
      <c r="C72" s="1527"/>
      <c r="D72" s="1527"/>
      <c r="E72" s="1527"/>
      <c r="F72" s="1527"/>
      <c r="G72" s="1527"/>
      <c r="H72" s="1527"/>
      <c r="I72" s="1527"/>
      <c r="J72" s="1527"/>
      <c r="K72" s="1527"/>
      <c r="L72" s="1527"/>
      <c r="M72" s="1527"/>
      <c r="N72" s="1527"/>
      <c r="O72" s="1527"/>
      <c r="P72" s="1527"/>
      <c r="Q72" s="1527"/>
      <c r="R72" s="1527"/>
      <c r="S72" s="1527"/>
      <c r="T72" s="1527"/>
      <c r="U72" s="1527"/>
      <c r="V72" s="1527"/>
      <c r="W72" s="1527"/>
      <c r="X72" s="1527"/>
      <c r="Y72" s="1527"/>
      <c r="Z72" s="1527"/>
      <c r="AA72" s="1527"/>
      <c r="AB72" s="1527"/>
      <c r="AC72" s="1527"/>
      <c r="AD72" s="1527"/>
      <c r="AE72" s="1527"/>
      <c r="AF72" s="1527"/>
      <c r="AG72" s="1527"/>
      <c r="AH72" s="1527"/>
      <c r="AI72" s="1527"/>
      <c r="AJ72" s="1527"/>
      <c r="AK72" s="1527"/>
      <c r="AL72" s="1527"/>
      <c r="AM72" s="1527"/>
      <c r="AN72" s="1527"/>
      <c r="AO72" s="1527"/>
      <c r="AP72" s="1527"/>
      <c r="AQ72" s="1527"/>
      <c r="AR72" s="1527"/>
      <c r="AS72" s="1527"/>
      <c r="AT72" s="1527"/>
      <c r="AU72" s="20"/>
      <c r="AV72" s="20"/>
      <c r="AW72" s="20"/>
      <c r="AX72" s="20"/>
      <c r="AY72" s="20"/>
      <c r="AZ72" s="20"/>
      <c r="BD72" s="1182" t="s">
        <v>2494</v>
      </c>
      <c r="BE72" s="1183">
        <f>'Points System'!AF827</f>
        <v>10</v>
      </c>
    </row>
    <row r="73" spans="1:57" ht="12.95" customHeight="1">
      <c r="A73" s="1527"/>
      <c r="B73" s="1527"/>
      <c r="C73" s="1527"/>
      <c r="D73" s="1527"/>
      <c r="E73" s="1527"/>
      <c r="F73" s="1527"/>
      <c r="G73" s="1527"/>
      <c r="H73" s="1527"/>
      <c r="I73" s="1527"/>
      <c r="J73" s="1527"/>
      <c r="K73" s="1527"/>
      <c r="L73" s="1527"/>
      <c r="M73" s="1527"/>
      <c r="N73" s="1527"/>
      <c r="O73" s="1527"/>
      <c r="P73" s="1527"/>
      <c r="Q73" s="1527"/>
      <c r="R73" s="1527"/>
      <c r="S73" s="1527"/>
      <c r="T73" s="1527"/>
      <c r="U73" s="1527"/>
      <c r="V73" s="1527"/>
      <c r="W73" s="1527"/>
      <c r="X73" s="1527"/>
      <c r="Y73" s="1527"/>
      <c r="Z73" s="1527"/>
      <c r="AA73" s="1527"/>
      <c r="AB73" s="1527"/>
      <c r="AC73" s="1527"/>
      <c r="AD73" s="1527"/>
      <c r="AE73" s="1527"/>
      <c r="AF73" s="1527"/>
      <c r="AG73" s="1527"/>
      <c r="AH73" s="1527"/>
      <c r="AI73" s="1527"/>
      <c r="AJ73" s="1527"/>
      <c r="AK73" s="1527"/>
      <c r="AL73" s="1527"/>
      <c r="AM73" s="1527"/>
      <c r="AN73" s="1527"/>
      <c r="AO73" s="1527"/>
      <c r="AP73" s="1527"/>
      <c r="AQ73" s="1527"/>
      <c r="AR73" s="1527"/>
      <c r="AS73" s="1527"/>
      <c r="AT73" s="1527"/>
      <c r="AU73" s="20"/>
      <c r="AV73" s="20"/>
      <c r="AW73" s="20"/>
      <c r="AX73" s="20"/>
      <c r="AY73" s="20"/>
      <c r="AZ73" s="20"/>
      <c r="BD73" s="1181" t="s">
        <v>2495</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537" t="s">
        <v>2114</v>
      </c>
      <c r="B75" s="1537"/>
      <c r="C75" s="1537"/>
      <c r="D75" s="1537"/>
      <c r="E75" s="1537"/>
      <c r="F75" s="1537"/>
      <c r="G75" s="1537"/>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537"/>
      <c r="AG75" s="1537"/>
      <c r="AH75" s="1537"/>
      <c r="AI75" s="1537"/>
      <c r="AJ75" s="1537"/>
      <c r="AK75" s="1537"/>
      <c r="AL75" s="1537"/>
      <c r="AM75" s="1537"/>
      <c r="AN75" s="1537"/>
      <c r="AO75" s="1537"/>
      <c r="AP75" s="1537"/>
      <c r="AQ75" s="1537"/>
      <c r="AR75" s="1537"/>
      <c r="AS75" s="1537"/>
      <c r="AT75" s="1537"/>
      <c r="AU75" s="20"/>
      <c r="AV75" s="20"/>
      <c r="AW75" s="20"/>
      <c r="AX75" s="20"/>
      <c r="AY75" s="20"/>
      <c r="AZ75" s="20"/>
      <c r="BD75" s="1181" t="s">
        <v>2497</v>
      </c>
      <c r="BE75" s="1183">
        <f>'Points System'!AF830</f>
        <v>10</v>
      </c>
    </row>
    <row r="76" spans="1:57" ht="12.95" customHeight="1">
      <c r="A76" s="1537"/>
      <c r="B76" s="1537"/>
      <c r="C76" s="1537"/>
      <c r="D76" s="1537"/>
      <c r="E76" s="1537"/>
      <c r="F76" s="1537"/>
      <c r="G76" s="1537"/>
      <c r="H76" s="1537"/>
      <c r="I76" s="1537"/>
      <c r="J76" s="1537"/>
      <c r="K76" s="1537"/>
      <c r="L76" s="1537"/>
      <c r="M76" s="1537"/>
      <c r="N76" s="1537"/>
      <c r="O76" s="1537"/>
      <c r="P76" s="1537"/>
      <c r="Q76" s="1537"/>
      <c r="R76" s="1537"/>
      <c r="S76" s="1537"/>
      <c r="T76" s="1537"/>
      <c r="U76" s="1537"/>
      <c r="V76" s="1537"/>
      <c r="W76" s="1537"/>
      <c r="X76" s="1537"/>
      <c r="Y76" s="1537"/>
      <c r="Z76" s="1537"/>
      <c r="AA76" s="1537"/>
      <c r="AB76" s="1537"/>
      <c r="AC76" s="1537"/>
      <c r="AD76" s="1537"/>
      <c r="AE76" s="1537"/>
      <c r="AF76" s="1537"/>
      <c r="AG76" s="1537"/>
      <c r="AH76" s="1537"/>
      <c r="AI76" s="1537"/>
      <c r="AJ76" s="1537"/>
      <c r="AK76" s="1537"/>
      <c r="AL76" s="1537"/>
      <c r="AM76" s="1537"/>
      <c r="AN76" s="1537"/>
      <c r="AO76" s="1537"/>
      <c r="AP76" s="1537"/>
      <c r="AQ76" s="1537"/>
      <c r="AR76" s="1537"/>
      <c r="AS76" s="1537"/>
      <c r="AT76" s="1537"/>
      <c r="AU76" s="20"/>
      <c r="AV76" s="20"/>
      <c r="AW76" s="20"/>
      <c r="AX76" s="20"/>
      <c r="AY76" s="20"/>
      <c r="AZ76" s="17"/>
      <c r="BD76" s="1182" t="s">
        <v>2498</v>
      </c>
      <c r="BE76" s="1183">
        <f>'Points System'!AF833</f>
        <v>10</v>
      </c>
    </row>
    <row r="77" spans="1:57" ht="12.95" customHeight="1">
      <c r="A77" s="1537"/>
      <c r="B77" s="1537"/>
      <c r="C77" s="1537"/>
      <c r="D77" s="1537"/>
      <c r="E77" s="1537"/>
      <c r="F77" s="1537"/>
      <c r="G77" s="1537"/>
      <c r="H77" s="1537"/>
      <c r="I77" s="1537"/>
      <c r="J77" s="1537"/>
      <c r="K77" s="1537"/>
      <c r="L77" s="1537"/>
      <c r="M77" s="1537"/>
      <c r="N77" s="1537"/>
      <c r="O77" s="1537"/>
      <c r="P77" s="1537"/>
      <c r="Q77" s="1537"/>
      <c r="R77" s="1537"/>
      <c r="S77" s="1537"/>
      <c r="T77" s="1537"/>
      <c r="U77" s="1537"/>
      <c r="V77" s="1537"/>
      <c r="W77" s="1537"/>
      <c r="X77" s="1537"/>
      <c r="Y77" s="1537"/>
      <c r="Z77" s="1537"/>
      <c r="AA77" s="1537"/>
      <c r="AB77" s="1537"/>
      <c r="AC77" s="1537"/>
      <c r="AD77" s="1537"/>
      <c r="AE77" s="1537"/>
      <c r="AF77" s="1537"/>
      <c r="AG77" s="1537"/>
      <c r="AH77" s="1537"/>
      <c r="AI77" s="1537"/>
      <c r="AJ77" s="1537"/>
      <c r="AK77" s="1537"/>
      <c r="AL77" s="1537"/>
      <c r="AM77" s="1537"/>
      <c r="AN77" s="1537"/>
      <c r="AO77" s="1537"/>
      <c r="AP77" s="1537"/>
      <c r="AQ77" s="1537"/>
      <c r="AR77" s="1537"/>
      <c r="AS77" s="1537"/>
      <c r="AT77" s="1537"/>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08" t="s">
        <v>2115</v>
      </c>
      <c r="B79" s="1508"/>
      <c r="C79" s="1508"/>
      <c r="D79" s="1508"/>
      <c r="E79" s="1508"/>
      <c r="F79" s="1508"/>
      <c r="G79" s="1508"/>
      <c r="H79" s="1508"/>
      <c r="I79" s="1508"/>
      <c r="J79" s="1508"/>
      <c r="K79" s="1508"/>
      <c r="L79" s="1508"/>
      <c r="M79" s="1508"/>
      <c r="N79" s="1508"/>
      <c r="O79" s="1508"/>
      <c r="P79" s="1508"/>
      <c r="Q79" s="1508"/>
      <c r="R79" s="1508"/>
      <c r="S79" s="1508"/>
      <c r="T79" s="1508"/>
      <c r="U79" s="1508"/>
      <c r="V79" s="1508"/>
      <c r="W79" s="1508"/>
      <c r="X79" s="1508"/>
      <c r="Y79" s="1508"/>
      <c r="Z79" s="1508"/>
      <c r="AA79" s="1508"/>
      <c r="AB79" s="1508"/>
      <c r="AC79" s="1508"/>
      <c r="AD79" s="1508"/>
      <c r="AE79" s="1508"/>
      <c r="AF79" s="1508"/>
      <c r="AG79" s="1508"/>
      <c r="AH79" s="1508"/>
      <c r="AI79" s="1508"/>
      <c r="AJ79" s="1508"/>
      <c r="AK79" s="1508"/>
      <c r="AL79" s="1508"/>
      <c r="AM79" s="1508"/>
      <c r="AN79" s="1508"/>
      <c r="AO79" s="1508"/>
      <c r="AP79" s="1508"/>
      <c r="AQ79" s="1508"/>
      <c r="AR79" s="1508"/>
      <c r="AS79" s="1508"/>
      <c r="AT79" s="1508"/>
      <c r="AU79" s="20"/>
      <c r="AV79" s="20"/>
      <c r="AW79" s="20"/>
      <c r="AX79" s="20"/>
      <c r="AY79" s="20"/>
      <c r="AZ79" s="20"/>
      <c r="BD79" s="1181" t="s">
        <v>2619</v>
      </c>
      <c r="BE79" s="1183">
        <f>'Points System'!AF837</f>
        <v>10</v>
      </c>
    </row>
    <row r="80" spans="1:57" ht="12.95" customHeight="1">
      <c r="A80" s="1508"/>
      <c r="B80" s="1508"/>
      <c r="C80" s="1508"/>
      <c r="D80" s="1508"/>
      <c r="E80" s="1508"/>
      <c r="F80" s="1508"/>
      <c r="G80" s="1508"/>
      <c r="H80" s="1508"/>
      <c r="I80" s="1508"/>
      <c r="J80" s="1508"/>
      <c r="K80" s="1508"/>
      <c r="L80" s="1508"/>
      <c r="M80" s="1508"/>
      <c r="N80" s="1508"/>
      <c r="O80" s="1508"/>
      <c r="P80" s="1508"/>
      <c r="Q80" s="1508"/>
      <c r="R80" s="1508"/>
      <c r="S80" s="1508"/>
      <c r="T80" s="1508"/>
      <c r="U80" s="1508"/>
      <c r="V80" s="1508"/>
      <c r="W80" s="1508"/>
      <c r="X80" s="1508"/>
      <c r="Y80" s="1508"/>
      <c r="Z80" s="1508"/>
      <c r="AA80" s="1508"/>
      <c r="AB80" s="1508"/>
      <c r="AC80" s="1508"/>
      <c r="AD80" s="1508"/>
      <c r="AE80" s="1508"/>
      <c r="AF80" s="1508"/>
      <c r="AG80" s="1508"/>
      <c r="AH80" s="1508"/>
      <c r="AI80" s="1508"/>
      <c r="AJ80" s="1508"/>
      <c r="AK80" s="1508"/>
      <c r="AL80" s="1508"/>
      <c r="AM80" s="1508"/>
      <c r="AN80" s="1508"/>
      <c r="AO80" s="1508"/>
      <c r="AP80" s="1508"/>
      <c r="AQ80" s="1508"/>
      <c r="AR80" s="1508"/>
      <c r="AS80" s="1508"/>
      <c r="AT80" s="1508"/>
      <c r="AU80" s="20"/>
      <c r="AV80" s="20"/>
      <c r="AW80" s="20"/>
      <c r="AX80" s="20"/>
      <c r="AY80" s="20"/>
      <c r="AZ80" s="20"/>
      <c r="BD80" s="1182" t="s">
        <v>2501</v>
      </c>
      <c r="BE80" s="1183">
        <f>'Points System'!AF839</f>
        <v>10</v>
      </c>
    </row>
    <row r="81" spans="1:57" ht="12.95" customHeight="1">
      <c r="A81" s="1508"/>
      <c r="B81" s="1508"/>
      <c r="C81" s="1508"/>
      <c r="D81" s="1508"/>
      <c r="E81" s="1508"/>
      <c r="F81" s="1508"/>
      <c r="G81" s="1508"/>
      <c r="H81" s="1508"/>
      <c r="I81" s="1508"/>
      <c r="J81" s="1508"/>
      <c r="K81" s="1508"/>
      <c r="L81" s="1508"/>
      <c r="M81" s="1508"/>
      <c r="N81" s="1508"/>
      <c r="O81" s="1508"/>
      <c r="P81" s="1508"/>
      <c r="Q81" s="1508"/>
      <c r="R81" s="1508"/>
      <c r="S81" s="1508"/>
      <c r="T81" s="1508"/>
      <c r="U81" s="1508"/>
      <c r="V81" s="1508"/>
      <c r="W81" s="1508"/>
      <c r="X81" s="1508"/>
      <c r="Y81" s="1508"/>
      <c r="Z81" s="1508"/>
      <c r="AA81" s="1508"/>
      <c r="AB81" s="1508"/>
      <c r="AC81" s="1508"/>
      <c r="AD81" s="1508"/>
      <c r="AE81" s="1508"/>
      <c r="AF81" s="1508"/>
      <c r="AG81" s="1508"/>
      <c r="AH81" s="1508"/>
      <c r="AI81" s="1508"/>
      <c r="AJ81" s="1508"/>
      <c r="AK81" s="1508"/>
      <c r="AL81" s="1508"/>
      <c r="AM81" s="1508"/>
      <c r="AN81" s="1508"/>
      <c r="AO81" s="1508"/>
      <c r="AP81" s="1508"/>
      <c r="AQ81" s="1508"/>
      <c r="AR81" s="1508"/>
      <c r="AS81" s="1508"/>
      <c r="AT81" s="1508"/>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1.5945864540635029</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County of San Luis Obispo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 xml:space="preserve">Trevor Keith </v>
      </c>
    </row>
    <row r="86" spans="1:57" ht="12.95"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County of San Luis Obispo - Director of Planning and Building</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976 Osos Street, Room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San Luis Obispo</v>
      </c>
    </row>
    <row r="89" spans="1:57" ht="12.95" customHeight="1">
      <c r="A89" s="1548" t="s">
        <v>2118</v>
      </c>
      <c r="B89" s="1548"/>
      <c r="C89" s="1548"/>
      <c r="D89" s="1548"/>
      <c r="E89" s="1548"/>
      <c r="F89" s="1548"/>
      <c r="G89" s="1548"/>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548"/>
      <c r="AM89" s="1548"/>
      <c r="AN89" s="1548"/>
      <c r="AO89" s="1548"/>
      <c r="AP89" s="1548"/>
      <c r="AQ89" s="1548"/>
      <c r="AR89" s="1548"/>
      <c r="AS89" s="1548"/>
      <c r="AT89" s="1548"/>
      <c r="AU89" s="17"/>
      <c r="AV89" s="17"/>
      <c r="AW89" s="17"/>
      <c r="AX89" s="17"/>
      <c r="AY89" s="17"/>
      <c r="AZ89" s="20"/>
      <c r="BD89" s="1181" t="s">
        <v>2510</v>
      </c>
      <c r="BE89" s="1183">
        <f>Application!O158</f>
        <v>93408</v>
      </c>
    </row>
    <row r="90" spans="1:57" ht="12.95" customHeight="1">
      <c r="A90" s="1548"/>
      <c r="B90" s="1548"/>
      <c r="C90" s="1548"/>
      <c r="D90" s="1548"/>
      <c r="E90" s="1548"/>
      <c r="F90" s="1548"/>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548"/>
      <c r="AM90" s="1548"/>
      <c r="AN90" s="1548"/>
      <c r="AO90" s="1548"/>
      <c r="AP90" s="1548"/>
      <c r="AQ90" s="1548"/>
      <c r="AR90" s="1548"/>
      <c r="AS90" s="1548"/>
      <c r="AT90" s="1548"/>
      <c r="AU90" s="17"/>
      <c r="AV90" s="17"/>
      <c r="AW90" s="17"/>
      <c r="AX90" s="17"/>
      <c r="AY90" s="17"/>
      <c r="AZ90" s="20"/>
      <c r="BD90" s="1182" t="s">
        <v>2511</v>
      </c>
      <c r="BE90" s="1183" t="str">
        <f>Application!H16</f>
        <v xml:space="preserve">People's Self-Help Housing Corporation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1060 Kendall Road</v>
      </c>
    </row>
    <row r="92" spans="1:57" ht="12.95" customHeight="1">
      <c r="A92" s="1537" t="s">
        <v>2119</v>
      </c>
      <c r="B92" s="1537"/>
      <c r="C92" s="1537"/>
      <c r="D92" s="1537"/>
      <c r="E92" s="1537"/>
      <c r="F92" s="1537"/>
      <c r="G92" s="1537"/>
      <c r="H92" s="1537"/>
      <c r="I92" s="1537"/>
      <c r="J92" s="1537"/>
      <c r="K92" s="1537"/>
      <c r="L92" s="1537"/>
      <c r="M92" s="1537"/>
      <c r="N92" s="1537"/>
      <c r="O92" s="1537"/>
      <c r="P92" s="1537"/>
      <c r="Q92" s="1537"/>
      <c r="R92" s="1537"/>
      <c r="S92" s="1537"/>
      <c r="T92" s="1537"/>
      <c r="U92" s="1537"/>
      <c r="V92" s="1537"/>
      <c r="W92" s="1537"/>
      <c r="X92" s="1537"/>
      <c r="Y92" s="1537"/>
      <c r="Z92" s="1537"/>
      <c r="AA92" s="1537"/>
      <c r="AB92" s="1537"/>
      <c r="AC92" s="1537"/>
      <c r="AD92" s="1537"/>
      <c r="AE92" s="1537"/>
      <c r="AF92" s="1537"/>
      <c r="AG92" s="1537"/>
      <c r="AH92" s="1537"/>
      <c r="AI92" s="1537"/>
      <c r="AJ92" s="1537"/>
      <c r="AK92" s="1537"/>
      <c r="AL92" s="1537"/>
      <c r="AM92" s="1537"/>
      <c r="AN92" s="1537"/>
      <c r="AO92" s="1537"/>
      <c r="AP92" s="1537"/>
      <c r="AQ92" s="1537"/>
      <c r="AR92" s="1537"/>
      <c r="AS92" s="1537"/>
      <c r="AT92" s="1537"/>
      <c r="AU92" s="20"/>
      <c r="AV92" s="20"/>
      <c r="AW92" s="20"/>
      <c r="AX92" s="20"/>
      <c r="AY92" s="20"/>
      <c r="AZ92" s="20"/>
      <c r="BD92" s="1182" t="s">
        <v>2513</v>
      </c>
      <c r="BE92" s="1183" t="str">
        <f>Application!M243</f>
        <v>San Luis Obispo</v>
      </c>
    </row>
    <row r="93" spans="1:57" ht="12.95" customHeight="1">
      <c r="A93" s="1537"/>
      <c r="B93" s="1537"/>
      <c r="C93" s="1537"/>
      <c r="D93" s="1537"/>
      <c r="E93" s="1537"/>
      <c r="F93" s="1537"/>
      <c r="G93" s="1537"/>
      <c r="H93" s="1537"/>
      <c r="I93" s="1537"/>
      <c r="J93" s="1537"/>
      <c r="K93" s="1537"/>
      <c r="L93" s="1537"/>
      <c r="M93" s="1537"/>
      <c r="N93" s="1537"/>
      <c r="O93" s="1537"/>
      <c r="P93" s="1537"/>
      <c r="Q93" s="1537"/>
      <c r="R93" s="1537"/>
      <c r="S93" s="1537"/>
      <c r="T93" s="1537"/>
      <c r="U93" s="1537"/>
      <c r="V93" s="1537"/>
      <c r="W93" s="1537"/>
      <c r="X93" s="1537"/>
      <c r="Y93" s="1537"/>
      <c r="Z93" s="1537"/>
      <c r="AA93" s="1537"/>
      <c r="AB93" s="1537"/>
      <c r="AC93" s="1537"/>
      <c r="AD93" s="1537"/>
      <c r="AE93" s="1537"/>
      <c r="AF93" s="1537"/>
      <c r="AG93" s="1537"/>
      <c r="AH93" s="1537"/>
      <c r="AI93" s="1537"/>
      <c r="AJ93" s="1537"/>
      <c r="AK93" s="1537"/>
      <c r="AL93" s="1537"/>
      <c r="AM93" s="1537"/>
      <c r="AN93" s="1537"/>
      <c r="AO93" s="1537"/>
      <c r="AP93" s="1537"/>
      <c r="AQ93" s="1537"/>
      <c r="AR93" s="1537"/>
      <c r="AS93" s="1537"/>
      <c r="AT93" s="1537"/>
      <c r="AU93" s="20"/>
      <c r="AV93" s="20"/>
      <c r="AW93" s="20"/>
      <c r="AX93" s="20"/>
      <c r="AY93" s="20"/>
      <c r="AZ93" s="20"/>
      <c r="BD93" s="1181" t="s">
        <v>2514</v>
      </c>
      <c r="BE93" s="1183" t="str">
        <f>Application!W243</f>
        <v>CA</v>
      </c>
    </row>
    <row r="94" spans="1:57" ht="12.95" customHeight="1">
      <c r="A94" s="1537"/>
      <c r="B94" s="1537"/>
      <c r="C94" s="1537"/>
      <c r="D94" s="1537"/>
      <c r="E94" s="1537"/>
      <c r="F94" s="1537"/>
      <c r="G94" s="1537"/>
      <c r="H94" s="1537"/>
      <c r="I94" s="1537"/>
      <c r="J94" s="1537"/>
      <c r="K94" s="1537"/>
      <c r="L94" s="1537"/>
      <c r="M94" s="1537"/>
      <c r="N94" s="1537"/>
      <c r="O94" s="1537"/>
      <c r="P94" s="1537"/>
      <c r="Q94" s="1537"/>
      <c r="R94" s="1537"/>
      <c r="S94" s="1537"/>
      <c r="T94" s="1537"/>
      <c r="U94" s="1537"/>
      <c r="V94" s="1537"/>
      <c r="W94" s="1537"/>
      <c r="X94" s="1537"/>
      <c r="Y94" s="1537"/>
      <c r="Z94" s="1537"/>
      <c r="AA94" s="1537"/>
      <c r="AB94" s="1537"/>
      <c r="AC94" s="1537"/>
      <c r="AD94" s="1537"/>
      <c r="AE94" s="1537"/>
      <c r="AF94" s="1537"/>
      <c r="AG94" s="1537"/>
      <c r="AH94" s="1537"/>
      <c r="AI94" s="1537"/>
      <c r="AJ94" s="1537"/>
      <c r="AK94" s="1537"/>
      <c r="AL94" s="1537"/>
      <c r="AM94" s="1537"/>
      <c r="AN94" s="1537"/>
      <c r="AO94" s="1537"/>
      <c r="AP94" s="1537"/>
      <c r="AQ94" s="1537"/>
      <c r="AR94" s="1537"/>
      <c r="AS94" s="1537"/>
      <c r="AT94" s="1537"/>
      <c r="AU94" s="20"/>
      <c r="AV94" s="20"/>
      <c r="AW94" s="20"/>
      <c r="AX94" s="20"/>
      <c r="AY94" s="20"/>
      <c r="AZ94" s="20"/>
      <c r="BD94" s="1182" t="s">
        <v>2515</v>
      </c>
      <c r="BE94" s="1183">
        <f>Application!AC243</f>
        <v>93401</v>
      </c>
    </row>
    <row r="95" spans="1:57" ht="12.95" customHeight="1">
      <c r="A95" s="1537"/>
      <c r="B95" s="1537"/>
      <c r="C95" s="1537"/>
      <c r="D95" s="1537"/>
      <c r="E95" s="1537"/>
      <c r="F95" s="1537"/>
      <c r="G95" s="1537"/>
      <c r="H95" s="1537"/>
      <c r="I95" s="1537"/>
      <c r="J95" s="1537"/>
      <c r="K95" s="1537"/>
      <c r="L95" s="1537"/>
      <c r="M95" s="1537"/>
      <c r="N95" s="1537"/>
      <c r="O95" s="1537"/>
      <c r="P95" s="1537"/>
      <c r="Q95" s="1537"/>
      <c r="R95" s="1537"/>
      <c r="S95" s="1537"/>
      <c r="T95" s="1537"/>
      <c r="U95" s="1537"/>
      <c r="V95" s="1537"/>
      <c r="W95" s="1537"/>
      <c r="X95" s="1537"/>
      <c r="Y95" s="1537"/>
      <c r="Z95" s="1537"/>
      <c r="AA95" s="1537"/>
      <c r="AB95" s="1537"/>
      <c r="AC95" s="1537"/>
      <c r="AD95" s="1537"/>
      <c r="AE95" s="1537"/>
      <c r="AF95" s="1537"/>
      <c r="AG95" s="1537"/>
      <c r="AH95" s="1537"/>
      <c r="AI95" s="1537"/>
      <c r="AJ95" s="1537"/>
      <c r="AK95" s="1537"/>
      <c r="AL95" s="1537"/>
      <c r="AM95" s="1537"/>
      <c r="AN95" s="1537"/>
      <c r="AO95" s="1537"/>
      <c r="AP95" s="1537"/>
      <c r="AQ95" s="1537"/>
      <c r="AR95" s="1537"/>
      <c r="AS95" s="1537"/>
      <c r="AT95" s="1537"/>
      <c r="AU95" s="20"/>
      <c r="AV95" s="20"/>
      <c r="AW95" s="20"/>
      <c r="AX95" s="20"/>
      <c r="AY95" s="20"/>
      <c r="AZ95" s="20"/>
      <c r="BD95" s="1181" t="s">
        <v>2516</v>
      </c>
      <c r="BE95" s="1183" t="str">
        <f>Application!M244</f>
        <v>Katherine Aguilar</v>
      </c>
    </row>
    <row r="96" spans="1:57" ht="12.95" customHeight="1">
      <c r="A96" s="1537"/>
      <c r="B96" s="1537"/>
      <c r="C96" s="1537"/>
      <c r="D96" s="1537"/>
      <c r="E96" s="1537"/>
      <c r="F96" s="1537"/>
      <c r="G96" s="1537"/>
      <c r="H96" s="1537"/>
      <c r="I96" s="1537"/>
      <c r="J96" s="1537"/>
      <c r="K96" s="1537"/>
      <c r="L96" s="1537"/>
      <c r="M96" s="1537"/>
      <c r="N96" s="1537"/>
      <c r="O96" s="1537"/>
      <c r="P96" s="1537"/>
      <c r="Q96" s="1537"/>
      <c r="R96" s="1537"/>
      <c r="S96" s="1537"/>
      <c r="T96" s="1537"/>
      <c r="U96" s="1537"/>
      <c r="V96" s="1537"/>
      <c r="W96" s="1537"/>
      <c r="X96" s="1537"/>
      <c r="Y96" s="1537"/>
      <c r="Z96" s="1537"/>
      <c r="AA96" s="1537"/>
      <c r="AB96" s="1537"/>
      <c r="AC96" s="1537"/>
      <c r="AD96" s="1537"/>
      <c r="AE96" s="1537"/>
      <c r="AF96" s="1537"/>
      <c r="AG96" s="1537"/>
      <c r="AH96" s="1537"/>
      <c r="AI96" s="1537"/>
      <c r="AJ96" s="1537"/>
      <c r="AK96" s="1537"/>
      <c r="AL96" s="1537"/>
      <c r="AM96" s="1537"/>
      <c r="AN96" s="1537"/>
      <c r="AO96" s="1537"/>
      <c r="AP96" s="1537"/>
      <c r="AQ96" s="1537"/>
      <c r="AR96" s="1537"/>
      <c r="AS96" s="1537"/>
      <c r="AT96" s="1537"/>
      <c r="AU96" s="20"/>
      <c r="AV96" s="20"/>
      <c r="AW96" s="20"/>
      <c r="AX96" s="20"/>
      <c r="AY96" s="20"/>
      <c r="AZ96" s="20"/>
      <c r="BD96" s="1182" t="s">
        <v>2517</v>
      </c>
      <c r="BE96" s="1183" t="str">
        <f>Application!M246</f>
        <v>katherinea@pshhc.org</v>
      </c>
    </row>
    <row r="97" spans="1:57" ht="12.95" customHeight="1">
      <c r="A97" s="1537"/>
      <c r="B97" s="1537"/>
      <c r="C97" s="1537"/>
      <c r="D97" s="1537"/>
      <c r="E97" s="1537"/>
      <c r="F97" s="1537"/>
      <c r="G97" s="1537"/>
      <c r="H97" s="1537"/>
      <c r="I97" s="1537"/>
      <c r="J97" s="1537"/>
      <c r="K97" s="1537"/>
      <c r="L97" s="1537"/>
      <c r="M97" s="1537"/>
      <c r="N97" s="1537"/>
      <c r="O97" s="1537"/>
      <c r="P97" s="1537"/>
      <c r="Q97" s="1537"/>
      <c r="R97" s="1537"/>
      <c r="S97" s="1537"/>
      <c r="T97" s="1537"/>
      <c r="U97" s="1537"/>
      <c r="V97" s="1537"/>
      <c r="W97" s="1537"/>
      <c r="X97" s="1537"/>
      <c r="Y97" s="1537"/>
      <c r="Z97" s="1537"/>
      <c r="AA97" s="1537"/>
      <c r="AB97" s="1537"/>
      <c r="AC97" s="1537"/>
      <c r="AD97" s="1537"/>
      <c r="AE97" s="1537"/>
      <c r="AF97" s="1537"/>
      <c r="AG97" s="1537"/>
      <c r="AH97" s="1537"/>
      <c r="AI97" s="1537"/>
      <c r="AJ97" s="1537"/>
      <c r="AK97" s="1537"/>
      <c r="AL97" s="1537"/>
      <c r="AM97" s="1537"/>
      <c r="AN97" s="1537"/>
      <c r="AO97" s="1537"/>
      <c r="AP97" s="1537"/>
      <c r="AQ97" s="1537"/>
      <c r="AR97" s="1537"/>
      <c r="AS97" s="1537"/>
      <c r="AT97" s="1537"/>
      <c r="AU97" s="20"/>
      <c r="AV97" s="20"/>
      <c r="AW97" s="20"/>
      <c r="AX97" s="20"/>
      <c r="AY97" s="20"/>
      <c r="AZ97" s="20"/>
      <c r="BD97" s="1181" t="s">
        <v>2518</v>
      </c>
      <c r="BE97" s="1183" t="str">
        <f>Application!M257</f>
        <v>katherinea@pshhc.org</v>
      </c>
    </row>
    <row r="98" spans="1:57" ht="12.95" customHeight="1">
      <c r="A98" s="1537"/>
      <c r="B98" s="1537"/>
      <c r="C98" s="1537"/>
      <c r="D98" s="1537"/>
      <c r="E98" s="1537"/>
      <c r="F98" s="1537"/>
      <c r="G98" s="1537"/>
      <c r="H98" s="1537"/>
      <c r="I98" s="1537"/>
      <c r="J98" s="1537"/>
      <c r="K98" s="1537"/>
      <c r="L98" s="1537"/>
      <c r="M98" s="1537"/>
      <c r="N98" s="1537"/>
      <c r="O98" s="1537"/>
      <c r="P98" s="1537"/>
      <c r="Q98" s="1537"/>
      <c r="R98" s="1537"/>
      <c r="S98" s="1537"/>
      <c r="T98" s="1537"/>
      <c r="U98" s="1537"/>
      <c r="V98" s="1537"/>
      <c r="W98" s="1537"/>
      <c r="X98" s="1537"/>
      <c r="Y98" s="1537"/>
      <c r="Z98" s="1537"/>
      <c r="AA98" s="1537"/>
      <c r="AB98" s="1537"/>
      <c r="AC98" s="1537"/>
      <c r="AD98" s="1537"/>
      <c r="AE98" s="1537"/>
      <c r="AF98" s="1537"/>
      <c r="AG98" s="1537"/>
      <c r="AH98" s="1537"/>
      <c r="AI98" s="1537"/>
      <c r="AJ98" s="1537"/>
      <c r="AK98" s="1537"/>
      <c r="AL98" s="1537"/>
      <c r="AM98" s="1537"/>
      <c r="AN98" s="1537"/>
      <c r="AO98" s="1537"/>
      <c r="AP98" s="1537"/>
      <c r="AQ98" s="1537"/>
      <c r="AR98" s="1537"/>
      <c r="AS98" s="1537"/>
      <c r="AT98" s="1537"/>
      <c r="AU98" s="20"/>
      <c r="AV98" s="20"/>
      <c r="AW98" s="20"/>
      <c r="AX98" s="20"/>
      <c r="AY98" s="20"/>
      <c r="AZ98" s="20"/>
      <c r="BD98" s="1182" t="s">
        <v>2519</v>
      </c>
      <c r="BE98" s="1183" t="str">
        <f>Application!M265</f>
        <v>katherinea@pshhc.org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549" t="s">
        <v>2120</v>
      </c>
      <c r="B100" s="1549"/>
      <c r="C100" s="1549"/>
      <c r="D100" s="1549"/>
      <c r="E100" s="1549"/>
      <c r="F100" s="1549"/>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549"/>
      <c r="AM100" s="1549"/>
      <c r="AN100" s="1549"/>
      <c r="AO100" s="1549"/>
      <c r="AP100" s="1549"/>
      <c r="AQ100" s="1549"/>
      <c r="AR100" s="1549"/>
      <c r="AS100" s="1549"/>
      <c r="AT100" s="1549"/>
      <c r="AU100" s="20"/>
      <c r="AV100" s="20"/>
      <c r="AW100" s="20"/>
      <c r="AX100" s="20"/>
      <c r="AY100" s="20"/>
      <c r="AZ100" s="20"/>
      <c r="BD100" s="1182" t="s">
        <v>2521</v>
      </c>
      <c r="BE100" s="1183" t="str">
        <f>Application!L288</f>
        <v>katherinea@pshhc.org</v>
      </c>
    </row>
    <row r="101" spans="1:57" ht="12.95" customHeight="1">
      <c r="A101" s="1549"/>
      <c r="B101" s="1549"/>
      <c r="C101" s="1549"/>
      <c r="D101" s="1549"/>
      <c r="E101" s="1549"/>
      <c r="F101" s="1549"/>
      <c r="G101" s="1549"/>
      <c r="H101" s="1549"/>
      <c r="I101" s="1549"/>
      <c r="J101" s="1549"/>
      <c r="K101" s="1549"/>
      <c r="L101" s="1549"/>
      <c r="M101" s="1549"/>
      <c r="N101" s="1549"/>
      <c r="O101" s="1549"/>
      <c r="P101" s="1549"/>
      <c r="Q101" s="1549"/>
      <c r="R101" s="1549"/>
      <c r="S101" s="1549"/>
      <c r="T101" s="1549"/>
      <c r="U101" s="1549"/>
      <c r="V101" s="1549"/>
      <c r="W101" s="1549"/>
      <c r="X101" s="1549"/>
      <c r="Y101" s="1549"/>
      <c r="Z101" s="1549"/>
      <c r="AA101" s="1549"/>
      <c r="AB101" s="1549"/>
      <c r="AC101" s="1549"/>
      <c r="AD101" s="1549"/>
      <c r="AE101" s="1549"/>
      <c r="AF101" s="1549"/>
      <c r="AG101" s="1549"/>
      <c r="AH101" s="1549"/>
      <c r="AI101" s="1549"/>
      <c r="AJ101" s="1549"/>
      <c r="AK101" s="1549"/>
      <c r="AL101" s="1549"/>
      <c r="AM101" s="1549"/>
      <c r="AN101" s="1549"/>
      <c r="AO101" s="1549"/>
      <c r="AP101" s="1549"/>
      <c r="AQ101" s="1549"/>
      <c r="AR101" s="1549"/>
      <c r="AS101" s="1549"/>
      <c r="AT101" s="1549"/>
      <c r="AU101" s="20"/>
      <c r="AV101" s="20"/>
      <c r="AW101" s="20"/>
      <c r="AX101" s="20"/>
      <c r="AY101" s="20"/>
      <c r="AZ101" s="20"/>
      <c r="BD101" s="3" t="s">
        <v>2526</v>
      </c>
      <c r="BE101">
        <f>'Sources and Uses Budget'!C105</f>
        <v>26143091</v>
      </c>
    </row>
    <row r="102" spans="1:57" ht="12.95" customHeight="1">
      <c r="A102" s="1549"/>
      <c r="B102" s="1549"/>
      <c r="C102" s="1549"/>
      <c r="D102" s="1549"/>
      <c r="E102" s="1549"/>
      <c r="F102" s="1549"/>
      <c r="G102" s="1549"/>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549"/>
      <c r="AM102" s="1549"/>
      <c r="AN102" s="1549"/>
      <c r="AO102" s="1549"/>
      <c r="AP102" s="1549"/>
      <c r="AQ102" s="1549"/>
      <c r="AR102" s="1549"/>
      <c r="AS102" s="1549"/>
      <c r="AT102" s="1549"/>
      <c r="AU102" s="20"/>
      <c r="AV102" s="20"/>
      <c r="AW102" s="20"/>
      <c r="AX102" s="20"/>
      <c r="AY102" s="20"/>
      <c r="AZ102" s="20"/>
      <c r="BD102" s="3" t="s">
        <v>2527</v>
      </c>
      <c r="BE102" t="b">
        <f>T197="Yes"</f>
        <v>0</v>
      </c>
    </row>
    <row r="103" spans="1:57" ht="12.95" customHeight="1">
      <c r="A103" s="1549"/>
      <c r="B103" s="1549"/>
      <c r="C103" s="1549"/>
      <c r="D103" s="1549"/>
      <c r="E103" s="1549"/>
      <c r="F103" s="1549"/>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549"/>
      <c r="AM103" s="1549"/>
      <c r="AN103" s="1549"/>
      <c r="AO103" s="1549"/>
      <c r="AP103" s="1549"/>
      <c r="AQ103" s="1549"/>
      <c r="AR103" s="1549"/>
      <c r="AS103" s="1549"/>
      <c r="AT103" s="1549"/>
      <c r="AU103" s="20"/>
      <c r="AV103" s="20"/>
      <c r="AW103" s="20"/>
      <c r="AX103" s="20"/>
      <c r="AY103" s="20"/>
      <c r="BD103" t="s">
        <v>2130</v>
      </c>
      <c r="BE103" s="1183"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549" t="s">
        <v>2121</v>
      </c>
      <c r="B105" s="1549"/>
      <c r="C105" s="1549"/>
      <c r="D105" s="1549"/>
      <c r="E105" s="1549"/>
      <c r="F105" s="1549"/>
      <c r="G105" s="1549"/>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549"/>
      <c r="AM105" s="1549"/>
      <c r="AN105" s="1549"/>
      <c r="AO105" s="1549"/>
      <c r="AP105" s="1549"/>
      <c r="AQ105" s="1549"/>
      <c r="AR105" s="1549"/>
      <c r="AS105" s="1549"/>
      <c r="AT105" s="1549"/>
      <c r="AU105" s="20"/>
      <c r="AV105" s="20"/>
      <c r="AW105" s="20"/>
      <c r="AX105" s="20"/>
      <c r="AY105" s="20"/>
      <c r="BD105" s="3" t="s">
        <v>2543</v>
      </c>
      <c r="BE105" s="1183" t="b">
        <f>V224="Yes"</f>
        <v>0</v>
      </c>
    </row>
    <row r="106" spans="1:57" ht="12.95" customHeight="1">
      <c r="A106" s="1549"/>
      <c r="B106" s="1549"/>
      <c r="C106" s="1549"/>
      <c r="D106" s="1549"/>
      <c r="E106" s="1549"/>
      <c r="F106" s="1549"/>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1549"/>
      <c r="AM106" s="1549"/>
      <c r="AN106" s="1549"/>
      <c r="AO106" s="1549"/>
      <c r="AP106" s="1549"/>
      <c r="AQ106" s="1549"/>
      <c r="AR106" s="1549"/>
      <c r="AS106" s="1549"/>
      <c r="AT106" s="1549"/>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1</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1">
        <v>30</v>
      </c>
      <c r="H113" s="1541"/>
      <c r="I113" s="3" t="s">
        <v>182</v>
      </c>
      <c r="L113" s="1541" t="s">
        <v>2782</v>
      </c>
      <c r="M113" s="1541"/>
      <c r="N113" s="1541"/>
      <c r="O113" s="1541"/>
      <c r="P113" s="1557" t="s">
        <v>2611</v>
      </c>
      <c r="Q113" s="1557"/>
      <c r="R113" s="1557"/>
      <c r="S113" s="155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2" t="s">
        <v>69</v>
      </c>
      <c r="D115" s="1542"/>
      <c r="E115" s="1542"/>
      <c r="F115" s="1542"/>
      <c r="G115" s="1542"/>
      <c r="H115" s="1542"/>
      <c r="I115" s="1542"/>
      <c r="J115" s="1542"/>
      <c r="K115" s="1542"/>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1"/>
      <c r="Z117" s="1541"/>
      <c r="AA117" s="1541"/>
      <c r="AB117" s="1541"/>
      <c r="AC117" s="1541"/>
      <c r="AD117" s="1541"/>
      <c r="AE117" s="1541"/>
      <c r="AF117" s="1541"/>
      <c r="AG117" s="1541"/>
      <c r="AH117" s="1541"/>
      <c r="AI117" s="1541"/>
      <c r="AJ117" s="1541"/>
      <c r="AK117" s="1541"/>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1" t="s">
        <v>2657</v>
      </c>
      <c r="Z120" s="1541"/>
      <c r="AA120" s="1541"/>
      <c r="AB120" s="1541"/>
      <c r="AC120" s="1541"/>
      <c r="AD120" s="1541"/>
      <c r="AE120" s="1541"/>
      <c r="AF120" s="1541"/>
      <c r="AG120" s="1541"/>
      <c r="AH120" s="1541"/>
      <c r="AI120" s="1541"/>
      <c r="AJ120" s="1541"/>
      <c r="AK120" s="154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2" t="s">
        <v>468</v>
      </c>
      <c r="CV122" s="1693"/>
      <c r="CW122" s="14"/>
      <c r="CX122" s="14" t="s">
        <v>633</v>
      </c>
      <c r="CY122" s="14"/>
      <c r="CZ122" s="14"/>
      <c r="DA122" s="14"/>
      <c r="DB122" s="14"/>
      <c r="DC122" s="14"/>
      <c r="DD122" s="14"/>
      <c r="DE122" s="14"/>
      <c r="DF122" s="14"/>
      <c r="DG122" s="1689" t="str">
        <f>T189</f>
        <v>San Luis Obispo</v>
      </c>
      <c r="DH122" s="1690"/>
      <c r="DI122" s="1690"/>
      <c r="DJ122" s="1690"/>
      <c r="DK122" s="1690"/>
      <c r="DL122" s="1690"/>
      <c r="DM122" s="1691"/>
    </row>
    <row r="123" spans="1:117" ht="12.95" customHeight="1">
      <c r="A123" s="3"/>
      <c r="B123" s="3"/>
      <c r="T123" s="3"/>
      <c r="U123" s="3"/>
      <c r="V123" s="3"/>
      <c r="W123" s="3"/>
      <c r="X123" s="3"/>
      <c r="Y123" s="1541" t="s">
        <v>2783</v>
      </c>
      <c r="Z123" s="1541"/>
      <c r="AA123" s="1541"/>
      <c r="AB123" s="1541"/>
      <c r="AC123" s="1541"/>
      <c r="AD123" s="1541"/>
      <c r="AE123" s="1541"/>
      <c r="AF123" s="1541"/>
      <c r="AG123" s="1541"/>
      <c r="AH123" s="1541"/>
      <c r="AI123" s="1541"/>
      <c r="AJ123" s="1541"/>
      <c r="AK123" s="154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00"/>
      <c r="G150" s="1400"/>
      <c r="H150" s="1400"/>
      <c r="I150" s="1400"/>
      <c r="J150" s="1400"/>
      <c r="K150" s="1400"/>
      <c r="L150" s="1400"/>
      <c r="M150" s="1400"/>
      <c r="N150" s="1400"/>
      <c r="O150" s="1400"/>
      <c r="P150" s="1400"/>
      <c r="Q150" s="1400"/>
      <c r="R150" s="1400"/>
      <c r="S150" s="1400"/>
      <c r="T150" s="14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644</v>
      </c>
      <c r="O153" s="1503" t="s">
        <v>2647</v>
      </c>
      <c r="P153" s="1506"/>
      <c r="Q153" s="1506"/>
      <c r="R153" s="1506"/>
      <c r="S153" s="1506"/>
      <c r="T153" s="1506"/>
      <c r="U153" s="1506"/>
      <c r="V153" s="1506"/>
      <c r="W153" s="1506"/>
      <c r="X153" s="1506"/>
      <c r="Y153" s="1506"/>
      <c r="Z153" s="1506"/>
      <c r="AA153" s="1506"/>
      <c r="AB153" s="1506"/>
      <c r="AC153" s="1506"/>
      <c r="AD153" s="1506"/>
      <c r="AE153" s="1506"/>
      <c r="AF153" s="1506"/>
      <c r="AG153" s="1506"/>
      <c r="AH153" s="1506"/>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439</v>
      </c>
      <c r="O154" s="1507" t="s">
        <v>2750</v>
      </c>
      <c r="P154" s="1478"/>
      <c r="Q154" s="1478"/>
      <c r="R154" s="1478"/>
      <c r="S154" s="1478"/>
      <c r="T154" s="1478"/>
      <c r="U154" s="1478"/>
      <c r="V154" s="1478"/>
      <c r="W154" s="1478"/>
      <c r="X154" s="1478"/>
      <c r="Y154" s="1478"/>
      <c r="Z154" s="1478"/>
      <c r="AA154" s="1478"/>
      <c r="AB154" s="1478"/>
      <c r="AC154" s="1478"/>
      <c r="AD154" s="1478"/>
      <c r="AE154" s="1478"/>
      <c r="AF154" s="1478"/>
      <c r="AG154" s="1478"/>
      <c r="AH154" s="1478"/>
      <c r="BM154">
        <v>6</v>
      </c>
      <c r="BN154" s="3" t="s">
        <v>2399</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23" t="s">
        <v>2751</v>
      </c>
      <c r="P155" s="1524"/>
      <c r="Q155" s="1524"/>
      <c r="R155" s="1524"/>
      <c r="S155" s="1524"/>
      <c r="T155" s="1524"/>
      <c r="U155" s="1524"/>
      <c r="V155" s="1524"/>
      <c r="W155" s="1524"/>
      <c r="X155" s="1524"/>
      <c r="Y155" s="1524"/>
      <c r="Z155" s="1524"/>
      <c r="AA155" s="1524"/>
      <c r="AB155" s="1524"/>
      <c r="AC155" s="1524"/>
      <c r="AD155" s="1524"/>
      <c r="AE155" s="1524"/>
      <c r="AF155" s="1524"/>
      <c r="AG155" s="1524"/>
      <c r="AH155" s="1524"/>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02" t="s">
        <v>2737</v>
      </c>
      <c r="P156" s="1402"/>
      <c r="Q156" s="1402"/>
      <c r="R156" s="1402"/>
      <c r="S156" s="1402"/>
      <c r="T156" s="1402"/>
      <c r="U156" s="1402"/>
      <c r="V156" s="1402"/>
      <c r="W156" s="1402"/>
      <c r="X156" s="1402"/>
      <c r="Y156" s="1402"/>
      <c r="Z156" s="1402"/>
      <c r="AA156" s="1402"/>
      <c r="AB156" s="1402"/>
      <c r="AC156" s="1402"/>
      <c r="AD156" s="1402"/>
      <c r="AE156" s="1402"/>
      <c r="AF156" s="1402"/>
      <c r="AG156" s="1402"/>
      <c r="AH156" s="1402"/>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03" t="s">
        <v>69</v>
      </c>
      <c r="P157" s="1506"/>
      <c r="Q157" s="1506"/>
      <c r="R157" s="1506"/>
      <c r="S157" s="1506"/>
      <c r="T157" s="1506"/>
      <c r="U157" s="1506"/>
      <c r="V157" s="1506"/>
      <c r="W157" s="1506"/>
      <c r="X157" s="1506"/>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2">
        <v>93408</v>
      </c>
      <c r="P158" s="1552"/>
      <c r="Q158" s="1552"/>
      <c r="R158" s="1552"/>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47" t="s">
        <v>2748</v>
      </c>
      <c r="P159" s="1547"/>
      <c r="Q159" s="1547"/>
      <c r="R159" s="1547"/>
      <c r="S159" s="1547"/>
      <c r="T159" s="1547"/>
      <c r="V159" s="97" t="s">
        <v>271</v>
      </c>
      <c r="W159" s="1553"/>
      <c r="X159" s="1553"/>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47"/>
      <c r="P160" s="1547"/>
      <c r="Q160" s="1547"/>
      <c r="R160" s="1547"/>
      <c r="S160" s="1547"/>
      <c r="T160" s="1547"/>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532" t="s">
        <v>2749</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43" t="s">
        <v>2171</v>
      </c>
      <c r="E164" s="1543"/>
      <c r="F164" s="1543"/>
      <c r="G164" s="1543"/>
      <c r="H164" s="1543"/>
      <c r="I164" s="1543"/>
      <c r="J164" s="1543"/>
      <c r="K164" s="1543"/>
      <c r="L164" s="1543"/>
      <c r="M164" s="1543"/>
      <c r="N164" s="1543"/>
      <c r="O164" s="1543"/>
      <c r="P164" s="1543"/>
      <c r="Q164" s="1543"/>
      <c r="R164" s="1543"/>
      <c r="S164" s="1543"/>
      <c r="T164" s="1543"/>
      <c r="U164" s="1543"/>
      <c r="V164" s="1543"/>
      <c r="W164" s="1543"/>
      <c r="X164" s="1543"/>
      <c r="Y164" s="1543"/>
      <c r="Z164" s="1543"/>
      <c r="AA164" s="1543"/>
      <c r="AB164" s="1543"/>
      <c r="AC164" s="1543"/>
      <c r="AD164" s="1543"/>
      <c r="AE164" s="1543"/>
      <c r="AF164" s="1543"/>
      <c r="AG164" s="1543"/>
      <c r="AH164" s="1543"/>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6" t="s">
        <v>538</v>
      </c>
      <c r="B169" s="1526"/>
      <c r="C169" s="1526"/>
      <c r="D169" s="1526"/>
      <c r="E169" s="1526"/>
      <c r="F169" s="1526"/>
      <c r="G169" s="1526"/>
      <c r="H169" s="1526"/>
      <c r="I169" s="1526"/>
      <c r="J169" s="1526"/>
      <c r="K169" s="1526"/>
      <c r="L169" s="1526"/>
      <c r="M169" s="1526"/>
      <c r="N169" s="1526"/>
      <c r="O169" s="1526"/>
      <c r="P169" s="1526"/>
      <c r="Q169" s="1526"/>
      <c r="R169" s="1526"/>
      <c r="S169" s="1526"/>
      <c r="T169" s="1526"/>
      <c r="U169" s="1526"/>
      <c r="V169" s="1526"/>
      <c r="W169" s="1526"/>
      <c r="X169" s="1526"/>
      <c r="Y169" s="1526"/>
      <c r="Z169" s="1526"/>
      <c r="AA169" s="1526"/>
      <c r="AB169" s="1526"/>
      <c r="AC169" s="1526"/>
      <c r="AD169" s="1526"/>
      <c r="AE169" s="1526"/>
      <c r="AF169" s="1526"/>
      <c r="AG169" s="1526"/>
      <c r="AH169" s="1526"/>
      <c r="AI169" s="1526"/>
      <c r="AJ169" s="1526"/>
      <c r="AK169" s="1526"/>
      <c r="AL169" s="1526"/>
      <c r="AM169" s="1526"/>
      <c r="AN169" s="1526"/>
      <c r="AO169" s="1526"/>
      <c r="AP169" s="1526"/>
      <c r="AQ169" s="1526"/>
      <c r="AR169" s="1526"/>
      <c r="AS169" s="1526"/>
      <c r="AT169" s="152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6"/>
      <c r="B170" s="1526"/>
      <c r="C170" s="1526"/>
      <c r="D170" s="1526"/>
      <c r="E170" s="1526"/>
      <c r="F170" s="1526"/>
      <c r="G170" s="1526"/>
      <c r="H170" s="1526"/>
      <c r="I170" s="1526"/>
      <c r="J170" s="1526"/>
      <c r="K170" s="1526"/>
      <c r="L170" s="1526"/>
      <c r="M170" s="1526"/>
      <c r="N170" s="1526"/>
      <c r="O170" s="1526"/>
      <c r="P170" s="1526"/>
      <c r="Q170" s="1526"/>
      <c r="R170" s="1526"/>
      <c r="S170" s="1526"/>
      <c r="T170" s="1526"/>
      <c r="U170" s="1526"/>
      <c r="V170" s="1526"/>
      <c r="W170" s="1526"/>
      <c r="X170" s="1526"/>
      <c r="Y170" s="1526"/>
      <c r="Z170" s="1526"/>
      <c r="AA170" s="1526"/>
      <c r="AB170" s="1526"/>
      <c r="AC170" s="1526"/>
      <c r="AD170" s="1526"/>
      <c r="AE170" s="1526"/>
      <c r="AF170" s="1526"/>
      <c r="AG170" s="1526"/>
      <c r="AH170" s="1526"/>
      <c r="AI170" s="1526"/>
      <c r="AJ170" s="1526"/>
      <c r="AK170" s="1526"/>
      <c r="AL170" s="1526"/>
      <c r="AM170" s="1526"/>
      <c r="AN170" s="1526"/>
      <c r="AO170" s="1526"/>
      <c r="AP170" s="1526"/>
      <c r="AQ170" s="1526"/>
      <c r="AR170" s="1526"/>
      <c r="AS170" s="1526"/>
      <c r="AT170" s="152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522" t="s">
        <v>371</v>
      </c>
      <c r="K173" s="1522"/>
      <c r="L173" s="1522"/>
      <c r="M173" s="1522"/>
      <c r="N173" s="1522"/>
      <c r="O173" s="1522"/>
      <c r="P173" s="1522"/>
      <c r="Q173" s="1522"/>
      <c r="R173" s="1522"/>
      <c r="S173" s="152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02" t="s">
        <v>2057</v>
      </c>
      <c r="K174" s="1402"/>
      <c r="L174" s="1402"/>
      <c r="M174" s="1402"/>
      <c r="N174" s="1402"/>
      <c r="O174" s="1402"/>
      <c r="P174" s="1402"/>
      <c r="Q174" s="1402"/>
      <c r="R174" s="1402"/>
      <c r="S174" s="1402"/>
      <c r="T174" s="1402"/>
      <c r="U174" s="1402"/>
      <c r="V174" s="1402"/>
      <c r="W174" s="1402"/>
      <c r="X174" s="1402"/>
      <c r="Y174" s="1402"/>
      <c r="Z174" s="1402"/>
      <c r="AA174" s="1402"/>
      <c r="AB174" s="1402"/>
      <c r="BB174" t="s">
        <v>1942</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10" t="s">
        <v>668</v>
      </c>
      <c r="V175" s="1410"/>
      <c r="BB175" t="s">
        <v>1910</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546"/>
      <c r="V176" s="1546"/>
      <c r="W176" s="1" t="s">
        <v>306</v>
      </c>
      <c r="X176" s="1561"/>
      <c r="Y176" s="1561"/>
      <c r="BB176" t="s">
        <v>1943</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10" t="s">
        <v>668</v>
      </c>
      <c r="S177" s="1410"/>
      <c r="BB177" t="s">
        <v>2168</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2036</v>
      </c>
      <c r="AE178" s="27" t="s">
        <v>305</v>
      </c>
      <c r="AF178" s="1560"/>
      <c r="AG178" s="1560"/>
      <c r="AH178" s="1" t="s">
        <v>306</v>
      </c>
      <c r="AI178" s="1512"/>
      <c r="AJ178" s="1512"/>
      <c r="AK178" s="1512"/>
      <c r="BB178" t="s">
        <v>2169</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2636</v>
      </c>
      <c r="X180" s="1410" t="s">
        <v>668</v>
      </c>
      <c r="Y180" s="1410"/>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490" t="str">
        <f>H18</f>
        <v>Rolling Hills III</v>
      </c>
      <c r="J184" s="1490"/>
      <c r="K184" s="1490"/>
      <c r="L184" s="1490"/>
      <c r="M184" s="1490"/>
      <c r="N184" s="1490"/>
      <c r="O184" s="1490"/>
      <c r="P184" s="1490"/>
      <c r="Q184" s="1490"/>
      <c r="R184" s="1490"/>
      <c r="S184" s="1490"/>
      <c r="T184" s="1490"/>
      <c r="U184" s="1490"/>
      <c r="V184" s="1490"/>
      <c r="W184" s="1490"/>
      <c r="X184" s="1490"/>
      <c r="Y184" s="1490"/>
      <c r="Z184" s="1490"/>
      <c r="AA184" s="1490"/>
      <c r="AB184" s="1490"/>
      <c r="AC184" s="1490"/>
      <c r="AD184" s="1490"/>
      <c r="AE184" s="1490"/>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463" t="s">
        <v>2645</v>
      </c>
      <c r="J185" s="1463"/>
      <c r="K185" s="1463"/>
      <c r="L185" s="1463"/>
      <c r="M185" s="1463"/>
      <c r="N185" s="1463"/>
      <c r="O185" s="1463"/>
      <c r="P185" s="1463"/>
      <c r="Q185" s="1463"/>
      <c r="R185" s="1463"/>
      <c r="S185" s="1463"/>
      <c r="T185" s="1463"/>
      <c r="U185" s="1463"/>
      <c r="V185" s="1463"/>
      <c r="W185" s="1463"/>
      <c r="X185" s="1463"/>
      <c r="Y185" s="1463"/>
      <c r="Z185" s="1463"/>
      <c r="AA185" s="1463"/>
      <c r="AB185" s="1463"/>
      <c r="AC185" s="1463"/>
      <c r="AD185" s="1463"/>
      <c r="AE185" s="1463"/>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16"/>
      <c r="F187" s="1516"/>
      <c r="G187" s="1516"/>
      <c r="H187" s="1516"/>
      <c r="I187" s="1516"/>
      <c r="J187" s="1516"/>
      <c r="K187" s="1516"/>
      <c r="L187" s="1516"/>
      <c r="M187" s="1516"/>
      <c r="N187" s="1516"/>
      <c r="O187" s="1516"/>
      <c r="P187" s="1516"/>
      <c r="Q187" s="1516"/>
      <c r="R187" s="1516"/>
      <c r="S187" s="1516"/>
      <c r="T187" s="1516"/>
      <c r="U187" s="1516"/>
      <c r="V187" s="1516"/>
      <c r="W187" s="1516"/>
      <c r="X187" s="1516"/>
      <c r="Y187" s="1516"/>
      <c r="Z187" s="1516"/>
      <c r="AA187" s="1516"/>
      <c r="AB187" s="1516"/>
      <c r="AC187" s="1516"/>
      <c r="AD187" s="1516"/>
      <c r="AE187" s="1516"/>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17"/>
      <c r="F188" s="1517"/>
      <c r="G188" s="1517"/>
      <c r="H188" s="1517"/>
      <c r="I188" s="1517"/>
      <c r="J188" s="1517"/>
      <c r="K188" s="1517"/>
      <c r="L188" s="1517"/>
      <c r="M188" s="1517"/>
      <c r="N188" s="1517"/>
      <c r="O188" s="1517"/>
      <c r="P188" s="1517"/>
      <c r="Q188" s="1517"/>
      <c r="R188" s="1517"/>
      <c r="S188" s="1517"/>
      <c r="T188" s="1517"/>
      <c r="U188" s="1517"/>
      <c r="V188" s="1517"/>
      <c r="W188" s="1517"/>
      <c r="X188" s="1517"/>
      <c r="Y188" s="1517"/>
      <c r="Z188" s="1517"/>
      <c r="AA188" s="1517"/>
      <c r="AB188" s="1517"/>
      <c r="AC188" s="1517"/>
      <c r="AD188" s="1517"/>
      <c r="AE188" s="151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503" t="s">
        <v>2646</v>
      </c>
      <c r="J189" s="1402"/>
      <c r="K189" s="1402"/>
      <c r="L189" s="1402"/>
      <c r="M189" s="1402"/>
      <c r="N189" s="1402"/>
      <c r="O189" s="1402"/>
      <c r="P189" s="1402"/>
      <c r="Q189" t="s">
        <v>581</v>
      </c>
      <c r="T189" s="1402" t="s">
        <v>69</v>
      </c>
      <c r="U189" s="1402"/>
      <c r="V189" s="1402"/>
      <c r="W189" s="1402"/>
      <c r="X189" s="1402"/>
      <c r="Y189" s="1402"/>
      <c r="Z189" s="1402"/>
      <c r="AA189" s="1402"/>
      <c r="AB189" s="1402"/>
      <c r="AC189" s="1402"/>
      <c r="AD189" s="1402"/>
      <c r="AE189" s="140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463">
        <v>93465</v>
      </c>
      <c r="J190" s="1463"/>
      <c r="K190" s="1463"/>
      <c r="L190" s="1463"/>
      <c r="M190" s="1463"/>
      <c r="N190" s="1463"/>
      <c r="O190" t="s">
        <v>584</v>
      </c>
      <c r="T190" s="1550">
        <v>127.07</v>
      </c>
      <c r="U190" s="1550"/>
      <c r="V190" s="1550"/>
      <c r="W190" s="1550"/>
      <c r="X190" s="1550"/>
      <c r="Y190" s="1550"/>
      <c r="Z190" s="1550"/>
      <c r="AA190" s="1550"/>
      <c r="AB190" s="1550"/>
      <c r="AC190" s="1550"/>
      <c r="AD190" s="1550"/>
      <c r="AE190" s="1550"/>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516" t="s">
        <v>2738</v>
      </c>
      <c r="O191" s="1516"/>
      <c r="P191" s="1516"/>
      <c r="Q191" s="1516"/>
      <c r="R191" s="1516"/>
      <c r="S191" s="1516"/>
      <c r="T191" s="1516"/>
      <c r="U191" s="1516"/>
      <c r="V191" s="1516"/>
      <c r="W191" s="1516"/>
      <c r="X191" s="1516"/>
      <c r="Y191" s="1516"/>
      <c r="Z191" s="1516"/>
      <c r="AA191" s="1516"/>
      <c r="AB191" s="1516"/>
      <c r="AC191" s="1516"/>
      <c r="AD191" s="1516"/>
      <c r="AE191" s="1516"/>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17"/>
      <c r="O192" s="1517"/>
      <c r="P192" s="1517"/>
      <c r="Q192" s="1517"/>
      <c r="R192" s="1517"/>
      <c r="S192" s="1517"/>
      <c r="T192" s="1517"/>
      <c r="U192" s="1517"/>
      <c r="V192" s="1517"/>
      <c r="W192" s="1517"/>
      <c r="X192" s="1517"/>
      <c r="Y192" s="1517"/>
      <c r="Z192" s="1517"/>
      <c r="AA192" s="1517"/>
      <c r="AB192" s="1517"/>
      <c r="AC192" s="1517"/>
      <c r="AD192" s="1517"/>
      <c r="AE192" s="1517"/>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554" t="s">
        <v>1942</v>
      </c>
      <c r="U193" s="1554"/>
      <c r="V193" s="1554"/>
      <c r="W193" s="1554"/>
      <c r="X193" s="1554"/>
      <c r="Y193" s="1554"/>
      <c r="Z193" s="1554"/>
      <c r="AA193" s="1554"/>
      <c r="AB193" s="1554"/>
      <c r="AC193" s="1554"/>
      <c r="AD193" s="1554"/>
      <c r="AE193" s="1554"/>
      <c r="AF193" s="1554"/>
      <c r="AG193" s="1554"/>
      <c r="AH193" s="1554"/>
      <c r="AI193" s="1554"/>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410" t="s">
        <v>668</v>
      </c>
      <c r="AI194" s="1410"/>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410" t="s">
        <v>544</v>
      </c>
      <c r="U195" s="1410"/>
      <c r="W195" t="s">
        <v>683</v>
      </c>
      <c r="AH195" s="1410">
        <v>24</v>
      </c>
      <c r="AI195" s="1410"/>
      <c r="BC195" t="s">
        <v>1831</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413" t="s">
        <v>668</v>
      </c>
      <c r="U196" s="1413"/>
      <c r="W196" t="s">
        <v>684</v>
      </c>
      <c r="AH196" s="1410">
        <v>30</v>
      </c>
      <c r="AI196" s="1410"/>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413" t="s">
        <v>668</v>
      </c>
      <c r="U197" s="1413"/>
      <c r="W197" t="s">
        <v>685</v>
      </c>
      <c r="AH197" s="1410">
        <v>17</v>
      </c>
      <c r="AI197" s="1410"/>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539" t="s">
        <v>590</v>
      </c>
      <c r="U198" s="1413"/>
      <c r="V198"/>
      <c r="X198" s="1527" t="s">
        <v>2445</v>
      </c>
      <c r="Y198" s="1527"/>
      <c r="Z198" s="1527"/>
      <c r="AA198" s="1527"/>
      <c r="AB198" s="1527"/>
      <c r="AC198" s="1527"/>
      <c r="AD198" s="1527"/>
      <c r="AE198" s="1527"/>
      <c r="AF198" s="1527"/>
      <c r="AG198" s="1527"/>
      <c r="AH198" s="1527"/>
      <c r="AI198" s="1527"/>
      <c r="AJ198" s="1527"/>
      <c r="AK198" s="1527"/>
      <c r="AL198" s="1527"/>
      <c r="AM198" s="1527"/>
      <c r="AN198" s="1527"/>
      <c r="AO198" s="1527"/>
      <c r="AP198" s="1527"/>
      <c r="AQ198" s="1527"/>
      <c r="AR198" s="1527"/>
      <c r="AS198" s="1527"/>
      <c r="AT198" s="1527"/>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410" t="s">
        <v>544</v>
      </c>
      <c r="U199" s="1410"/>
      <c r="V199"/>
      <c r="W199"/>
      <c r="X199" s="1527"/>
      <c r="Y199" s="1527"/>
      <c r="Z199" s="1527"/>
      <c r="AA199" s="1527"/>
      <c r="AB199" s="1527"/>
      <c r="AC199" s="1527"/>
      <c r="AD199" s="1527"/>
      <c r="AE199" s="1527"/>
      <c r="AF199" s="1527"/>
      <c r="AG199" s="1527"/>
      <c r="AH199" s="1527"/>
      <c r="AI199" s="1527"/>
      <c r="AJ199" s="1527"/>
      <c r="AK199" s="1527"/>
      <c r="AL199" s="1527"/>
      <c r="AM199" s="1527"/>
      <c r="AN199" s="1527"/>
      <c r="AO199" s="1527"/>
      <c r="AP199" s="1527"/>
      <c r="AQ199" s="1527"/>
      <c r="AR199" s="1527"/>
      <c r="AS199" s="1527"/>
      <c r="AT199" s="1527"/>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2446</v>
      </c>
      <c r="T200" s="1410" t="s">
        <v>668</v>
      </c>
      <c r="U200" s="141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90" t="s">
        <v>385</v>
      </c>
      <c r="E204" s="1490"/>
      <c r="F204" s="1490"/>
      <c r="G204" s="1490"/>
      <c r="H204" s="1490"/>
      <c r="I204" s="1490"/>
      <c r="J204" s="1490"/>
      <c r="K204" s="1490"/>
      <c r="L204" s="1490"/>
      <c r="M204" s="1490"/>
      <c r="P204" s="1544">
        <f>M26</f>
        <v>1214859</v>
      </c>
      <c r="Q204" s="1545"/>
      <c r="R204" s="1545"/>
      <c r="S204" s="1545"/>
      <c r="T204" s="1545"/>
      <c r="U204" s="1545"/>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29" t="s">
        <v>1246</v>
      </c>
      <c r="E205" s="1490"/>
      <c r="F205" s="1490"/>
      <c r="G205" s="1490"/>
      <c r="H205" s="1490"/>
      <c r="I205" s="1490"/>
      <c r="J205" s="1490"/>
      <c r="K205" s="1490"/>
      <c r="L205" s="1490"/>
      <c r="M205" s="1490"/>
      <c r="P205" s="1545">
        <f>M27</f>
        <v>5600000</v>
      </c>
      <c r="Q205" s="1545"/>
      <c r="R205" s="1545"/>
      <c r="S205" s="1545"/>
      <c r="T205" s="1545"/>
      <c r="U205" s="1545"/>
      <c r="V205" s="28"/>
      <c r="W205" s="3" t="s">
        <v>1708</v>
      </c>
      <c r="Z205" s="1525" t="s">
        <v>2182</v>
      </c>
      <c r="AA205" s="1525"/>
      <c r="AB205" s="1525"/>
      <c r="AC205" s="1525"/>
      <c r="AD205" s="1525"/>
      <c r="AE205" s="1525"/>
      <c r="AF205" s="1525"/>
      <c r="AG205" s="1525"/>
      <c r="AH205" s="1525"/>
      <c r="AI205" s="1525"/>
      <c r="AJ205" s="1525"/>
      <c r="AK205" s="1525"/>
      <c r="AL205" s="1525"/>
      <c r="AM205" s="1525"/>
      <c r="AN205" s="1525"/>
      <c r="AP205" s="1400"/>
      <c r="AQ205" s="1400"/>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06" t="s">
        <v>2754</v>
      </c>
      <c r="E208" s="1506"/>
      <c r="F208" s="1506"/>
      <c r="G208" s="1506"/>
      <c r="H208" s="1506"/>
      <c r="I208" s="1506"/>
      <c r="J208" s="1506"/>
      <c r="K208" s="1506"/>
      <c r="L208" s="1506"/>
      <c r="M208" s="1506"/>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06" t="s">
        <v>1040</v>
      </c>
      <c r="E211" s="1506"/>
      <c r="F211" s="1506"/>
      <c r="G211" s="1506"/>
      <c r="H211" s="1506"/>
      <c r="I211" s="1506"/>
      <c r="J211" s="1506"/>
      <c r="K211" s="1506"/>
      <c r="L211" s="1506"/>
      <c r="M211" s="150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410"/>
      <c r="R212" s="1410"/>
      <c r="T212" s="1558">
        <f>IFERROR(Q212/AG449,0)</f>
        <v>0</v>
      </c>
      <c r="U212" s="1559"/>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525</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0" t="s">
        <v>590</v>
      </c>
      <c r="E214" s="1540"/>
      <c r="F214" s="1540"/>
      <c r="G214" s="1540"/>
      <c r="H214" s="1540"/>
      <c r="I214" s="1540"/>
      <c r="J214" s="1540"/>
      <c r="K214" s="1540"/>
      <c r="L214" s="1540"/>
      <c r="M214" s="1540"/>
      <c r="N214" s="1540"/>
      <c r="O214" s="1540"/>
      <c r="P214" s="1540"/>
      <c r="Q214" s="1540"/>
      <c r="R214" s="1540"/>
      <c r="S214" s="1540"/>
      <c r="T214" s="1540"/>
      <c r="U214" s="1540"/>
      <c r="V214" s="1540"/>
      <c r="W214" s="1540"/>
      <c r="X214" s="1540"/>
      <c r="Y214" s="1540"/>
      <c r="Z214" s="1540"/>
      <c r="AU214" s="21"/>
      <c r="AV214" s="21"/>
      <c r="AW214" s="21"/>
      <c r="AX214" s="21"/>
      <c r="AY214" s="21"/>
      <c r="BC214" t="s">
        <v>529</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38"/>
      <c r="AC215" s="1538"/>
      <c r="AD215" s="1538"/>
      <c r="AE215" s="1538"/>
      <c r="AF215" s="1538"/>
      <c r="AG215" s="1538"/>
      <c r="AH215" s="1538"/>
      <c r="AI215" s="1538"/>
      <c r="AJ215" s="1538"/>
      <c r="AK215" s="1538"/>
      <c r="AL215" s="1538"/>
      <c r="AM215" s="21"/>
      <c r="AN215" s="21"/>
      <c r="AO215" s="21"/>
      <c r="AP215" s="21"/>
      <c r="AQ215" s="21"/>
      <c r="AR215" s="21"/>
      <c r="AS215" s="21"/>
      <c r="AT215" s="21"/>
      <c r="AU215" s="21"/>
      <c r="AV215" s="21"/>
      <c r="AW215" s="21"/>
      <c r="AX215" s="21"/>
      <c r="AY215" s="21"/>
      <c r="BC215" t="s">
        <v>526</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38"/>
      <c r="AC216" s="1538"/>
      <c r="AD216" s="1538"/>
      <c r="AE216" s="1538"/>
      <c r="AF216" s="1538"/>
      <c r="AG216" s="1538"/>
      <c r="AH216" s="1538"/>
      <c r="AI216" s="1538"/>
      <c r="AJ216" s="1538"/>
      <c r="AK216" s="1538"/>
      <c r="AL216" s="1538"/>
      <c r="AM216" s="21"/>
      <c r="AN216" s="21"/>
      <c r="AO216" s="21"/>
      <c r="AP216" s="21"/>
      <c r="AQ216" s="21"/>
      <c r="AR216" s="21"/>
      <c r="AS216" s="21"/>
      <c r="AT216" s="21"/>
      <c r="AU216" s="21"/>
      <c r="AV216" s="21"/>
      <c r="AW216" s="21"/>
      <c r="AX216" s="21"/>
      <c r="AY216" s="21"/>
      <c r="BC216" t="s">
        <v>565</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2188</v>
      </c>
      <c r="D218" s="28"/>
      <c r="AC218" s="2" t="s">
        <v>2394</v>
      </c>
      <c r="BC218" t="s">
        <v>528</v>
      </c>
    </row>
    <row r="219" spans="1:108" ht="12.95" customHeight="1">
      <c r="A219" s="2"/>
      <c r="C219" s="2"/>
      <c r="D219" s="3" t="s">
        <v>2395</v>
      </c>
      <c r="AZ219" s="3"/>
      <c r="BA219" s="3"/>
      <c r="BC219" t="s">
        <v>377</v>
      </c>
    </row>
    <row r="220" spans="1:108" ht="12.95" customHeight="1">
      <c r="A220" s="2"/>
      <c r="C220" s="2"/>
      <c r="D220" s="1506" t="s">
        <v>2161</v>
      </c>
      <c r="E220" s="1506"/>
      <c r="F220" s="1506"/>
      <c r="G220" s="1506"/>
      <c r="H220" s="1506"/>
      <c r="I220" s="1506"/>
      <c r="J220" s="1506"/>
      <c r="K220" s="1506"/>
      <c r="L220" s="1506"/>
      <c r="M220" s="1506"/>
      <c r="N220" s="1506"/>
      <c r="O220" s="1506"/>
      <c r="P220" s="1506"/>
      <c r="Q220" s="1506"/>
      <c r="R220" s="1506"/>
      <c r="S220" s="1506"/>
      <c r="T220" s="1506"/>
      <c r="U220" s="1506"/>
      <c r="V220" s="1506"/>
      <c r="W220" s="1506"/>
      <c r="X220" s="1506"/>
      <c r="Y220" s="1506"/>
      <c r="Z220" s="1506"/>
      <c r="AC220" s="1528" t="s">
        <v>2396</v>
      </c>
      <c r="AD220" s="1528"/>
      <c r="AE220" s="1528"/>
      <c r="AF220" s="1528"/>
      <c r="AG220" s="1528"/>
      <c r="AH220" s="1528"/>
      <c r="AI220" s="1528"/>
      <c r="AJ220" s="1528"/>
      <c r="AK220" s="1528"/>
      <c r="AL220" s="1528"/>
      <c r="AM220" s="1528"/>
      <c r="AN220" s="1528"/>
      <c r="AO220" s="1528"/>
      <c r="AP220" s="1528"/>
      <c r="AQ220" s="1528"/>
      <c r="BA220" s="3"/>
      <c r="BC220" t="s">
        <v>300</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410" t="s">
        <v>668</v>
      </c>
      <c r="W224" s="1410"/>
      <c r="Y224" s="1193"/>
      <c r="BA224" s="3"/>
    </row>
    <row r="225" spans="1:69" ht="12.95" customHeight="1">
      <c r="A225" s="2"/>
      <c r="B225" s="14"/>
      <c r="C225" s="2"/>
      <c r="E225" s="3" t="s">
        <v>2544</v>
      </c>
      <c r="V225" s="1410" t="s">
        <v>668</v>
      </c>
      <c r="W225" s="141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413" t="s">
        <v>544</v>
      </c>
      <c r="W226" s="141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413" t="s">
        <v>668</v>
      </c>
      <c r="W227" s="141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413" t="s">
        <v>668</v>
      </c>
      <c r="W228" s="141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413" t="s">
        <v>668</v>
      </c>
      <c r="W229" s="141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6" t="s">
        <v>539</v>
      </c>
      <c r="B231" s="1526"/>
      <c r="C231" s="1526"/>
      <c r="D231" s="1526"/>
      <c r="E231" s="1526"/>
      <c r="F231" s="1526"/>
      <c r="G231" s="1526"/>
      <c r="H231" s="1526"/>
      <c r="I231" s="1526"/>
      <c r="J231" s="1526"/>
      <c r="K231" s="1526"/>
      <c r="L231" s="1526"/>
      <c r="M231" s="1526"/>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AL231" s="1526"/>
      <c r="AM231" s="1526"/>
      <c r="AN231" s="1526"/>
      <c r="AO231" s="1526"/>
      <c r="AP231" s="1526"/>
      <c r="AQ231" s="1526"/>
      <c r="AR231" s="1526"/>
      <c r="AS231" s="1526"/>
      <c r="AT231" s="1526"/>
      <c r="AU231" s="95"/>
      <c r="AV231" s="95"/>
      <c r="AW231" s="95"/>
      <c r="AX231" s="95"/>
      <c r="AY231" s="95"/>
      <c r="AZ231" s="3"/>
      <c r="BA231" s="3"/>
      <c r="BP231" s="34"/>
    </row>
    <row r="232" spans="1:69" ht="12.95" customHeight="1">
      <c r="A232" s="1526"/>
      <c r="B232" s="1526"/>
      <c r="C232" s="1526"/>
      <c r="D232" s="1526"/>
      <c r="E232" s="1526"/>
      <c r="F232" s="1526"/>
      <c r="G232" s="1526"/>
      <c r="H232" s="1526"/>
      <c r="I232" s="1526"/>
      <c r="J232" s="1526"/>
      <c r="K232" s="1526"/>
      <c r="L232" s="1526"/>
      <c r="M232" s="1526"/>
      <c r="N232" s="1526"/>
      <c r="O232" s="1526"/>
      <c r="P232" s="1526"/>
      <c r="Q232" s="1526"/>
      <c r="R232" s="1526"/>
      <c r="S232" s="1526"/>
      <c r="T232" s="1526"/>
      <c r="U232" s="1526"/>
      <c r="V232" s="1526"/>
      <c r="W232" s="1526"/>
      <c r="X232" s="1526"/>
      <c r="Y232" s="1526"/>
      <c r="Z232" s="1526"/>
      <c r="AA232" s="1526"/>
      <c r="AB232" s="1526"/>
      <c r="AC232" s="1526"/>
      <c r="AD232" s="1526"/>
      <c r="AE232" s="1526"/>
      <c r="AF232" s="1526"/>
      <c r="AG232" s="1526"/>
      <c r="AH232" s="1526"/>
      <c r="AI232" s="1526"/>
      <c r="AJ232" s="1526"/>
      <c r="AK232" s="1526"/>
      <c r="AL232" s="1526"/>
      <c r="AM232" s="1526"/>
      <c r="AN232" s="1526"/>
      <c r="AO232" s="1526"/>
      <c r="AP232" s="1526"/>
      <c r="AQ232" s="1526"/>
      <c r="AR232" s="1526"/>
      <c r="AS232" s="1526"/>
      <c r="AT232" s="1526"/>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10" t="s">
        <v>590</v>
      </c>
      <c r="AJ235" s="141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10" t="s">
        <v>590</v>
      </c>
      <c r="AJ236" s="141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10" t="s">
        <v>544</v>
      </c>
      <c r="AJ237" s="141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10" t="s">
        <v>590</v>
      </c>
      <c r="AJ238" s="1410"/>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51" t="str">
        <f>H16</f>
        <v xml:space="preserve">People's Self-Help Housing Corporation </v>
      </c>
      <c r="N241" s="1551"/>
      <c r="O241" s="1551"/>
      <c r="P241" s="1551"/>
      <c r="Q241" s="1551"/>
      <c r="R241" s="1551"/>
      <c r="S241" s="1551"/>
      <c r="T241" s="1551"/>
      <c r="U241" s="1551"/>
      <c r="V241" s="1551"/>
      <c r="W241" s="1551"/>
      <c r="X241" s="1551"/>
      <c r="Y241" s="1551"/>
      <c r="Z241" s="1551"/>
      <c r="AA241" s="1551"/>
      <c r="AB241" s="1551"/>
      <c r="AC241" s="1551"/>
      <c r="AD241" s="1551"/>
      <c r="AE241" s="1551"/>
      <c r="AF241" s="1551"/>
      <c r="AG241" s="1551"/>
      <c r="AH241" s="1551"/>
      <c r="AI241" s="1551"/>
      <c r="AJ241" s="1551"/>
      <c r="AK241" s="1551"/>
      <c r="AZ241" s="4"/>
      <c r="BA241" s="3"/>
      <c r="BB241" s="205" t="s">
        <v>537</v>
      </c>
      <c r="BG241" s="241">
        <f>IF(AND(AND($M$258="nonprofit",$M$266="nonprofit",$M$274="for profit")),2,0)</f>
        <v>0</v>
      </c>
    </row>
    <row r="242" spans="1:67" ht="12.95" customHeight="1">
      <c r="D242" s="4" t="s">
        <v>85</v>
      </c>
      <c r="E242" s="4"/>
      <c r="F242" s="4"/>
      <c r="G242" s="4"/>
      <c r="H242" s="4"/>
      <c r="I242" s="4"/>
      <c r="J242" s="4"/>
      <c r="K242" s="4"/>
      <c r="M242" s="1503" t="s">
        <v>2648</v>
      </c>
      <c r="N242" s="1506"/>
      <c r="O242" s="1506"/>
      <c r="P242" s="1506"/>
      <c r="Q242" s="1506"/>
      <c r="R242" s="1506"/>
      <c r="S242" s="1506"/>
      <c r="T242" s="1506"/>
      <c r="U242" s="1506"/>
      <c r="V242" s="1506"/>
      <c r="W242" s="1506"/>
      <c r="X242" s="1506"/>
      <c r="Y242" s="1506"/>
      <c r="Z242" s="1506"/>
      <c r="AA242" s="1506"/>
      <c r="AB242" s="1506"/>
      <c r="AC242" s="1506"/>
      <c r="AD242" s="1506"/>
      <c r="AE242" s="1506"/>
      <c r="BB242" s="205" t="s">
        <v>537</v>
      </c>
      <c r="BG242" s="241">
        <f>IF(AND(AND($M$258="nonprofit",$M$266="for profit",$M$274="nonprofit")),2,0)</f>
        <v>0</v>
      </c>
    </row>
    <row r="243" spans="1:67" ht="12.95" customHeight="1">
      <c r="D243" s="4" t="s">
        <v>579</v>
      </c>
      <c r="E243" s="4"/>
      <c r="M243" s="1503" t="s">
        <v>69</v>
      </c>
      <c r="N243" s="1506"/>
      <c r="O243" s="1506"/>
      <c r="P243" s="1506"/>
      <c r="Q243" s="1506"/>
      <c r="R243" s="1506"/>
      <c r="S243" s="1506"/>
      <c r="T243" s="1506"/>
      <c r="V243" s="33" t="s">
        <v>86</v>
      </c>
      <c r="W243" s="1507" t="s">
        <v>2649</v>
      </c>
      <c r="X243" s="1478"/>
      <c r="Y243" s="4" t="s">
        <v>582</v>
      </c>
      <c r="AC243" s="1506">
        <v>93401</v>
      </c>
      <c r="AD243" s="1506"/>
      <c r="AE243" s="1506"/>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03" t="s">
        <v>2650</v>
      </c>
      <c r="N244" s="1506"/>
      <c r="O244" s="1506"/>
      <c r="P244" s="1506"/>
      <c r="Q244" s="1506"/>
      <c r="R244" s="1506"/>
      <c r="S244" s="1506"/>
      <c r="T244" s="1506"/>
      <c r="U244" s="1506"/>
      <c r="V244" s="1506"/>
      <c r="W244" s="1506"/>
      <c r="X244" s="1506"/>
      <c r="Y244" s="1506"/>
      <c r="Z244" s="1506"/>
      <c r="AA244" s="1506"/>
      <c r="AB244" s="1506"/>
      <c r="AC244" s="1506"/>
      <c r="AD244" s="1506"/>
      <c r="AE244" s="1506"/>
      <c r="AI244" s="4"/>
      <c r="AJ244" s="4"/>
      <c r="AK244" s="4"/>
      <c r="AL244" s="4"/>
      <c r="AM244" s="4"/>
      <c r="AN244" s="4"/>
      <c r="AO244" s="4"/>
      <c r="AP244" s="4"/>
      <c r="AQ244" s="4"/>
      <c r="AR244" s="4"/>
      <c r="AS244" s="4"/>
      <c r="AT244" s="4"/>
      <c r="BB244" s="205"/>
      <c r="BG244" s="204"/>
    </row>
    <row r="245" spans="1:67" ht="12.95" customHeight="1">
      <c r="D245" s="4" t="s">
        <v>88</v>
      </c>
      <c r="E245" s="4"/>
      <c r="F245" s="4"/>
      <c r="M245" s="1424" t="s">
        <v>2651</v>
      </c>
      <c r="N245" s="1425"/>
      <c r="O245" s="1425"/>
      <c r="P245" s="1425"/>
      <c r="Q245" s="1425"/>
      <c r="R245" s="1425"/>
      <c r="S245" s="4" t="s">
        <v>206</v>
      </c>
      <c r="T245" s="4"/>
      <c r="U245" s="1478"/>
      <c r="V245" s="1478"/>
      <c r="W245" s="1478"/>
      <c r="X245" s="4" t="s">
        <v>89</v>
      </c>
      <c r="Z245" s="1425"/>
      <c r="AA245" s="1425"/>
      <c r="AB245" s="1425"/>
      <c r="AC245" s="1425"/>
      <c r="AD245" s="1425"/>
      <c r="AE245" s="1425"/>
      <c r="AU245" s="4"/>
      <c r="AV245" s="4"/>
      <c r="AW245" s="4"/>
      <c r="AX245" s="4"/>
      <c r="AY245" s="4"/>
      <c r="AZ245" s="4"/>
      <c r="BB245" s="204" t="s">
        <v>536</v>
      </c>
      <c r="BG245" s="241">
        <f>IF(AND(AND($M$258="nonprofit",$M$266="nonprofit",$M$274="(select one)")),1,0)</f>
        <v>1</v>
      </c>
    </row>
    <row r="246" spans="1:67" ht="12.95" customHeight="1">
      <c r="D246" s="4" t="s">
        <v>90</v>
      </c>
      <c r="E246" s="4"/>
      <c r="F246" s="4"/>
      <c r="M246" s="1532" t="s">
        <v>2652</v>
      </c>
      <c r="N246" s="1532"/>
      <c r="O246" s="1532"/>
      <c r="P246" s="1532"/>
      <c r="Q246" s="1532"/>
      <c r="R246" s="1532"/>
      <c r="S246" s="1532"/>
      <c r="T246" s="1532"/>
      <c r="U246" s="1532"/>
      <c r="V246" s="1532"/>
      <c r="W246" s="1532"/>
      <c r="X246" s="1532"/>
      <c r="Y246" s="1532"/>
      <c r="Z246" s="1532"/>
      <c r="AA246" s="1532"/>
      <c r="AB246" s="1532"/>
      <c r="AC246" s="1532"/>
      <c r="AD246" s="1532"/>
      <c r="AE246" s="1532"/>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63" t="s">
        <v>377</v>
      </c>
      <c r="N247" s="1463"/>
      <c r="O247" s="1463"/>
      <c r="P247" s="1463"/>
      <c r="Q247" s="1463"/>
      <c r="R247" s="1463"/>
      <c r="S247" s="1463"/>
      <c r="T247" s="1463"/>
      <c r="U247" s="204" t="s">
        <v>905</v>
      </c>
      <c r="V247" s="204"/>
      <c r="W247" s="204"/>
      <c r="X247" s="204"/>
      <c r="Y247" s="204"/>
      <c r="Z247" s="204"/>
      <c r="AA247" s="1556"/>
      <c r="AB247" s="1556"/>
      <c r="AC247" s="1556"/>
      <c r="AD247" s="1556"/>
      <c r="AE247" s="1556"/>
      <c r="AF247" s="1556"/>
      <c r="AG247" s="1556"/>
      <c r="AH247" s="1556"/>
      <c r="AI247" s="1556"/>
      <c r="AJ247" s="1556"/>
      <c r="AK247" s="1556"/>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02"/>
      <c r="N248" s="1402"/>
      <c r="O248" s="1402"/>
      <c r="P248" s="1402"/>
      <c r="Q248" s="1402"/>
      <c r="R248" s="1402"/>
      <c r="S248" s="1402"/>
      <c r="T248" s="1402"/>
      <c r="U248" s="1402"/>
      <c r="V248" s="1402"/>
      <c r="W248" s="1402"/>
      <c r="X248" s="1402"/>
      <c r="Y248" s="1402"/>
      <c r="Z248" s="1402"/>
      <c r="AA248" s="1402"/>
      <c r="AB248" s="1402"/>
      <c r="AC248" s="1402"/>
      <c r="AD248" s="1402"/>
      <c r="AE248" s="140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62" t="s">
        <v>2653</v>
      </c>
      <c r="N252" s="1534"/>
      <c r="O252" s="1534"/>
      <c r="P252" s="1534"/>
      <c r="Q252" s="1534"/>
      <c r="R252" s="1534"/>
      <c r="S252" s="1534"/>
      <c r="T252" s="1534"/>
      <c r="U252" s="1534"/>
      <c r="V252" s="1534"/>
      <c r="W252" s="1534"/>
      <c r="X252" s="1534"/>
      <c r="Y252" s="1534"/>
      <c r="Z252" s="1534"/>
      <c r="AA252" s="1534"/>
      <c r="AB252" s="1534"/>
      <c r="AC252" s="1534"/>
      <c r="AD252" s="1534"/>
      <c r="AE252" s="1534"/>
      <c r="AF252" s="1534" t="s">
        <v>2735</v>
      </c>
      <c r="AG252" s="1534"/>
      <c r="AH252" s="1534"/>
      <c r="AI252" s="1534"/>
      <c r="AJ252" s="1534"/>
      <c r="AK252" s="1534"/>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03" t="s">
        <v>2648</v>
      </c>
      <c r="N253" s="1506"/>
      <c r="O253" s="1506"/>
      <c r="P253" s="1506"/>
      <c r="Q253" s="1506"/>
      <c r="R253" s="1506"/>
      <c r="S253" s="1506"/>
      <c r="T253" s="1506"/>
      <c r="U253" s="1506"/>
      <c r="V253" s="1506"/>
      <c r="W253" s="1506"/>
      <c r="X253" s="1506"/>
      <c r="Y253" s="1506"/>
      <c r="Z253" s="1506"/>
      <c r="AA253" s="1506"/>
      <c r="AB253" s="1506"/>
      <c r="AC253" s="1506"/>
      <c r="AD253" s="1506"/>
      <c r="AE253" s="1506"/>
      <c r="AF253" s="3" t="s">
        <v>1178</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503" t="s">
        <v>69</v>
      </c>
      <c r="N254" s="1506"/>
      <c r="O254" s="1506"/>
      <c r="P254" s="1506"/>
      <c r="Q254" s="1506"/>
      <c r="R254" s="1506"/>
      <c r="S254" s="1506"/>
      <c r="T254" s="1506"/>
      <c r="V254" s="33" t="s">
        <v>86</v>
      </c>
      <c r="W254" s="1507" t="s">
        <v>2649</v>
      </c>
      <c r="X254" s="1478"/>
      <c r="Y254" s="4" t="s">
        <v>582</v>
      </c>
      <c r="AC254" s="1506">
        <v>93401</v>
      </c>
      <c r="AD254" s="1506"/>
      <c r="AE254" s="1506"/>
      <c r="AF254" s="3" t="s">
        <v>1179</v>
      </c>
      <c r="AU254" s="4"/>
      <c r="AV254" s="4"/>
      <c r="AW254" s="4"/>
      <c r="AX254" s="4"/>
      <c r="AY254" s="4"/>
      <c r="BB254" s="4" t="s">
        <v>280</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503" t="s">
        <v>2650</v>
      </c>
      <c r="N255" s="1506"/>
      <c r="O255" s="1506"/>
      <c r="P255" s="1506"/>
      <c r="Q255" s="1506"/>
      <c r="R255" s="1506"/>
      <c r="S255" s="1506"/>
      <c r="T255" s="1506"/>
      <c r="U255" s="1506"/>
      <c r="V255" s="1506"/>
      <c r="W255" s="1506"/>
      <c r="X255" s="1506"/>
      <c r="Y255" s="1506"/>
      <c r="Z255" s="1506"/>
      <c r="AA255" s="1506"/>
      <c r="AB255" s="1506"/>
      <c r="AC255" s="1506"/>
      <c r="AD255" s="1506"/>
      <c r="AE255" s="1506"/>
      <c r="AH255" s="1530">
        <v>99.99</v>
      </c>
      <c r="AI255" s="1530"/>
      <c r="AJ255" s="1530"/>
      <c r="AK255" s="1530"/>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424" t="s">
        <v>2651</v>
      </c>
      <c r="N256" s="1425"/>
      <c r="O256" s="1425"/>
      <c r="P256" s="1425"/>
      <c r="Q256" s="1425"/>
      <c r="R256" s="1425"/>
      <c r="S256" s="4" t="s">
        <v>206</v>
      </c>
      <c r="T256" s="4"/>
      <c r="U256" s="1478"/>
      <c r="V256" s="1478"/>
      <c r="W256" s="1478"/>
      <c r="X256" s="4" t="s">
        <v>89</v>
      </c>
      <c r="Z256" s="1425"/>
      <c r="AA256" s="1425"/>
      <c r="AB256" s="1425"/>
      <c r="AC256" s="1425"/>
      <c r="AD256" s="1425"/>
      <c r="AE256" s="1425"/>
      <c r="AU256" s="4"/>
      <c r="AV256" s="4"/>
      <c r="AW256" s="4"/>
      <c r="AX256" s="4"/>
      <c r="AY256" s="4"/>
      <c r="BG256">
        <v>0</v>
      </c>
      <c r="BH256" s="3" t="str">
        <f>""</f>
        <v/>
      </c>
      <c r="BN256" s="34"/>
    </row>
    <row r="257" spans="1:66" ht="12.95" customHeight="1">
      <c r="A257" s="19"/>
      <c r="B257" s="4"/>
      <c r="C257" s="4"/>
      <c r="D257" s="4" t="s">
        <v>90</v>
      </c>
      <c r="E257" s="4"/>
      <c r="F257" s="4"/>
      <c r="M257" s="1532" t="s">
        <v>2652</v>
      </c>
      <c r="N257" s="1532"/>
      <c r="O257" s="1532"/>
      <c r="P257" s="1532"/>
      <c r="Q257" s="1532"/>
      <c r="R257" s="1532"/>
      <c r="S257" s="1532"/>
      <c r="T257" s="1532"/>
      <c r="U257" s="1532"/>
      <c r="V257" s="1532"/>
      <c r="W257" s="1532"/>
      <c r="X257" s="1532"/>
      <c r="Y257" s="1532"/>
      <c r="Z257" s="1532"/>
      <c r="AA257" s="1532"/>
      <c r="AB257" s="1532"/>
      <c r="AC257" s="1532"/>
      <c r="AD257" s="1532"/>
      <c r="AE257" s="1532"/>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63" t="s">
        <v>533</v>
      </c>
      <c r="N258" s="1463"/>
      <c r="O258" s="1463"/>
      <c r="P258" s="1463"/>
      <c r="Q258" s="1463"/>
      <c r="R258" s="1463"/>
      <c r="S258" s="1463"/>
      <c r="T258" s="1463"/>
      <c r="U258" s="204" t="s">
        <v>905</v>
      </c>
      <c r="V258" s="204"/>
      <c r="W258" s="204"/>
      <c r="X258" s="204"/>
      <c r="Y258" s="204"/>
      <c r="Z258" s="204"/>
      <c r="AA258" s="1555" t="s">
        <v>2654</v>
      </c>
      <c r="AB258" s="1556"/>
      <c r="AC258" s="1556"/>
      <c r="AD258" s="1556"/>
      <c r="AE258" s="1556"/>
      <c r="AF258" s="1556"/>
      <c r="AG258" s="1556"/>
      <c r="AH258" s="1556"/>
      <c r="AI258" s="1556"/>
      <c r="AJ258" s="1556"/>
      <c r="AK258" s="155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62" t="s">
        <v>2655</v>
      </c>
      <c r="N260" s="1534"/>
      <c r="O260" s="1534"/>
      <c r="P260" s="1534"/>
      <c r="Q260" s="1534"/>
      <c r="R260" s="1534"/>
      <c r="S260" s="1534"/>
      <c r="T260" s="1534"/>
      <c r="U260" s="1534"/>
      <c r="V260" s="1534"/>
      <c r="W260" s="1534"/>
      <c r="X260" s="1534"/>
      <c r="Y260" s="1534"/>
      <c r="Z260" s="1534"/>
      <c r="AA260" s="1534"/>
      <c r="AB260" s="1534"/>
      <c r="AC260" s="1534"/>
      <c r="AD260" s="1534"/>
      <c r="AE260" s="1534"/>
      <c r="AF260" s="1534" t="s">
        <v>2736</v>
      </c>
      <c r="AG260" s="1534"/>
      <c r="AH260" s="1534"/>
      <c r="AI260" s="1534"/>
      <c r="AJ260" s="1534"/>
      <c r="AK260" s="1534"/>
      <c r="AU260" s="4"/>
      <c r="AV260" s="4"/>
      <c r="AW260" s="4"/>
      <c r="AX260" s="4"/>
      <c r="AY260" s="4"/>
      <c r="BN260" s="34"/>
    </row>
    <row r="261" spans="1:66" ht="12.95" customHeight="1">
      <c r="A261" s="19"/>
      <c r="B261" s="4"/>
      <c r="C261" s="4"/>
      <c r="D261" s="4" t="s">
        <v>85</v>
      </c>
      <c r="E261" s="4"/>
      <c r="F261" s="4"/>
      <c r="G261" s="4"/>
      <c r="H261" s="4"/>
      <c r="I261" s="4"/>
      <c r="J261" s="4"/>
      <c r="K261" s="4"/>
      <c r="L261" s="4"/>
      <c r="M261" s="1503" t="s">
        <v>2648</v>
      </c>
      <c r="N261" s="1506"/>
      <c r="O261" s="1506"/>
      <c r="P261" s="1506"/>
      <c r="Q261" s="1506"/>
      <c r="R261" s="1506"/>
      <c r="S261" s="1506"/>
      <c r="T261" s="1506"/>
      <c r="U261" s="1506"/>
      <c r="V261" s="1506"/>
      <c r="W261" s="1506"/>
      <c r="X261" s="1506"/>
      <c r="Y261" s="1506"/>
      <c r="Z261" s="1506"/>
      <c r="AA261" s="1506"/>
      <c r="AB261" s="1506"/>
      <c r="AC261" s="1506"/>
      <c r="AD261" s="1506"/>
      <c r="AE261" s="1506"/>
      <c r="AF261" s="3" t="s">
        <v>1178</v>
      </c>
      <c r="AL261" s="4"/>
      <c r="AM261" s="4"/>
      <c r="AN261" s="4"/>
      <c r="AO261" s="4"/>
      <c r="AP261" s="4"/>
      <c r="AQ261" s="4"/>
      <c r="AR261" s="4"/>
      <c r="AS261" s="4"/>
      <c r="AT261" s="4"/>
      <c r="BN261" s="34"/>
    </row>
    <row r="262" spans="1:66" ht="12.95" customHeight="1">
      <c r="A262" s="19"/>
      <c r="B262" s="4"/>
      <c r="C262" s="4"/>
      <c r="D262" s="4" t="s">
        <v>579</v>
      </c>
      <c r="E262" s="4"/>
      <c r="M262" s="1503" t="s">
        <v>69</v>
      </c>
      <c r="N262" s="1506"/>
      <c r="O262" s="1506"/>
      <c r="P262" s="1506"/>
      <c r="Q262" s="1506"/>
      <c r="R262" s="1506"/>
      <c r="S262" s="1506"/>
      <c r="T262" s="1506"/>
      <c r="V262" s="33" t="s">
        <v>86</v>
      </c>
      <c r="W262" s="1507" t="s">
        <v>2649</v>
      </c>
      <c r="X262" s="1478"/>
      <c r="Y262" s="4" t="s">
        <v>582</v>
      </c>
      <c r="AC262" s="1506">
        <v>93401</v>
      </c>
      <c r="AD262" s="1506"/>
      <c r="AE262" s="1506"/>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03" t="s">
        <v>2650</v>
      </c>
      <c r="N263" s="1506"/>
      <c r="O263" s="1506"/>
      <c r="P263" s="1506"/>
      <c r="Q263" s="1506"/>
      <c r="R263" s="1506"/>
      <c r="S263" s="1506"/>
      <c r="T263" s="1506"/>
      <c r="U263" s="1506"/>
      <c r="V263" s="1506"/>
      <c r="W263" s="1506"/>
      <c r="X263" s="1506"/>
      <c r="Y263" s="1506"/>
      <c r="Z263" s="1506"/>
      <c r="AA263" s="1506"/>
      <c r="AB263" s="1506"/>
      <c r="AC263" s="1506"/>
      <c r="AD263" s="1506"/>
      <c r="AE263" s="1506"/>
      <c r="AH263" s="1530">
        <v>0.01</v>
      </c>
      <c r="AI263" s="1530"/>
      <c r="AJ263" s="1530"/>
      <c r="AK263" s="1530"/>
      <c r="AL263" s="4"/>
      <c r="AM263" s="4"/>
      <c r="AN263" s="4"/>
      <c r="AO263" s="4"/>
      <c r="AP263" s="4"/>
      <c r="AQ263" s="4"/>
      <c r="AR263" s="4"/>
      <c r="AS263" s="4"/>
      <c r="AT263" s="4"/>
    </row>
    <row r="264" spans="1:66" ht="12.95" customHeight="1">
      <c r="A264" s="19"/>
      <c r="B264" s="4"/>
      <c r="C264" s="4"/>
      <c r="D264" s="4" t="s">
        <v>88</v>
      </c>
      <c r="E264" s="4"/>
      <c r="F264" s="4"/>
      <c r="M264" s="1424" t="s">
        <v>2651</v>
      </c>
      <c r="N264" s="1425"/>
      <c r="O264" s="1425"/>
      <c r="P264" s="1425"/>
      <c r="Q264" s="1425"/>
      <c r="R264" s="1425"/>
      <c r="S264" s="4" t="s">
        <v>206</v>
      </c>
      <c r="T264" s="4"/>
      <c r="U264" s="1478"/>
      <c r="V264" s="1478"/>
      <c r="W264" s="1478"/>
      <c r="X264" s="4" t="s">
        <v>89</v>
      </c>
      <c r="Z264" s="1425"/>
      <c r="AA264" s="1425"/>
      <c r="AB264" s="1425"/>
      <c r="AC264" s="1425"/>
      <c r="AD264" s="1425"/>
      <c r="AE264" s="1425"/>
      <c r="AU264" s="4"/>
      <c r="AV264" s="4"/>
      <c r="AW264" s="4"/>
      <c r="AX264" s="4"/>
      <c r="AY264" s="4"/>
      <c r="BN264" s="34"/>
    </row>
    <row r="265" spans="1:66" ht="12.95" customHeight="1">
      <c r="A265" s="19"/>
      <c r="B265" s="4"/>
      <c r="C265" s="4"/>
      <c r="D265" s="4" t="s">
        <v>90</v>
      </c>
      <c r="E265" s="4"/>
      <c r="F265" s="4"/>
      <c r="M265" s="1532" t="s">
        <v>2652</v>
      </c>
      <c r="N265" s="1532"/>
      <c r="O265" s="1532"/>
      <c r="P265" s="1532"/>
      <c r="Q265" s="1532"/>
      <c r="R265" s="1532"/>
      <c r="S265" s="1532"/>
      <c r="T265" s="1532"/>
      <c r="U265" s="1532"/>
      <c r="V265" s="1532"/>
      <c r="W265" s="1532"/>
      <c r="X265" s="1532"/>
      <c r="Y265" s="1532"/>
      <c r="Z265" s="1532"/>
      <c r="AA265" s="1532"/>
      <c r="AB265" s="1532"/>
      <c r="AC265" s="1532"/>
      <c r="AD265" s="1532"/>
      <c r="AE265" s="1532"/>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63" t="s">
        <v>533</v>
      </c>
      <c r="N266" s="1463"/>
      <c r="O266" s="1463"/>
      <c r="P266" s="1463"/>
      <c r="Q266" s="1463"/>
      <c r="R266" s="1463"/>
      <c r="S266" s="1463"/>
      <c r="T266" s="1463"/>
      <c r="U266" s="204" t="s">
        <v>905</v>
      </c>
      <c r="V266" s="204"/>
      <c r="W266" s="204"/>
      <c r="X266" s="204"/>
      <c r="Y266" s="204"/>
      <c r="Z266" s="204"/>
      <c r="AA266" s="1555" t="s">
        <v>2654</v>
      </c>
      <c r="AB266" s="1556"/>
      <c r="AC266" s="1556"/>
      <c r="AD266" s="1556"/>
      <c r="AE266" s="1556"/>
      <c r="AF266" s="1556"/>
      <c r="AG266" s="1556"/>
      <c r="AH266" s="1556"/>
      <c r="AI266" s="1556"/>
      <c r="AJ266" s="1556"/>
      <c r="AK266" s="155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34"/>
      <c r="N268" s="1534"/>
      <c r="O268" s="1534"/>
      <c r="P268" s="1534"/>
      <c r="Q268" s="1534"/>
      <c r="R268" s="1534"/>
      <c r="S268" s="1534"/>
      <c r="T268" s="1534"/>
      <c r="U268" s="1534"/>
      <c r="V268" s="1534"/>
      <c r="W268" s="1534"/>
      <c r="X268" s="1534"/>
      <c r="Y268" s="1534"/>
      <c r="Z268" s="1534"/>
      <c r="AA268" s="1534"/>
      <c r="AB268" s="1534"/>
      <c r="AC268" s="1534"/>
      <c r="AD268" s="1534"/>
      <c r="AE268" s="1534"/>
      <c r="AF268" s="1534" t="s">
        <v>307</v>
      </c>
      <c r="AG268" s="1534"/>
      <c r="AH268" s="1534"/>
      <c r="AI268" s="1534"/>
      <c r="AJ268" s="1534"/>
      <c r="AK268" s="1534"/>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06"/>
      <c r="N269" s="1506"/>
      <c r="O269" s="1506"/>
      <c r="P269" s="1506"/>
      <c r="Q269" s="1506"/>
      <c r="R269" s="1506"/>
      <c r="S269" s="1506"/>
      <c r="T269" s="1506"/>
      <c r="U269" s="1506"/>
      <c r="V269" s="1506"/>
      <c r="W269" s="1506"/>
      <c r="X269" s="1506"/>
      <c r="Y269" s="1506"/>
      <c r="Z269" s="1506"/>
      <c r="AA269" s="1506"/>
      <c r="AB269" s="1506"/>
      <c r="AC269" s="1506"/>
      <c r="AD269" s="1506"/>
      <c r="AE269" s="1506"/>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06"/>
      <c r="N270" s="1506"/>
      <c r="O270" s="1506"/>
      <c r="P270" s="1506"/>
      <c r="Q270" s="1506"/>
      <c r="R270" s="1506"/>
      <c r="S270" s="1506"/>
      <c r="T270" s="1506"/>
      <c r="V270" s="33" t="s">
        <v>86</v>
      </c>
      <c r="W270" s="1478"/>
      <c r="X270" s="1478"/>
      <c r="Y270" s="4" t="s">
        <v>582</v>
      </c>
      <c r="AC270" s="1506"/>
      <c r="AD270" s="1506"/>
      <c r="AE270" s="1506"/>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06"/>
      <c r="N271" s="1506"/>
      <c r="O271" s="1506"/>
      <c r="P271" s="1506"/>
      <c r="Q271" s="1506"/>
      <c r="R271" s="1506"/>
      <c r="S271" s="1506"/>
      <c r="T271" s="1506"/>
      <c r="U271" s="1506"/>
      <c r="V271" s="1506"/>
      <c r="W271" s="1506"/>
      <c r="X271" s="1506"/>
      <c r="Y271" s="1506"/>
      <c r="Z271" s="1506"/>
      <c r="AA271" s="1506"/>
      <c r="AB271" s="1506"/>
      <c r="AC271" s="1506"/>
      <c r="AD271" s="1506"/>
      <c r="AE271" s="1506"/>
      <c r="AH271" s="1530"/>
      <c r="AI271" s="1530"/>
      <c r="AJ271" s="1530"/>
      <c r="AK271" s="1530"/>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25"/>
      <c r="N272" s="1425"/>
      <c r="O272" s="1425"/>
      <c r="P272" s="1425"/>
      <c r="Q272" s="1425"/>
      <c r="R272" s="1425"/>
      <c r="S272" s="4" t="s">
        <v>206</v>
      </c>
      <c r="T272" s="4"/>
      <c r="U272" s="1478"/>
      <c r="V272" s="1478"/>
      <c r="W272" s="1478"/>
      <c r="X272" s="4" t="s">
        <v>89</v>
      </c>
      <c r="Z272" s="1425"/>
      <c r="AA272" s="1425"/>
      <c r="AB272" s="1425"/>
      <c r="AC272" s="1425"/>
      <c r="AD272" s="1425"/>
      <c r="AE272" s="142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32"/>
      <c r="N273" s="1532"/>
      <c r="O273" s="1532"/>
      <c r="P273" s="1532"/>
      <c r="Q273" s="1532"/>
      <c r="R273" s="1532"/>
      <c r="S273" s="1532"/>
      <c r="T273" s="1532"/>
      <c r="U273" s="1532"/>
      <c r="V273" s="1532"/>
      <c r="W273" s="1532"/>
      <c r="X273" s="1532"/>
      <c r="Y273" s="1532"/>
      <c r="Z273" s="1532"/>
      <c r="AA273" s="1533"/>
      <c r="AB273" s="1533"/>
      <c r="AC273" s="1533"/>
      <c r="AD273" s="1533"/>
      <c r="AE273" s="1533"/>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63" t="s">
        <v>307</v>
      </c>
      <c r="N274" s="1463"/>
      <c r="O274" s="1463"/>
      <c r="P274" s="1463"/>
      <c r="Q274" s="1463"/>
      <c r="R274" s="1463"/>
      <c r="S274" s="1463"/>
      <c r="T274" s="1463"/>
      <c r="U274" s="204" t="s">
        <v>905</v>
      </c>
      <c r="V274" s="204"/>
      <c r="W274" s="204"/>
      <c r="X274" s="204"/>
      <c r="Y274" s="204"/>
      <c r="Z274" s="204"/>
      <c r="AA274" s="1563"/>
      <c r="AB274" s="1563"/>
      <c r="AC274" s="1563"/>
      <c r="AD274" s="1563"/>
      <c r="AE274" s="1563"/>
      <c r="AF274" s="1563"/>
      <c r="AG274" s="1563"/>
      <c r="AH274" s="1563"/>
      <c r="AI274" s="1563"/>
      <c r="AJ274" s="1563"/>
      <c r="AK274" s="1563"/>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564" t="str">
        <f>IFERROR(BO254,"")</f>
        <v>Nonprofit</v>
      </c>
      <c r="U276" s="1564"/>
      <c r="V276" s="1564"/>
      <c r="W276" s="1564"/>
      <c r="X276" s="1564"/>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06" t="s">
        <v>280</v>
      </c>
      <c r="E279" s="1506"/>
      <c r="F279" s="1506"/>
      <c r="G279" s="1506"/>
      <c r="H279" s="1506"/>
      <c r="J279" t="s">
        <v>279</v>
      </c>
      <c r="X279" s="1531"/>
      <c r="Y279" s="1531"/>
      <c r="Z279" s="1531"/>
      <c r="AA279" s="1531"/>
      <c r="AB279" s="1531"/>
      <c r="AC279" s="1531"/>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62" t="s">
        <v>2654</v>
      </c>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3" t="s">
        <v>2648</v>
      </c>
      <c r="M284" s="1506"/>
      <c r="N284" s="1506"/>
      <c r="O284" s="1506"/>
      <c r="P284" s="1506"/>
      <c r="Q284" s="1506"/>
      <c r="R284" s="1506"/>
      <c r="S284" s="1506"/>
      <c r="T284" s="1506"/>
      <c r="U284" s="1506"/>
      <c r="V284" s="1506"/>
      <c r="W284" s="1506"/>
      <c r="X284" s="1506"/>
      <c r="Y284" s="1506"/>
      <c r="Z284" s="1506"/>
      <c r="AA284" s="1506"/>
      <c r="AB284" s="1506"/>
      <c r="AC284" s="1506"/>
      <c r="AD284" s="1506"/>
      <c r="AK284" s="3"/>
      <c r="AL284" s="3"/>
      <c r="AM284" s="3"/>
      <c r="AN284" s="3"/>
      <c r="AO284" s="3"/>
      <c r="AP284" s="3"/>
      <c r="AQ284" s="3"/>
      <c r="AR284" s="3"/>
      <c r="AS284" s="3"/>
      <c r="AT284" s="3"/>
      <c r="AU284" s="3"/>
      <c r="AV284" s="3"/>
      <c r="AW284" s="3"/>
      <c r="AX284" s="3"/>
      <c r="AY284" s="3"/>
    </row>
    <row r="285" spans="1:51" ht="12.95" customHeight="1">
      <c r="D285" s="4" t="s">
        <v>579</v>
      </c>
      <c r="E285" s="4"/>
      <c r="L285" s="1503" t="s">
        <v>69</v>
      </c>
      <c r="M285" s="1506"/>
      <c r="N285" s="1506"/>
      <c r="O285" s="1506"/>
      <c r="P285" s="1506"/>
      <c r="Q285" s="1506"/>
      <c r="R285" s="1506"/>
      <c r="S285" s="1506"/>
      <c r="U285" s="33" t="s">
        <v>86</v>
      </c>
      <c r="V285" s="1507" t="s">
        <v>2649</v>
      </c>
      <c r="W285" s="1478"/>
      <c r="X285" s="4" t="s">
        <v>582</v>
      </c>
      <c r="AB285" s="1506">
        <v>93401</v>
      </c>
      <c r="AC285" s="1506"/>
      <c r="AD285" s="150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3" t="s">
        <v>2650</v>
      </c>
      <c r="M286" s="1506"/>
      <c r="N286" s="1506"/>
      <c r="O286" s="1506"/>
      <c r="P286" s="1506"/>
      <c r="Q286" s="1506"/>
      <c r="R286" s="1506"/>
      <c r="S286" s="1506"/>
      <c r="T286" s="1506"/>
      <c r="U286" s="1506"/>
      <c r="V286" s="1506"/>
      <c r="W286" s="1506"/>
      <c r="X286" s="1506"/>
      <c r="Y286" s="1506"/>
      <c r="Z286" s="1506"/>
      <c r="AA286" s="1506"/>
      <c r="AB286" s="1506"/>
      <c r="AC286" s="1506"/>
      <c r="AD286" s="1506"/>
      <c r="AI286" s="4"/>
      <c r="AJ286" s="4"/>
      <c r="AK286" s="3"/>
      <c r="AL286" s="3"/>
      <c r="AM286" s="3"/>
      <c r="AN286" s="3"/>
      <c r="AO286" s="3"/>
      <c r="AP286" s="3"/>
      <c r="AQ286" s="3"/>
      <c r="AR286" s="3"/>
      <c r="AS286" s="3"/>
      <c r="AT286" s="3"/>
    </row>
    <row r="287" spans="1:51" ht="12.95" customHeight="1">
      <c r="D287" s="4" t="s">
        <v>88</v>
      </c>
      <c r="E287" s="4"/>
      <c r="F287" s="4"/>
      <c r="L287" s="1424" t="s">
        <v>2651</v>
      </c>
      <c r="M287" s="1425"/>
      <c r="N287" s="1425"/>
      <c r="O287" s="1425"/>
      <c r="P287" s="1425"/>
      <c r="Q287" s="1425"/>
      <c r="R287" s="4" t="s">
        <v>206</v>
      </c>
      <c r="S287" s="4"/>
      <c r="T287" s="1478"/>
      <c r="U287" s="1478"/>
      <c r="V287" s="1478"/>
      <c r="W287" s="4" t="s">
        <v>89</v>
      </c>
      <c r="Y287" s="1425"/>
      <c r="Z287" s="1425"/>
      <c r="AA287" s="1425"/>
      <c r="AB287" s="1425"/>
      <c r="AC287" s="1425"/>
      <c r="AD287" s="1425"/>
    </row>
    <row r="288" spans="1:51" ht="12.95" customHeight="1">
      <c r="D288" s="4" t="s">
        <v>90</v>
      </c>
      <c r="E288" s="4"/>
      <c r="F288" s="4"/>
      <c r="L288" s="1532" t="s">
        <v>2652</v>
      </c>
      <c r="M288" s="1532"/>
      <c r="N288" s="1532"/>
      <c r="O288" s="1532"/>
      <c r="P288" s="1532"/>
      <c r="Q288" s="1532"/>
      <c r="R288" s="1532"/>
      <c r="S288" s="1532"/>
      <c r="T288" s="1532"/>
      <c r="U288" s="1532"/>
      <c r="V288" s="1532"/>
      <c r="W288" s="1532"/>
      <c r="X288" s="1532"/>
      <c r="Y288" s="1532"/>
      <c r="Z288" s="1532"/>
      <c r="AA288" s="1532"/>
      <c r="AB288" s="1532"/>
      <c r="AC288" s="1532"/>
      <c r="AD288" s="1532"/>
      <c r="AF288" s="4"/>
      <c r="AG288" s="4"/>
      <c r="AH288" s="4"/>
      <c r="AI288" s="4"/>
      <c r="AJ288" s="4"/>
      <c r="AU288" s="3"/>
      <c r="AV288" s="3"/>
      <c r="AW288" s="3"/>
      <c r="AX288" s="3"/>
      <c r="AY288" s="3"/>
    </row>
    <row r="289" spans="1:51" ht="12.95" customHeight="1">
      <c r="D289" s="3" t="s">
        <v>622</v>
      </c>
      <c r="E289" s="3"/>
      <c r="F289" s="3"/>
      <c r="G289" s="3"/>
      <c r="H289" s="3"/>
      <c r="I289" s="3"/>
      <c r="L289" s="1507" t="s">
        <v>2656</v>
      </c>
      <c r="M289" s="1507"/>
      <c r="N289" s="1507"/>
      <c r="O289" s="1507"/>
      <c r="P289" s="1507"/>
      <c r="Q289" s="1507"/>
      <c r="R289" s="1507"/>
      <c r="S289" s="1507"/>
      <c r="T289" s="1507"/>
      <c r="U289" s="1507"/>
      <c r="V289" s="1507"/>
      <c r="W289" s="1507"/>
      <c r="X289" s="1507"/>
      <c r="Y289" s="1507"/>
      <c r="Z289" s="1507"/>
      <c r="AA289" s="1507"/>
      <c r="AB289" s="1507"/>
      <c r="AC289" s="1507"/>
      <c r="AD289" s="1507"/>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6" t="s">
        <v>540</v>
      </c>
      <c r="B291" s="1526"/>
      <c r="C291" s="1526"/>
      <c r="D291" s="1526"/>
      <c r="E291" s="1526"/>
      <c r="F291" s="1526"/>
      <c r="G291" s="1526"/>
      <c r="H291" s="1526"/>
      <c r="I291" s="1526"/>
      <c r="J291" s="1526"/>
      <c r="K291" s="1526"/>
      <c r="L291" s="1526"/>
      <c r="M291" s="1526"/>
      <c r="N291" s="1526"/>
      <c r="O291" s="1526"/>
      <c r="P291" s="1526"/>
      <c r="Q291" s="1526"/>
      <c r="R291" s="1526"/>
      <c r="S291" s="1526"/>
      <c r="T291" s="1526"/>
      <c r="U291" s="1526"/>
      <c r="V291" s="1526"/>
      <c r="W291" s="1526"/>
      <c r="X291" s="1526"/>
      <c r="Y291" s="1526"/>
      <c r="Z291" s="1526"/>
      <c r="AA291" s="1526"/>
      <c r="AB291" s="1526"/>
      <c r="AC291" s="1526"/>
      <c r="AD291" s="1526"/>
      <c r="AE291" s="1526"/>
      <c r="AF291" s="1526"/>
      <c r="AG291" s="1526"/>
      <c r="AH291" s="1526"/>
      <c r="AI291" s="1526"/>
      <c r="AJ291" s="1526"/>
      <c r="AK291" s="1526"/>
      <c r="AL291" s="1526"/>
      <c r="AM291" s="1526"/>
      <c r="AN291" s="1526"/>
      <c r="AO291" s="1526"/>
      <c r="AP291" s="1526"/>
      <c r="AQ291" s="1526"/>
      <c r="AR291" s="1526"/>
      <c r="AS291" s="1526"/>
      <c r="AT291" s="1526"/>
      <c r="AU291" s="95"/>
      <c r="AV291" s="95"/>
      <c r="AW291" s="95"/>
      <c r="AX291" s="95"/>
      <c r="AY291" s="95"/>
    </row>
    <row r="292" spans="1:51" ht="12.95" customHeight="1">
      <c r="A292" s="1526"/>
      <c r="B292" s="1526"/>
      <c r="C292" s="1526"/>
      <c r="D292" s="1526"/>
      <c r="E292" s="1526"/>
      <c r="F292" s="1526"/>
      <c r="G292" s="1526"/>
      <c r="H292" s="1526"/>
      <c r="I292" s="1526"/>
      <c r="J292" s="1526"/>
      <c r="K292" s="1526"/>
      <c r="L292" s="1526"/>
      <c r="M292" s="1526"/>
      <c r="N292" s="1526"/>
      <c r="O292" s="1526"/>
      <c r="P292" s="1526"/>
      <c r="Q292" s="1526"/>
      <c r="R292" s="1526"/>
      <c r="S292" s="1526"/>
      <c r="T292" s="1526"/>
      <c r="U292" s="1526"/>
      <c r="V292" s="1526"/>
      <c r="W292" s="1526"/>
      <c r="X292" s="1526"/>
      <c r="Y292" s="1526"/>
      <c r="Z292" s="1526"/>
      <c r="AA292" s="1526"/>
      <c r="AB292" s="1526"/>
      <c r="AC292" s="1526"/>
      <c r="AD292" s="1526"/>
      <c r="AE292" s="1526"/>
      <c r="AF292" s="1526"/>
      <c r="AG292" s="1526"/>
      <c r="AH292" s="1526"/>
      <c r="AI292" s="1526"/>
      <c r="AJ292" s="1526"/>
      <c r="AK292" s="1526"/>
      <c r="AL292" s="1526"/>
      <c r="AM292" s="1526"/>
      <c r="AN292" s="1526"/>
      <c r="AO292" s="1526"/>
      <c r="AP292" s="1526"/>
      <c r="AQ292" s="1526"/>
      <c r="AR292" s="1526"/>
      <c r="AS292" s="1526"/>
      <c r="AT292" s="152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503" t="s">
        <v>2654</v>
      </c>
      <c r="I296" s="1402"/>
      <c r="J296" s="1402"/>
      <c r="K296" s="1402"/>
      <c r="L296" s="1402"/>
      <c r="M296" s="1402"/>
      <c r="N296" s="1402"/>
      <c r="O296" s="1402"/>
      <c r="P296" s="1402"/>
      <c r="Q296" s="1402"/>
      <c r="R296" s="1402"/>
      <c r="T296" s="3" t="s">
        <v>566</v>
      </c>
      <c r="V296" s="3"/>
      <c r="W296" s="3"/>
      <c r="X296" s="3"/>
      <c r="Y296" s="3"/>
      <c r="AA296" s="1503" t="s">
        <v>2690</v>
      </c>
      <c r="AB296" s="1402"/>
      <c r="AC296" s="1402"/>
      <c r="AD296" s="1402"/>
      <c r="AE296" s="1402"/>
      <c r="AF296" s="1402"/>
      <c r="AG296" s="1402"/>
      <c r="AH296" s="1402"/>
      <c r="AI296" s="1402"/>
      <c r="AJ296" s="1402"/>
      <c r="AK296" s="1402"/>
    </row>
    <row r="297" spans="1:51" ht="12.95" customHeight="1">
      <c r="B297" s="3" t="s">
        <v>470</v>
      </c>
      <c r="C297" s="3"/>
      <c r="D297" s="3"/>
      <c r="E297" s="3"/>
      <c r="F297" s="3"/>
      <c r="H297" s="1507" t="s">
        <v>2648</v>
      </c>
      <c r="I297" s="1463"/>
      <c r="J297" s="1463"/>
      <c r="K297" s="1463"/>
      <c r="L297" s="1463"/>
      <c r="M297" s="1463"/>
      <c r="N297" s="1463"/>
      <c r="O297" s="1463"/>
      <c r="P297" s="1463"/>
      <c r="Q297" s="1463"/>
      <c r="R297" s="1463"/>
      <c r="T297" s="3" t="s">
        <v>470</v>
      </c>
      <c r="V297" s="3"/>
      <c r="W297" s="3"/>
      <c r="X297" s="3"/>
      <c r="Y297" s="3"/>
      <c r="AA297" s="1507" t="s">
        <v>2691</v>
      </c>
      <c r="AB297" s="1463"/>
      <c r="AC297" s="1463"/>
      <c r="AD297" s="1463"/>
      <c r="AE297" s="1463"/>
      <c r="AF297" s="1463"/>
      <c r="AG297" s="1463"/>
      <c r="AH297" s="1463"/>
      <c r="AI297" s="1463"/>
      <c r="AJ297" s="1463"/>
      <c r="AK297" s="1463"/>
    </row>
    <row r="298" spans="1:51" ht="12.95" customHeight="1">
      <c r="B298" s="3" t="s">
        <v>471</v>
      </c>
      <c r="C298" s="3"/>
      <c r="D298" s="3"/>
      <c r="E298" s="3"/>
      <c r="F298" s="3"/>
      <c r="H298" s="1507" t="s">
        <v>69</v>
      </c>
      <c r="I298" s="1463"/>
      <c r="J298" s="1463"/>
      <c r="K298" s="1463"/>
      <c r="L298" s="1463"/>
      <c r="M298" s="1463"/>
      <c r="N298" s="1463"/>
      <c r="O298" s="1463"/>
      <c r="P298" s="1463"/>
      <c r="Q298" s="1463"/>
      <c r="R298" s="1463"/>
      <c r="T298" s="3" t="s">
        <v>75</v>
      </c>
      <c r="V298" s="3"/>
      <c r="W298" s="3"/>
      <c r="X298" s="3"/>
      <c r="Y298" s="3"/>
      <c r="AA298" s="1507" t="s">
        <v>2692</v>
      </c>
      <c r="AB298" s="1463"/>
      <c r="AC298" s="1463"/>
      <c r="AD298" s="1463"/>
      <c r="AE298" s="1463"/>
      <c r="AF298" s="1463"/>
      <c r="AG298" s="1463"/>
      <c r="AH298" s="1463"/>
      <c r="AI298" s="1463"/>
      <c r="AJ298" s="1463"/>
      <c r="AK298" s="1463"/>
    </row>
    <row r="299" spans="1:51" ht="12.95" customHeight="1">
      <c r="B299" s="3" t="s">
        <v>87</v>
      </c>
      <c r="C299" s="3"/>
      <c r="D299" s="3"/>
      <c r="E299" s="3"/>
      <c r="F299" s="3"/>
      <c r="H299" s="1507" t="s">
        <v>2657</v>
      </c>
      <c r="I299" s="1463"/>
      <c r="J299" s="1463"/>
      <c r="K299" s="1463"/>
      <c r="L299" s="1463"/>
      <c r="M299" s="1463"/>
      <c r="N299" s="1463"/>
      <c r="O299" s="1463"/>
      <c r="P299" s="1463"/>
      <c r="Q299" s="1463"/>
      <c r="R299" s="1463"/>
      <c r="T299" s="3" t="s">
        <v>87</v>
      </c>
      <c r="V299" s="3"/>
      <c r="W299" s="3"/>
      <c r="X299" s="3"/>
      <c r="Y299" s="3"/>
      <c r="AA299" s="1507" t="s">
        <v>2693</v>
      </c>
      <c r="AB299" s="1463"/>
      <c r="AC299" s="1463"/>
      <c r="AD299" s="1463"/>
      <c r="AE299" s="1463"/>
      <c r="AF299" s="1463"/>
      <c r="AG299" s="1463"/>
      <c r="AH299" s="1463"/>
      <c r="AI299" s="1463"/>
      <c r="AJ299" s="1463"/>
      <c r="AK299" s="1463"/>
    </row>
    <row r="300" spans="1:51" ht="12.95" customHeight="1">
      <c r="B300" s="3" t="s">
        <v>88</v>
      </c>
      <c r="C300" s="3"/>
      <c r="D300" s="3"/>
      <c r="E300" s="3"/>
      <c r="F300" s="3"/>
      <c r="G300" s="3"/>
      <c r="H300" s="1535" t="s">
        <v>2658</v>
      </c>
      <c r="I300" s="1536"/>
      <c r="J300" s="1536"/>
      <c r="K300" s="1536"/>
      <c r="L300" s="1536"/>
      <c r="M300" s="1536"/>
      <c r="N300" s="4" t="s">
        <v>206</v>
      </c>
      <c r="O300" s="4"/>
      <c r="P300" s="1506"/>
      <c r="Q300" s="1506"/>
      <c r="R300" s="1506"/>
      <c r="S300" s="3"/>
      <c r="T300" s="3" t="s">
        <v>88</v>
      </c>
      <c r="V300" s="3"/>
      <c r="W300" s="3"/>
      <c r="X300" s="3"/>
      <c r="Y300" s="3"/>
      <c r="AA300" s="1535" t="s">
        <v>2694</v>
      </c>
      <c r="AB300" s="1536"/>
      <c r="AC300" s="1536"/>
      <c r="AD300" s="1536"/>
      <c r="AE300" s="1536"/>
      <c r="AF300" s="1536"/>
      <c r="AG300" s="4" t="s">
        <v>206</v>
      </c>
      <c r="AH300" s="4"/>
      <c r="AI300" s="1506"/>
      <c r="AJ300" s="1506"/>
      <c r="AK300" s="1506"/>
    </row>
    <row r="301" spans="1:51" ht="12.95" customHeight="1">
      <c r="B301" s="3" t="s">
        <v>89</v>
      </c>
      <c r="C301" s="3"/>
      <c r="D301" s="3"/>
      <c r="E301" s="3"/>
      <c r="F301" s="3"/>
      <c r="G301" s="3"/>
      <c r="H301" s="1425"/>
      <c r="I301" s="1425"/>
      <c r="J301" s="1425"/>
      <c r="K301" s="1425"/>
      <c r="L301" s="1425"/>
      <c r="M301" s="1425"/>
      <c r="N301" s="4"/>
      <c r="O301" s="4"/>
      <c r="P301" s="35"/>
      <c r="Q301" s="35"/>
      <c r="R301" s="35"/>
      <c r="S301" s="3"/>
      <c r="T301" s="3" t="s">
        <v>89</v>
      </c>
      <c r="V301" s="3"/>
      <c r="W301" s="3"/>
      <c r="X301" s="3"/>
      <c r="Y301" s="3"/>
      <c r="AA301" s="1425"/>
      <c r="AB301" s="1425"/>
      <c r="AC301" s="1425"/>
      <c r="AD301" s="1425"/>
      <c r="AE301" s="1425"/>
      <c r="AF301" s="1425"/>
      <c r="AG301" s="4"/>
      <c r="AH301" s="4"/>
      <c r="AI301" s="35"/>
      <c r="AJ301" s="35"/>
      <c r="AK301" s="35"/>
    </row>
    <row r="302" spans="1:51" ht="12.95" customHeight="1">
      <c r="B302" s="3" t="s">
        <v>76</v>
      </c>
      <c r="C302" s="3"/>
      <c r="D302" s="3"/>
      <c r="E302" s="3"/>
      <c r="F302" s="3"/>
      <c r="G302" s="3"/>
      <c r="H302" s="1507" t="s">
        <v>2659</v>
      </c>
      <c r="I302" s="1463"/>
      <c r="J302" s="1463"/>
      <c r="K302" s="1463"/>
      <c r="L302" s="1463"/>
      <c r="M302" s="1463"/>
      <c r="N302" s="1402"/>
      <c r="O302" s="1402"/>
      <c r="P302" s="1402"/>
      <c r="Q302" s="1402"/>
      <c r="R302" s="1402"/>
      <c r="S302" s="3"/>
      <c r="T302" s="3" t="s">
        <v>76</v>
      </c>
      <c r="V302" s="3"/>
      <c r="W302" s="3"/>
      <c r="X302" s="3"/>
      <c r="Y302" s="3"/>
      <c r="AA302" s="1507" t="s">
        <v>2695</v>
      </c>
      <c r="AB302" s="1463"/>
      <c r="AC302" s="1463"/>
      <c r="AD302" s="1463"/>
      <c r="AE302" s="1463"/>
      <c r="AF302" s="1463"/>
      <c r="AG302" s="1402"/>
      <c r="AH302" s="1402"/>
      <c r="AI302" s="1402"/>
      <c r="AJ302" s="1402"/>
      <c r="AK302" s="140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503" t="s">
        <v>2660</v>
      </c>
      <c r="I304" s="1402"/>
      <c r="J304" s="1402"/>
      <c r="K304" s="1402"/>
      <c r="L304" s="1402"/>
      <c r="M304" s="1402"/>
      <c r="N304" s="1402"/>
      <c r="O304" s="1402"/>
      <c r="P304" s="1402"/>
      <c r="Q304" s="1402"/>
      <c r="R304" s="1402"/>
      <c r="T304" s="3" t="s">
        <v>364</v>
      </c>
      <c r="V304" s="3"/>
      <c r="W304" s="3"/>
      <c r="X304" s="3"/>
      <c r="Y304" s="3"/>
      <c r="AA304" s="1503" t="s">
        <v>2654</v>
      </c>
      <c r="AB304" s="1402"/>
      <c r="AC304" s="1402"/>
      <c r="AD304" s="1402"/>
      <c r="AE304" s="1402"/>
      <c r="AF304" s="1402"/>
      <c r="AG304" s="1402"/>
      <c r="AH304" s="1402"/>
      <c r="AI304" s="1402"/>
      <c r="AJ304" s="1402"/>
      <c r="AK304" s="1402"/>
    </row>
    <row r="305" spans="2:72" ht="12.95" customHeight="1">
      <c r="B305" s="3" t="s">
        <v>470</v>
      </c>
      <c r="C305" s="3"/>
      <c r="D305" s="3"/>
      <c r="E305" s="3"/>
      <c r="F305" s="3"/>
      <c r="H305" s="1507" t="s">
        <v>2661</v>
      </c>
      <c r="I305" s="1463"/>
      <c r="J305" s="1463"/>
      <c r="K305" s="1463"/>
      <c r="L305" s="1463"/>
      <c r="M305" s="1463"/>
      <c r="N305" s="1463"/>
      <c r="O305" s="1463"/>
      <c r="P305" s="1463"/>
      <c r="Q305" s="1463"/>
      <c r="R305" s="1463"/>
      <c r="T305" s="3" t="s">
        <v>470</v>
      </c>
      <c r="V305" s="3"/>
      <c r="W305" s="3"/>
      <c r="X305" s="3"/>
      <c r="Y305" s="3"/>
      <c r="AA305" s="1507" t="s">
        <v>2648</v>
      </c>
      <c r="AB305" s="1463"/>
      <c r="AC305" s="1463"/>
      <c r="AD305" s="1463"/>
      <c r="AE305" s="1463"/>
      <c r="AF305" s="1463"/>
      <c r="AG305" s="1463"/>
      <c r="AH305" s="1463"/>
      <c r="AI305" s="1463"/>
      <c r="AJ305" s="1463"/>
      <c r="AK305" s="1463"/>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507" t="s">
        <v>2662</v>
      </c>
      <c r="I306" s="1463"/>
      <c r="J306" s="1463"/>
      <c r="K306" s="1463"/>
      <c r="L306" s="1463"/>
      <c r="M306" s="1463"/>
      <c r="N306" s="1463"/>
      <c r="O306" s="1463"/>
      <c r="P306" s="1463"/>
      <c r="Q306" s="1463"/>
      <c r="R306" s="1463"/>
      <c r="T306" s="3" t="s">
        <v>75</v>
      </c>
      <c r="V306" s="3"/>
      <c r="W306" s="3"/>
      <c r="X306" s="3"/>
      <c r="Y306" s="3"/>
      <c r="AA306" s="1507" t="s">
        <v>2689</v>
      </c>
      <c r="AB306" s="1463"/>
      <c r="AC306" s="1463"/>
      <c r="AD306" s="1463"/>
      <c r="AE306" s="1463"/>
      <c r="AF306" s="1463"/>
      <c r="AG306" s="1463"/>
      <c r="AH306" s="1463"/>
      <c r="AI306" s="1463"/>
      <c r="AJ306" s="1463"/>
      <c r="AK306" s="1463"/>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07" t="s">
        <v>2663</v>
      </c>
      <c r="I307" s="1463"/>
      <c r="J307" s="1463"/>
      <c r="K307" s="1463"/>
      <c r="L307" s="1463"/>
      <c r="M307" s="1463"/>
      <c r="N307" s="1463"/>
      <c r="O307" s="1463"/>
      <c r="P307" s="1463"/>
      <c r="Q307" s="1463"/>
      <c r="R307" s="1463"/>
      <c r="T307" s="3" t="s">
        <v>87</v>
      </c>
      <c r="V307" s="3"/>
      <c r="W307" s="3"/>
      <c r="X307" s="3"/>
      <c r="Y307" s="3"/>
      <c r="AA307" s="1507" t="s">
        <v>2657</v>
      </c>
      <c r="AB307" s="1463"/>
      <c r="AC307" s="1463"/>
      <c r="AD307" s="1463"/>
      <c r="AE307" s="1463"/>
      <c r="AF307" s="1463"/>
      <c r="AG307" s="1463"/>
      <c r="AH307" s="1463"/>
      <c r="AI307" s="1463"/>
      <c r="AJ307" s="1463"/>
      <c r="AK307" s="1463"/>
    </row>
    <row r="308" spans="2:72" ht="12.95" customHeight="1">
      <c r="B308" s="3" t="s">
        <v>88</v>
      </c>
      <c r="C308" s="3"/>
      <c r="D308" s="3"/>
      <c r="E308" s="3"/>
      <c r="F308" s="3"/>
      <c r="G308" s="3"/>
      <c r="H308" s="1535" t="s">
        <v>2664</v>
      </c>
      <c r="I308" s="1536"/>
      <c r="J308" s="1536"/>
      <c r="K308" s="1536"/>
      <c r="L308" s="1536"/>
      <c r="M308" s="1536"/>
      <c r="N308" s="4" t="s">
        <v>206</v>
      </c>
      <c r="O308" s="4"/>
      <c r="P308" s="1506"/>
      <c r="Q308" s="1506"/>
      <c r="R308" s="1506"/>
      <c r="S308" s="3"/>
      <c r="T308" s="3" t="s">
        <v>88</v>
      </c>
      <c r="V308" s="3"/>
      <c r="W308" s="3"/>
      <c r="X308" s="3"/>
      <c r="Y308" s="3"/>
      <c r="AA308" s="1535" t="s">
        <v>2658</v>
      </c>
      <c r="AB308" s="1536"/>
      <c r="AC308" s="1536"/>
      <c r="AD308" s="1536"/>
      <c r="AE308" s="1536"/>
      <c r="AF308" s="1536"/>
      <c r="AG308" s="4" t="s">
        <v>206</v>
      </c>
      <c r="AH308" s="4"/>
      <c r="AI308" s="1506"/>
      <c r="AJ308" s="1506"/>
      <c r="AK308" s="1506"/>
    </row>
    <row r="309" spans="2:72" ht="12.95" customHeight="1">
      <c r="B309" s="3" t="s">
        <v>89</v>
      </c>
      <c r="C309" s="3"/>
      <c r="D309" s="3"/>
      <c r="E309" s="3"/>
      <c r="F309" s="3"/>
      <c r="G309" s="3"/>
      <c r="H309" s="1425"/>
      <c r="I309" s="1425"/>
      <c r="J309" s="1425"/>
      <c r="K309" s="1425"/>
      <c r="L309" s="1425"/>
      <c r="M309" s="1425"/>
      <c r="N309" s="4"/>
      <c r="O309" s="4"/>
      <c r="P309" s="35"/>
      <c r="Q309" s="35"/>
      <c r="R309" s="35"/>
      <c r="S309" s="3"/>
      <c r="T309" s="3" t="s">
        <v>89</v>
      </c>
      <c r="V309" s="3"/>
      <c r="W309" s="3"/>
      <c r="X309" s="3"/>
      <c r="Y309" s="3"/>
      <c r="AA309" s="1425"/>
      <c r="AB309" s="1425"/>
      <c r="AC309" s="1425"/>
      <c r="AD309" s="1425"/>
      <c r="AE309" s="1425"/>
      <c r="AF309" s="1425"/>
      <c r="AG309" s="4"/>
      <c r="AH309" s="4"/>
      <c r="AI309" s="35"/>
      <c r="AJ309" s="35"/>
      <c r="AK309" s="35"/>
    </row>
    <row r="310" spans="2:72" ht="12.95" customHeight="1">
      <c r="B310" s="3" t="s">
        <v>76</v>
      </c>
      <c r="C310" s="3"/>
      <c r="D310" s="3"/>
      <c r="E310" s="3"/>
      <c r="F310" s="3"/>
      <c r="G310" s="3"/>
      <c r="H310" s="1507" t="s">
        <v>2665</v>
      </c>
      <c r="I310" s="1463"/>
      <c r="J310" s="1463"/>
      <c r="K310" s="1463"/>
      <c r="L310" s="1463"/>
      <c r="M310" s="1463"/>
      <c r="N310" s="1402"/>
      <c r="O310" s="1402"/>
      <c r="P310" s="1402"/>
      <c r="Q310" s="1402"/>
      <c r="R310" s="1402"/>
      <c r="S310" s="3"/>
      <c r="T310" s="3" t="s">
        <v>76</v>
      </c>
      <c r="V310" s="3"/>
      <c r="W310" s="3"/>
      <c r="X310" s="3"/>
      <c r="Y310" s="3"/>
      <c r="AA310" s="1507" t="s">
        <v>2659</v>
      </c>
      <c r="AB310" s="1463"/>
      <c r="AC310" s="1463"/>
      <c r="AD310" s="1463"/>
      <c r="AE310" s="1463"/>
      <c r="AF310" s="1463"/>
      <c r="AG310" s="1402"/>
      <c r="AH310" s="1402"/>
      <c r="AI310" s="1402"/>
      <c r="AJ310" s="1402"/>
      <c r="AK310" s="1402"/>
    </row>
    <row r="311" spans="2:72" ht="12.95" customHeight="1"/>
    <row r="312" spans="2:72" ht="12.95" customHeight="1">
      <c r="B312" s="3" t="s">
        <v>77</v>
      </c>
      <c r="C312" s="3"/>
      <c r="D312" s="3"/>
      <c r="E312" s="3"/>
      <c r="F312" s="3"/>
      <c r="H312" s="1503" t="s">
        <v>2660</v>
      </c>
      <c r="I312" s="1402"/>
      <c r="J312" s="1402"/>
      <c r="K312" s="1402"/>
      <c r="L312" s="1402"/>
      <c r="M312" s="1402"/>
      <c r="N312" s="1402"/>
      <c r="O312" s="1402"/>
      <c r="P312" s="1402"/>
      <c r="Q312" s="1402"/>
      <c r="R312" s="1402"/>
      <c r="T312" s="4" t="s">
        <v>877</v>
      </c>
      <c r="V312" s="3"/>
      <c r="W312" s="3"/>
      <c r="X312" s="3"/>
      <c r="Y312" s="3"/>
      <c r="AA312" s="1503" t="s">
        <v>2696</v>
      </c>
      <c r="AB312" s="1402"/>
      <c r="AC312" s="1402"/>
      <c r="AD312" s="1402"/>
      <c r="AE312" s="1402"/>
      <c r="AF312" s="1402"/>
      <c r="AG312" s="1402"/>
      <c r="AH312" s="1402"/>
      <c r="AI312" s="1402"/>
      <c r="AJ312" s="1402"/>
      <c r="AK312" s="1402"/>
    </row>
    <row r="313" spans="2:72" ht="12.95" customHeight="1">
      <c r="B313" s="3" t="s">
        <v>470</v>
      </c>
      <c r="C313" s="3"/>
      <c r="D313" s="3"/>
      <c r="E313" s="3"/>
      <c r="F313" s="3"/>
      <c r="H313" s="1507" t="s">
        <v>2661</v>
      </c>
      <c r="I313" s="1463"/>
      <c r="J313" s="1463"/>
      <c r="K313" s="1463"/>
      <c r="L313" s="1463"/>
      <c r="M313" s="1463"/>
      <c r="N313" s="1463"/>
      <c r="O313" s="1463"/>
      <c r="P313" s="1463"/>
      <c r="Q313" s="1463"/>
      <c r="R313" s="1463"/>
      <c r="T313" s="3" t="s">
        <v>470</v>
      </c>
      <c r="V313" s="3"/>
      <c r="W313" s="3"/>
      <c r="X313" s="3"/>
      <c r="Y313" s="3"/>
      <c r="AA313" s="1507" t="s">
        <v>2697</v>
      </c>
      <c r="AB313" s="1463"/>
      <c r="AC313" s="1463"/>
      <c r="AD313" s="1463"/>
      <c r="AE313" s="1463"/>
      <c r="AF313" s="1463"/>
      <c r="AG313" s="1463"/>
      <c r="AH313" s="1463"/>
      <c r="AI313" s="1463"/>
      <c r="AJ313" s="1463"/>
      <c r="AK313" s="1463"/>
    </row>
    <row r="314" spans="2:72" ht="12.95" customHeight="1">
      <c r="B314" s="3" t="s">
        <v>471</v>
      </c>
      <c r="C314" s="3"/>
      <c r="D314" s="3"/>
      <c r="E314" s="3"/>
      <c r="F314" s="3"/>
      <c r="H314" s="1507" t="s">
        <v>2662</v>
      </c>
      <c r="I314" s="1463"/>
      <c r="J314" s="1463"/>
      <c r="K314" s="1463"/>
      <c r="L314" s="1463"/>
      <c r="M314" s="1463"/>
      <c r="N314" s="1463"/>
      <c r="O314" s="1463"/>
      <c r="P314" s="1463"/>
      <c r="Q314" s="1463"/>
      <c r="R314" s="1463"/>
      <c r="T314" s="3" t="s">
        <v>75</v>
      </c>
      <c r="V314" s="3"/>
      <c r="W314" s="3"/>
      <c r="X314" s="3"/>
      <c r="Y314" s="3"/>
      <c r="AA314" s="1507" t="s">
        <v>2698</v>
      </c>
      <c r="AB314" s="1463"/>
      <c r="AC314" s="1463"/>
      <c r="AD314" s="1463"/>
      <c r="AE314" s="1463"/>
      <c r="AF314" s="1463"/>
      <c r="AG314" s="1463"/>
      <c r="AH314" s="1463"/>
      <c r="AI314" s="1463"/>
      <c r="AJ314" s="1463"/>
      <c r="AK314" s="1463"/>
    </row>
    <row r="315" spans="2:72" ht="12.95" customHeight="1">
      <c r="B315" s="3" t="s">
        <v>87</v>
      </c>
      <c r="C315" s="3"/>
      <c r="D315" s="3"/>
      <c r="E315" s="3"/>
      <c r="F315" s="3"/>
      <c r="H315" s="1507" t="s">
        <v>2663</v>
      </c>
      <c r="I315" s="1463"/>
      <c r="J315" s="1463"/>
      <c r="K315" s="1463"/>
      <c r="L315" s="1463"/>
      <c r="M315" s="1463"/>
      <c r="N315" s="1463"/>
      <c r="O315" s="1463"/>
      <c r="P315" s="1463"/>
      <c r="Q315" s="1463"/>
      <c r="R315" s="1463"/>
      <c r="T315" s="3" t="s">
        <v>87</v>
      </c>
      <c r="V315" s="3"/>
      <c r="W315" s="3"/>
      <c r="X315" s="3"/>
      <c r="Y315" s="3"/>
      <c r="AA315" s="1507" t="s">
        <v>2699</v>
      </c>
      <c r="AB315" s="1463"/>
      <c r="AC315" s="1463"/>
      <c r="AD315" s="1463"/>
      <c r="AE315" s="1463"/>
      <c r="AF315" s="1463"/>
      <c r="AG315" s="1463"/>
      <c r="AH315" s="1463"/>
      <c r="AI315" s="1463"/>
      <c r="AJ315" s="1463"/>
      <c r="AK315" s="1463"/>
    </row>
    <row r="316" spans="2:72" ht="12.95" customHeight="1">
      <c r="B316" s="3" t="s">
        <v>88</v>
      </c>
      <c r="C316" s="3"/>
      <c r="D316" s="3"/>
      <c r="E316" s="3"/>
      <c r="F316" s="3"/>
      <c r="G316" s="3"/>
      <c r="H316" s="1535" t="s">
        <v>2664</v>
      </c>
      <c r="I316" s="1536"/>
      <c r="J316" s="1536"/>
      <c r="K316" s="1536"/>
      <c r="L316" s="1536"/>
      <c r="M316" s="1536"/>
      <c r="N316" s="4" t="s">
        <v>206</v>
      </c>
      <c r="O316" s="4"/>
      <c r="P316" s="1506"/>
      <c r="Q316" s="1506"/>
      <c r="R316" s="1506"/>
      <c r="S316" s="3"/>
      <c r="T316" s="3" t="s">
        <v>88</v>
      </c>
      <c r="V316" s="3"/>
      <c r="W316" s="3"/>
      <c r="X316" s="3"/>
      <c r="Y316" s="3"/>
      <c r="AA316" s="1535" t="s">
        <v>2700</v>
      </c>
      <c r="AB316" s="1536"/>
      <c r="AC316" s="1536"/>
      <c r="AD316" s="1536"/>
      <c r="AE316" s="1536"/>
      <c r="AF316" s="1536"/>
      <c r="AG316" s="4" t="s">
        <v>206</v>
      </c>
      <c r="AH316" s="4"/>
      <c r="AI316" s="1506"/>
      <c r="AJ316" s="1506"/>
      <c r="AK316" s="1506"/>
    </row>
    <row r="317" spans="2:72" ht="12.95" customHeight="1">
      <c r="B317" s="3" t="s">
        <v>89</v>
      </c>
      <c r="C317" s="3"/>
      <c r="D317" s="3"/>
      <c r="E317" s="3"/>
      <c r="F317" s="3"/>
      <c r="G317" s="3"/>
      <c r="H317" s="1425"/>
      <c r="I317" s="1425"/>
      <c r="J317" s="1425"/>
      <c r="K317" s="1425"/>
      <c r="L317" s="1425"/>
      <c r="M317" s="1425"/>
      <c r="N317" s="4"/>
      <c r="O317" s="4"/>
      <c r="P317" s="35"/>
      <c r="Q317" s="35"/>
      <c r="R317" s="35"/>
      <c r="S317" s="3"/>
      <c r="T317" s="3" t="s">
        <v>89</v>
      </c>
      <c r="V317" s="3"/>
      <c r="W317" s="3"/>
      <c r="X317" s="3"/>
      <c r="Y317" s="3"/>
      <c r="AA317" s="1424" t="s">
        <v>2701</v>
      </c>
      <c r="AB317" s="1425"/>
      <c r="AC317" s="1425"/>
      <c r="AD317" s="1425"/>
      <c r="AE317" s="1425"/>
      <c r="AF317" s="1425"/>
      <c r="AG317" s="4"/>
      <c r="AH317" s="4"/>
      <c r="AI317" s="35"/>
      <c r="AJ317" s="35"/>
      <c r="AK317" s="35"/>
    </row>
    <row r="318" spans="2:72" ht="12.95" customHeight="1">
      <c r="B318" s="3" t="s">
        <v>76</v>
      </c>
      <c r="C318" s="3"/>
      <c r="D318" s="3"/>
      <c r="E318" s="3"/>
      <c r="F318" s="3"/>
      <c r="G318" s="3"/>
      <c r="H318" s="1507" t="s">
        <v>2665</v>
      </c>
      <c r="I318" s="1463"/>
      <c r="J318" s="1463"/>
      <c r="K318" s="1463"/>
      <c r="L318" s="1463"/>
      <c r="M318" s="1463"/>
      <c r="N318" s="1402"/>
      <c r="O318" s="1402"/>
      <c r="P318" s="1402"/>
      <c r="Q318" s="1402"/>
      <c r="R318" s="1402"/>
      <c r="S318" s="3"/>
      <c r="T318" s="3" t="s">
        <v>76</v>
      </c>
      <c r="V318" s="3"/>
      <c r="W318" s="3"/>
      <c r="X318" s="3"/>
      <c r="Y318" s="3"/>
      <c r="AA318" s="1507" t="s">
        <v>2702</v>
      </c>
      <c r="AB318" s="1463"/>
      <c r="AC318" s="1463"/>
      <c r="AD318" s="1463"/>
      <c r="AE318" s="1463"/>
      <c r="AF318" s="1463"/>
      <c r="AG318" s="1402"/>
      <c r="AH318" s="1402"/>
      <c r="AI318" s="1402"/>
      <c r="AJ318" s="1402"/>
      <c r="AK318" s="140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503" t="s">
        <v>2666</v>
      </c>
      <c r="I320" s="1402"/>
      <c r="J320" s="1402"/>
      <c r="K320" s="1402"/>
      <c r="L320" s="1402"/>
      <c r="M320" s="1402"/>
      <c r="N320" s="1402"/>
      <c r="O320" s="1402"/>
      <c r="P320" s="1402"/>
      <c r="Q320" s="1402"/>
      <c r="R320" s="1402"/>
      <c r="S320" s="3"/>
      <c r="T320" s="3" t="s">
        <v>365</v>
      </c>
      <c r="V320" s="3"/>
      <c r="W320" s="3"/>
      <c r="X320" s="3"/>
      <c r="Y320" s="3"/>
      <c r="AA320" s="1402" t="s">
        <v>2739</v>
      </c>
      <c r="AB320" s="1402"/>
      <c r="AC320" s="1402"/>
      <c r="AD320" s="1402"/>
      <c r="AE320" s="1402"/>
      <c r="AF320" s="1402"/>
      <c r="AG320" s="1402"/>
      <c r="AH320" s="1402"/>
      <c r="AI320" s="1402"/>
      <c r="AJ320" s="1402"/>
      <c r="AK320" s="1402"/>
    </row>
    <row r="321" spans="2:37" ht="12.95" customHeight="1">
      <c r="B321" s="3" t="s">
        <v>470</v>
      </c>
      <c r="C321" s="3"/>
      <c r="D321" s="3"/>
      <c r="E321" s="3"/>
      <c r="F321" s="3"/>
      <c r="H321" s="1507" t="s">
        <v>2667</v>
      </c>
      <c r="I321" s="1463"/>
      <c r="J321" s="1463"/>
      <c r="K321" s="1463"/>
      <c r="L321" s="1463"/>
      <c r="M321" s="1463"/>
      <c r="N321" s="1463"/>
      <c r="O321" s="1463"/>
      <c r="P321" s="1463"/>
      <c r="Q321" s="1463"/>
      <c r="R321" s="1463"/>
      <c r="S321" s="3"/>
      <c r="T321" s="3" t="s">
        <v>470</v>
      </c>
      <c r="V321" s="3"/>
      <c r="W321" s="3"/>
      <c r="X321" s="3"/>
      <c r="Y321" s="3"/>
      <c r="AA321" s="1463"/>
      <c r="AB321" s="1463"/>
      <c r="AC321" s="1463"/>
      <c r="AD321" s="1463"/>
      <c r="AE321" s="1463"/>
      <c r="AF321" s="1463"/>
      <c r="AG321" s="1463"/>
      <c r="AH321" s="1463"/>
      <c r="AI321" s="1463"/>
      <c r="AJ321" s="1463"/>
      <c r="AK321" s="1463"/>
    </row>
    <row r="322" spans="2:37" ht="12.95" customHeight="1">
      <c r="B322" s="3" t="s">
        <v>471</v>
      </c>
      <c r="C322" s="3"/>
      <c r="D322" s="3"/>
      <c r="E322" s="3"/>
      <c r="F322" s="3"/>
      <c r="H322" s="1507" t="s">
        <v>2668</v>
      </c>
      <c r="I322" s="1463"/>
      <c r="J322" s="1463"/>
      <c r="K322" s="1463"/>
      <c r="L322" s="1463"/>
      <c r="M322" s="1463"/>
      <c r="N322" s="1463"/>
      <c r="O322" s="1463"/>
      <c r="P322" s="1463"/>
      <c r="Q322" s="1463"/>
      <c r="R322" s="1463"/>
      <c r="S322" s="3"/>
      <c r="T322" s="3" t="s">
        <v>75</v>
      </c>
      <c r="V322" s="3"/>
      <c r="W322" s="3"/>
      <c r="X322" s="3"/>
      <c r="Y322" s="3"/>
      <c r="AA322" s="1463"/>
      <c r="AB322" s="1463"/>
      <c r="AC322" s="1463"/>
      <c r="AD322" s="1463"/>
      <c r="AE322" s="1463"/>
      <c r="AF322" s="1463"/>
      <c r="AG322" s="1463"/>
      <c r="AH322" s="1463"/>
      <c r="AI322" s="1463"/>
      <c r="AJ322" s="1463"/>
      <c r="AK322" s="1463"/>
    </row>
    <row r="323" spans="2:37" ht="12.95" customHeight="1">
      <c r="B323" s="3" t="s">
        <v>87</v>
      </c>
      <c r="C323" s="3"/>
      <c r="D323" s="3"/>
      <c r="E323" s="3"/>
      <c r="F323" s="3"/>
      <c r="H323" s="1507" t="s">
        <v>2666</v>
      </c>
      <c r="I323" s="1463"/>
      <c r="J323" s="1463"/>
      <c r="K323" s="1463"/>
      <c r="L323" s="1463"/>
      <c r="M323" s="1463"/>
      <c r="N323" s="1463"/>
      <c r="O323" s="1463"/>
      <c r="P323" s="1463"/>
      <c r="Q323" s="1463"/>
      <c r="R323" s="1463"/>
      <c r="S323" s="3"/>
      <c r="T323" s="3" t="s">
        <v>87</v>
      </c>
      <c r="V323" s="3"/>
      <c r="W323" s="3"/>
      <c r="X323" s="3"/>
      <c r="Y323" s="3"/>
      <c r="AA323" s="1463"/>
      <c r="AB323" s="1463"/>
      <c r="AC323" s="1463"/>
      <c r="AD323" s="1463"/>
      <c r="AE323" s="1463"/>
      <c r="AF323" s="1463"/>
      <c r="AG323" s="1463"/>
      <c r="AH323" s="1463"/>
      <c r="AI323" s="1463"/>
      <c r="AJ323" s="1463"/>
      <c r="AK323" s="1463"/>
    </row>
    <row r="324" spans="2:37" ht="12.95" customHeight="1">
      <c r="B324" s="3" t="s">
        <v>88</v>
      </c>
      <c r="C324" s="3"/>
      <c r="D324" s="3"/>
      <c r="E324" s="3"/>
      <c r="F324" s="3"/>
      <c r="G324" s="3"/>
      <c r="H324" s="1535" t="s">
        <v>2669</v>
      </c>
      <c r="I324" s="1536"/>
      <c r="J324" s="1536"/>
      <c r="K324" s="1536"/>
      <c r="L324" s="1536"/>
      <c r="M324" s="1536"/>
      <c r="N324" s="4" t="s">
        <v>206</v>
      </c>
      <c r="O324" s="4"/>
      <c r="P324" s="1506"/>
      <c r="Q324" s="1506"/>
      <c r="R324" s="1506"/>
      <c r="S324" s="3"/>
      <c r="T324" s="3" t="s">
        <v>88</v>
      </c>
      <c r="V324" s="3"/>
      <c r="W324" s="3"/>
      <c r="X324" s="3"/>
      <c r="Y324" s="3"/>
      <c r="AA324" s="1536"/>
      <c r="AB324" s="1536"/>
      <c r="AC324" s="1536"/>
      <c r="AD324" s="1536"/>
      <c r="AE324" s="1536"/>
      <c r="AF324" s="1536"/>
      <c r="AG324" s="4" t="s">
        <v>206</v>
      </c>
      <c r="AH324" s="4"/>
      <c r="AI324" s="1506"/>
      <c r="AJ324" s="1506"/>
      <c r="AK324" s="1506"/>
    </row>
    <row r="325" spans="2:37" ht="12.95" customHeight="1">
      <c r="B325" s="3" t="s">
        <v>89</v>
      </c>
      <c r="C325" s="3"/>
      <c r="D325" s="3"/>
      <c r="E325" s="3"/>
      <c r="F325" s="3"/>
      <c r="G325" s="3"/>
      <c r="H325" s="1424" t="s">
        <v>2670</v>
      </c>
      <c r="I325" s="1425"/>
      <c r="J325" s="1425"/>
      <c r="K325" s="1425"/>
      <c r="L325" s="1425"/>
      <c r="M325" s="1425"/>
      <c r="N325" s="4"/>
      <c r="O325" s="4"/>
      <c r="P325" s="35"/>
      <c r="Q325" s="35"/>
      <c r="R325" s="35"/>
      <c r="S325" s="3"/>
      <c r="T325" s="3" t="s">
        <v>89</v>
      </c>
      <c r="V325" s="3"/>
      <c r="W325" s="3"/>
      <c r="X325" s="3"/>
      <c r="Y325" s="3"/>
      <c r="AA325" s="1425"/>
      <c r="AB325" s="1425"/>
      <c r="AC325" s="1425"/>
      <c r="AD325" s="1425"/>
      <c r="AE325" s="1425"/>
      <c r="AF325" s="1425"/>
      <c r="AG325" s="4"/>
      <c r="AH325" s="4"/>
      <c r="AI325" s="35"/>
      <c r="AJ325" s="35"/>
      <c r="AK325" s="35"/>
    </row>
    <row r="326" spans="2:37" ht="12.95" customHeight="1">
      <c r="B326" s="3" t="s">
        <v>76</v>
      </c>
      <c r="C326" s="3"/>
      <c r="D326" s="3"/>
      <c r="E326" s="3"/>
      <c r="F326" s="3"/>
      <c r="G326" s="3"/>
      <c r="H326" s="1507" t="s">
        <v>2671</v>
      </c>
      <c r="I326" s="1463"/>
      <c r="J326" s="1463"/>
      <c r="K326" s="1463"/>
      <c r="L326" s="1463"/>
      <c r="M326" s="1463"/>
      <c r="N326" s="1402"/>
      <c r="O326" s="1402"/>
      <c r="P326" s="1402"/>
      <c r="Q326" s="1402"/>
      <c r="R326" s="1402"/>
      <c r="S326" s="3"/>
      <c r="T326" s="3" t="s">
        <v>76</v>
      </c>
      <c r="V326" s="3"/>
      <c r="W326" s="3"/>
      <c r="X326" s="3"/>
      <c r="Y326" s="3"/>
      <c r="AA326" s="1463"/>
      <c r="AB326" s="1463"/>
      <c r="AC326" s="1463"/>
      <c r="AD326" s="1463"/>
      <c r="AE326" s="1463"/>
      <c r="AF326" s="1463"/>
      <c r="AG326" s="1402"/>
      <c r="AH326" s="1402"/>
      <c r="AI326" s="1402"/>
      <c r="AJ326" s="1402"/>
      <c r="AK326" s="1402"/>
    </row>
    <row r="327" spans="2:37" ht="12.95" customHeight="1"/>
    <row r="328" spans="2:37" ht="12.95" customHeight="1">
      <c r="B328" s="4" t="s">
        <v>907</v>
      </c>
      <c r="C328" s="3"/>
      <c r="D328" s="3"/>
      <c r="E328" s="3"/>
      <c r="F328" s="3"/>
      <c r="H328" s="1503" t="s">
        <v>2672</v>
      </c>
      <c r="I328" s="1402"/>
      <c r="J328" s="1402"/>
      <c r="K328" s="1402"/>
      <c r="L328" s="1402"/>
      <c r="M328" s="1402"/>
      <c r="N328" s="1402"/>
      <c r="O328" s="1402"/>
      <c r="P328" s="1402"/>
      <c r="Q328" s="1402"/>
      <c r="R328" s="1402"/>
      <c r="T328" s="3" t="s">
        <v>366</v>
      </c>
      <c r="V328" s="3"/>
      <c r="W328" s="3"/>
      <c r="X328" s="3"/>
      <c r="Y328" s="3"/>
      <c r="AA328" s="1503" t="s">
        <v>2674</v>
      </c>
      <c r="AB328" s="1402"/>
      <c r="AC328" s="1402"/>
      <c r="AD328" s="1402"/>
      <c r="AE328" s="1402"/>
      <c r="AF328" s="1402"/>
      <c r="AG328" s="1402"/>
      <c r="AH328" s="1402"/>
      <c r="AI328" s="1402"/>
      <c r="AJ328" s="1402"/>
      <c r="AK328" s="1402"/>
    </row>
    <row r="329" spans="2:37" ht="12.95" customHeight="1">
      <c r="B329" s="3" t="s">
        <v>470</v>
      </c>
      <c r="C329" s="3"/>
      <c r="D329" s="3"/>
      <c r="E329" s="3"/>
      <c r="F329" s="3"/>
      <c r="H329" s="1507" t="s">
        <v>2673</v>
      </c>
      <c r="I329" s="1463"/>
      <c r="J329" s="1463"/>
      <c r="K329" s="1463"/>
      <c r="L329" s="1463"/>
      <c r="M329" s="1463"/>
      <c r="N329" s="1463"/>
      <c r="O329" s="1463"/>
      <c r="P329" s="1463"/>
      <c r="Q329" s="1463"/>
      <c r="R329" s="1463"/>
      <c r="T329" s="3" t="s">
        <v>470</v>
      </c>
      <c r="V329" s="3"/>
      <c r="W329" s="3"/>
      <c r="X329" s="3"/>
      <c r="Y329" s="3"/>
      <c r="AA329" s="1507" t="s">
        <v>2675</v>
      </c>
      <c r="AB329" s="1463"/>
      <c r="AC329" s="1463"/>
      <c r="AD329" s="1463"/>
      <c r="AE329" s="1463"/>
      <c r="AF329" s="1463"/>
      <c r="AG329" s="1463"/>
      <c r="AH329" s="1463"/>
      <c r="AI329" s="1463"/>
      <c r="AJ329" s="1463"/>
      <c r="AK329" s="1463"/>
    </row>
    <row r="330" spans="2:37" ht="12.95" customHeight="1">
      <c r="B330" s="3" t="s">
        <v>471</v>
      </c>
      <c r="C330" s="3"/>
      <c r="D330" s="3"/>
      <c r="E330" s="3"/>
      <c r="F330" s="3"/>
      <c r="H330" s="1507" t="s">
        <v>2662</v>
      </c>
      <c r="I330" s="1463"/>
      <c r="J330" s="1463"/>
      <c r="K330" s="1463"/>
      <c r="L330" s="1463"/>
      <c r="M330" s="1463"/>
      <c r="N330" s="1463"/>
      <c r="O330" s="1463"/>
      <c r="P330" s="1463"/>
      <c r="Q330" s="1463"/>
      <c r="R330" s="1463"/>
      <c r="T330" s="3" t="s">
        <v>75</v>
      </c>
      <c r="V330" s="3"/>
      <c r="W330" s="3"/>
      <c r="X330" s="3"/>
      <c r="Y330" s="3"/>
      <c r="AA330" s="1507" t="s">
        <v>2676</v>
      </c>
      <c r="AB330" s="1463"/>
      <c r="AC330" s="1463"/>
      <c r="AD330" s="1463"/>
      <c r="AE330" s="1463"/>
      <c r="AF330" s="1463"/>
      <c r="AG330" s="1463"/>
      <c r="AH330" s="1463"/>
      <c r="AI330" s="1463"/>
      <c r="AJ330" s="1463"/>
      <c r="AK330" s="1463"/>
    </row>
    <row r="331" spans="2:37" ht="12.95" customHeight="1">
      <c r="B331" s="3" t="s">
        <v>87</v>
      </c>
      <c r="C331" s="3"/>
      <c r="D331" s="3"/>
      <c r="E331" s="3"/>
      <c r="F331" s="3"/>
      <c r="H331" s="1463" t="s">
        <v>2766</v>
      </c>
      <c r="I331" s="1463"/>
      <c r="J331" s="1463"/>
      <c r="K331" s="1463"/>
      <c r="L331" s="1463"/>
      <c r="M331" s="1463"/>
      <c r="N331" s="1463"/>
      <c r="O331" s="1463"/>
      <c r="P331" s="1463"/>
      <c r="Q331" s="1463"/>
      <c r="R331" s="1463"/>
      <c r="T331" s="3" t="s">
        <v>87</v>
      </c>
      <c r="V331" s="3"/>
      <c r="W331" s="3"/>
      <c r="X331" s="3"/>
      <c r="Y331" s="3"/>
      <c r="AA331" s="1507" t="s">
        <v>2677</v>
      </c>
      <c r="AB331" s="1463"/>
      <c r="AC331" s="1463"/>
      <c r="AD331" s="1463"/>
      <c r="AE331" s="1463"/>
      <c r="AF331" s="1463"/>
      <c r="AG331" s="1463"/>
      <c r="AH331" s="1463"/>
      <c r="AI331" s="1463"/>
      <c r="AJ331" s="1463"/>
      <c r="AK331" s="1463"/>
    </row>
    <row r="332" spans="2:37" ht="12.95" customHeight="1">
      <c r="B332" s="3" t="s">
        <v>88</v>
      </c>
      <c r="C332" s="3"/>
      <c r="D332" s="3"/>
      <c r="E332" s="3"/>
      <c r="F332" s="3"/>
      <c r="G332" s="3"/>
      <c r="H332" s="1535" t="s">
        <v>2765</v>
      </c>
      <c r="I332" s="1536"/>
      <c r="J332" s="1536"/>
      <c r="K332" s="1536"/>
      <c r="L332" s="1536"/>
      <c r="M332" s="1536"/>
      <c r="N332" s="4" t="s">
        <v>206</v>
      </c>
      <c r="O332" s="4"/>
      <c r="P332" s="1506"/>
      <c r="Q332" s="1506"/>
      <c r="R332" s="1506"/>
      <c r="S332" s="3"/>
      <c r="T332" s="3" t="s">
        <v>88</v>
      </c>
      <c r="V332" s="3"/>
      <c r="W332" s="3"/>
      <c r="X332" s="3"/>
      <c r="Y332" s="3"/>
      <c r="AA332" s="1535" t="s">
        <v>2678</v>
      </c>
      <c r="AB332" s="1536"/>
      <c r="AC332" s="1536"/>
      <c r="AD332" s="1536"/>
      <c r="AE332" s="1536"/>
      <c r="AF332" s="1536"/>
      <c r="AG332" s="4" t="s">
        <v>206</v>
      </c>
      <c r="AH332" s="4"/>
      <c r="AI332" s="1506"/>
      <c r="AJ332" s="1506"/>
      <c r="AK332" s="1506"/>
    </row>
    <row r="333" spans="2:37" ht="12.95" customHeight="1">
      <c r="B333" s="3" t="s">
        <v>89</v>
      </c>
      <c r="C333" s="3"/>
      <c r="D333" s="3"/>
      <c r="E333" s="3"/>
      <c r="F333" s="3"/>
      <c r="G333" s="3"/>
      <c r="H333" s="1425"/>
      <c r="I333" s="1425"/>
      <c r="J333" s="1425"/>
      <c r="K333" s="1425"/>
      <c r="L333" s="1425"/>
      <c r="M333" s="1425"/>
      <c r="N333" s="4"/>
      <c r="O333" s="4"/>
      <c r="P333" s="35"/>
      <c r="Q333" s="35"/>
      <c r="R333" s="35"/>
      <c r="S333" s="3"/>
      <c r="T333" s="3" t="s">
        <v>89</v>
      </c>
      <c r="V333" s="3"/>
      <c r="W333" s="3"/>
      <c r="X333" s="3"/>
      <c r="Y333" s="3"/>
      <c r="AA333" s="1425"/>
      <c r="AB333" s="1425"/>
      <c r="AC333" s="1425"/>
      <c r="AD333" s="1425"/>
      <c r="AE333" s="1425"/>
      <c r="AF333" s="1425"/>
      <c r="AG333" s="4"/>
      <c r="AH333" s="4"/>
      <c r="AI333" s="35"/>
      <c r="AJ333" s="35"/>
      <c r="AK333" s="35"/>
    </row>
    <row r="334" spans="2:37" ht="12.95" customHeight="1">
      <c r="B334" s="3" t="s">
        <v>76</v>
      </c>
      <c r="C334" s="3"/>
      <c r="D334" s="3"/>
      <c r="E334" s="3"/>
      <c r="F334" s="3"/>
      <c r="G334" s="3"/>
      <c r="H334" s="1463" t="s">
        <v>2767</v>
      </c>
      <c r="I334" s="1463"/>
      <c r="J334" s="1463"/>
      <c r="K334" s="1463"/>
      <c r="L334" s="1463"/>
      <c r="M334" s="1463"/>
      <c r="N334" s="1402"/>
      <c r="O334" s="1402"/>
      <c r="P334" s="1402"/>
      <c r="Q334" s="1402"/>
      <c r="R334" s="1402"/>
      <c r="S334" s="3"/>
      <c r="T334" s="3" t="s">
        <v>76</v>
      </c>
      <c r="V334" s="3"/>
      <c r="W334" s="3"/>
      <c r="X334" s="3"/>
      <c r="Y334" s="3"/>
      <c r="AA334" s="1507" t="s">
        <v>2679</v>
      </c>
      <c r="AB334" s="1463"/>
      <c r="AC334" s="1463"/>
      <c r="AD334" s="1463"/>
      <c r="AE334" s="1463"/>
      <c r="AF334" s="1463"/>
      <c r="AG334" s="1402"/>
      <c r="AH334" s="1402"/>
      <c r="AI334" s="1402"/>
      <c r="AJ334" s="1402"/>
      <c r="AK334" s="140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02"/>
      <c r="I336" s="1402"/>
      <c r="J336" s="1402"/>
      <c r="K336" s="1402"/>
      <c r="L336" s="1402"/>
      <c r="M336" s="1402"/>
      <c r="N336" s="1402"/>
      <c r="O336" s="1402"/>
      <c r="P336" s="1402"/>
      <c r="Q336" s="1402"/>
      <c r="R336" s="1402"/>
      <c r="T336" s="3" t="s">
        <v>368</v>
      </c>
      <c r="V336" s="3"/>
      <c r="W336" s="3"/>
      <c r="X336" s="3"/>
      <c r="Y336" s="3"/>
      <c r="AA336" s="1503" t="s">
        <v>2684</v>
      </c>
      <c r="AB336" s="1402"/>
      <c r="AC336" s="1402"/>
      <c r="AD336" s="1402"/>
      <c r="AE336" s="1402"/>
      <c r="AF336" s="1402"/>
      <c r="AG336" s="1402"/>
      <c r="AH336" s="1402"/>
      <c r="AI336" s="1402"/>
      <c r="AJ336" s="1402"/>
      <c r="AK336" s="1402"/>
    </row>
    <row r="337" spans="2:66" ht="12.95" customHeight="1">
      <c r="B337" s="3" t="s">
        <v>470</v>
      </c>
      <c r="C337" s="3"/>
      <c r="D337" s="3"/>
      <c r="E337" s="3"/>
      <c r="F337" s="3"/>
      <c r="H337" s="1463"/>
      <c r="I337" s="1463"/>
      <c r="J337" s="1463"/>
      <c r="K337" s="1463"/>
      <c r="L337" s="1463"/>
      <c r="M337" s="1463"/>
      <c r="N337" s="1463"/>
      <c r="O337" s="1463"/>
      <c r="P337" s="1463"/>
      <c r="Q337" s="1463"/>
      <c r="R337" s="1463"/>
      <c r="T337" s="3" t="s">
        <v>470</v>
      </c>
      <c r="V337" s="3"/>
      <c r="W337" s="3"/>
      <c r="X337" s="3"/>
      <c r="Y337" s="3"/>
      <c r="AA337" s="1507" t="s">
        <v>2685</v>
      </c>
      <c r="AB337" s="1463"/>
      <c r="AC337" s="1463"/>
      <c r="AD337" s="1463"/>
      <c r="AE337" s="1463"/>
      <c r="AF337" s="1463"/>
      <c r="AG337" s="1463"/>
      <c r="AH337" s="1463"/>
      <c r="AI337" s="1463"/>
      <c r="AJ337" s="1463"/>
      <c r="AK337" s="1463"/>
    </row>
    <row r="338" spans="2:66" ht="12.95" customHeight="1">
      <c r="B338" s="3" t="s">
        <v>471</v>
      </c>
      <c r="C338" s="3"/>
      <c r="D338" s="3"/>
      <c r="E338" s="3"/>
      <c r="F338" s="3"/>
      <c r="H338" s="1463"/>
      <c r="I338" s="1463"/>
      <c r="J338" s="1463"/>
      <c r="K338" s="1463"/>
      <c r="L338" s="1463"/>
      <c r="M338" s="1463"/>
      <c r="N338" s="1463"/>
      <c r="O338" s="1463"/>
      <c r="P338" s="1463"/>
      <c r="Q338" s="1463"/>
      <c r="R338" s="1463"/>
      <c r="T338" s="3" t="s">
        <v>75</v>
      </c>
      <c r="V338" s="3"/>
      <c r="W338" s="3"/>
      <c r="X338" s="3"/>
      <c r="Y338" s="3"/>
      <c r="AA338" s="1507" t="s">
        <v>2686</v>
      </c>
      <c r="AB338" s="1463"/>
      <c r="AC338" s="1463"/>
      <c r="AD338" s="1463"/>
      <c r="AE338" s="1463"/>
      <c r="AF338" s="1463"/>
      <c r="AG338" s="1463"/>
      <c r="AH338" s="1463"/>
      <c r="AI338" s="1463"/>
      <c r="AJ338" s="1463"/>
      <c r="AK338" s="1463"/>
    </row>
    <row r="339" spans="2:66" ht="12.95" customHeight="1">
      <c r="B339" s="3" t="s">
        <v>87</v>
      </c>
      <c r="C339" s="3"/>
      <c r="D339" s="3"/>
      <c r="E339" s="3"/>
      <c r="F339" s="3"/>
      <c r="H339" s="1463"/>
      <c r="I339" s="1463"/>
      <c r="J339" s="1463"/>
      <c r="K339" s="1463"/>
      <c r="L339" s="1463"/>
      <c r="M339" s="1463"/>
      <c r="N339" s="1463"/>
      <c r="O339" s="1463"/>
      <c r="P339" s="1463"/>
      <c r="Q339" s="1463"/>
      <c r="R339" s="1463"/>
      <c r="T339" s="3" t="s">
        <v>87</v>
      </c>
      <c r="V339" s="3"/>
      <c r="W339" s="3"/>
      <c r="X339" s="3"/>
      <c r="Y339" s="3"/>
      <c r="AA339" s="1463"/>
      <c r="AB339" s="1463"/>
      <c r="AC339" s="1463"/>
      <c r="AD339" s="1463"/>
      <c r="AE339" s="1463"/>
      <c r="AF339" s="1463"/>
      <c r="AG339" s="1463"/>
      <c r="AH339" s="1463"/>
      <c r="AI339" s="1463"/>
      <c r="AJ339" s="1463"/>
      <c r="AK339" s="1463"/>
    </row>
    <row r="340" spans="2:66" ht="12.95" customHeight="1">
      <c r="B340" s="3" t="s">
        <v>88</v>
      </c>
      <c r="C340" s="3"/>
      <c r="D340" s="3"/>
      <c r="E340" s="3"/>
      <c r="F340" s="3"/>
      <c r="G340" s="3"/>
      <c r="H340" s="1536"/>
      <c r="I340" s="1536"/>
      <c r="J340" s="1536"/>
      <c r="K340" s="1536"/>
      <c r="L340" s="1536"/>
      <c r="M340" s="1536"/>
      <c r="N340" s="4" t="s">
        <v>206</v>
      </c>
      <c r="O340" s="4"/>
      <c r="P340" s="1506"/>
      <c r="Q340" s="1506"/>
      <c r="R340" s="1506"/>
      <c r="S340" s="3"/>
      <c r="T340" s="3" t="s">
        <v>88</v>
      </c>
      <c r="V340" s="3"/>
      <c r="W340" s="3"/>
      <c r="X340" s="3"/>
      <c r="Y340" s="3"/>
      <c r="AA340" s="1535" t="s">
        <v>2687</v>
      </c>
      <c r="AB340" s="1536"/>
      <c r="AC340" s="1536"/>
      <c r="AD340" s="1536"/>
      <c r="AE340" s="1536"/>
      <c r="AF340" s="1536"/>
      <c r="AG340" s="4" t="s">
        <v>206</v>
      </c>
      <c r="AH340" s="4"/>
      <c r="AI340" s="1506"/>
      <c r="AJ340" s="1506"/>
      <c r="AK340" s="1506"/>
    </row>
    <row r="341" spans="2:66" ht="12.95" customHeight="1">
      <c r="B341" s="3" t="s">
        <v>89</v>
      </c>
      <c r="C341" s="3"/>
      <c r="D341" s="3"/>
      <c r="E341" s="3"/>
      <c r="F341" s="3"/>
      <c r="G341" s="3"/>
      <c r="H341" s="1425"/>
      <c r="I341" s="1425"/>
      <c r="J341" s="1425"/>
      <c r="K341" s="1425"/>
      <c r="L341" s="1425"/>
      <c r="M341" s="1425"/>
      <c r="N341" s="4"/>
      <c r="O341" s="4"/>
      <c r="P341" s="35"/>
      <c r="Q341" s="35"/>
      <c r="R341" s="35"/>
      <c r="S341" s="3"/>
      <c r="T341" s="3" t="s">
        <v>89</v>
      </c>
      <c r="V341" s="3"/>
      <c r="W341" s="3"/>
      <c r="X341" s="3"/>
      <c r="Y341" s="3"/>
      <c r="AA341" s="1425"/>
      <c r="AB341" s="1425"/>
      <c r="AC341" s="1425"/>
      <c r="AD341" s="1425"/>
      <c r="AE341" s="1425"/>
      <c r="AF341" s="1425"/>
      <c r="AG341" s="4"/>
      <c r="AH341" s="4"/>
      <c r="AI341" s="35"/>
      <c r="AJ341" s="35"/>
      <c r="AK341" s="35"/>
    </row>
    <row r="342" spans="2:66" ht="12.95" customHeight="1">
      <c r="B342" s="3" t="s">
        <v>76</v>
      </c>
      <c r="C342" s="3"/>
      <c r="D342" s="3"/>
      <c r="E342" s="3"/>
      <c r="F342" s="3"/>
      <c r="G342" s="3"/>
      <c r="H342" s="1463"/>
      <c r="I342" s="1463"/>
      <c r="J342" s="1463"/>
      <c r="K342" s="1463"/>
      <c r="L342" s="1463"/>
      <c r="M342" s="1463"/>
      <c r="N342" s="1402"/>
      <c r="O342" s="1402"/>
      <c r="P342" s="1402"/>
      <c r="Q342" s="1402"/>
      <c r="R342" s="1402"/>
      <c r="S342" s="3"/>
      <c r="T342" s="3" t="s">
        <v>76</v>
      </c>
      <c r="V342" s="3"/>
      <c r="W342" s="3"/>
      <c r="X342" s="3"/>
      <c r="Y342" s="3"/>
      <c r="AA342" s="1507" t="s">
        <v>2688</v>
      </c>
      <c r="AB342" s="1463"/>
      <c r="AC342" s="1463"/>
      <c r="AD342" s="1463"/>
      <c r="AE342" s="1463"/>
      <c r="AF342" s="1463"/>
      <c r="AG342" s="1402"/>
      <c r="AH342" s="1402"/>
      <c r="AI342" s="1402"/>
      <c r="AJ342" s="1402"/>
      <c r="AK342" s="140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02" t="s">
        <v>2758</v>
      </c>
      <c r="I344" s="1402"/>
      <c r="J344" s="1402"/>
      <c r="K344" s="1402"/>
      <c r="L344" s="1402"/>
      <c r="M344" s="1402"/>
      <c r="N344" s="1402"/>
      <c r="O344" s="1402"/>
      <c r="P344" s="1402"/>
      <c r="Q344" s="1402"/>
      <c r="R344" s="1402"/>
      <c r="T344" s="204" t="s">
        <v>885</v>
      </c>
      <c r="V344" s="3"/>
      <c r="W344" s="3"/>
      <c r="X344" s="3"/>
      <c r="Y344" s="3"/>
      <c r="AA344" s="1503" t="s">
        <v>2680</v>
      </c>
      <c r="AB344" s="1402"/>
      <c r="AC344" s="1402"/>
      <c r="AD344" s="1402"/>
      <c r="AE344" s="1402"/>
      <c r="AF344" s="1402"/>
      <c r="AG344" s="1402"/>
      <c r="AH344" s="1402"/>
      <c r="AI344" s="1402"/>
      <c r="AJ344" s="1402"/>
      <c r="AK344" s="1402"/>
    </row>
    <row r="345" spans="2:66" ht="12.95" customHeight="1">
      <c r="B345" s="3" t="s">
        <v>470</v>
      </c>
      <c r="C345" s="3"/>
      <c r="D345" s="3"/>
      <c r="E345" s="3"/>
      <c r="F345" s="3"/>
      <c r="H345" s="1463" t="s">
        <v>2759</v>
      </c>
      <c r="I345" s="1463"/>
      <c r="J345" s="1463"/>
      <c r="K345" s="1463"/>
      <c r="L345" s="1463"/>
      <c r="M345" s="1463"/>
      <c r="N345" s="1463"/>
      <c r="O345" s="1463"/>
      <c r="P345" s="1463"/>
      <c r="Q345" s="1463"/>
      <c r="R345" s="1463"/>
      <c r="T345" s="3" t="s">
        <v>470</v>
      </c>
      <c r="V345" s="3"/>
      <c r="W345" s="3"/>
      <c r="X345" s="3"/>
      <c r="Y345" s="3"/>
      <c r="AA345" s="1507" t="s">
        <v>2648</v>
      </c>
      <c r="AB345" s="1463"/>
      <c r="AC345" s="1463"/>
      <c r="AD345" s="1463"/>
      <c r="AE345" s="1463"/>
      <c r="AF345" s="1463"/>
      <c r="AG345" s="1463"/>
      <c r="AH345" s="1463"/>
      <c r="AI345" s="1463"/>
      <c r="AJ345" s="1463"/>
      <c r="AK345" s="1463"/>
    </row>
    <row r="346" spans="2:66" ht="12.95" customHeight="1">
      <c r="B346" s="3" t="s">
        <v>75</v>
      </c>
      <c r="C346" s="3"/>
      <c r="D346" s="3"/>
      <c r="E346" s="3"/>
      <c r="F346" s="3"/>
      <c r="H346" s="1463" t="s">
        <v>2760</v>
      </c>
      <c r="I346" s="1463"/>
      <c r="J346" s="1463"/>
      <c r="K346" s="1463"/>
      <c r="L346" s="1463"/>
      <c r="M346" s="1463"/>
      <c r="N346" s="1463"/>
      <c r="O346" s="1463"/>
      <c r="P346" s="1463"/>
      <c r="Q346" s="1463"/>
      <c r="R346" s="1463"/>
      <c r="T346" s="3" t="s">
        <v>75</v>
      </c>
      <c r="V346" s="3"/>
      <c r="W346" s="3"/>
      <c r="X346" s="3"/>
      <c r="Y346" s="3"/>
      <c r="AA346" s="1507" t="s">
        <v>69</v>
      </c>
      <c r="AB346" s="1463"/>
      <c r="AC346" s="1463"/>
      <c r="AD346" s="1463"/>
      <c r="AE346" s="1463"/>
      <c r="AF346" s="1463"/>
      <c r="AG346" s="1463"/>
      <c r="AH346" s="1463"/>
      <c r="AI346" s="1463"/>
      <c r="AJ346" s="1463"/>
      <c r="AK346" s="1463"/>
    </row>
    <row r="347" spans="2:66" ht="12.95" customHeight="1">
      <c r="B347" s="3" t="s">
        <v>87</v>
      </c>
      <c r="C347" s="3"/>
      <c r="D347" s="3"/>
      <c r="E347" s="3"/>
      <c r="F347" s="3"/>
      <c r="G347" s="3"/>
      <c r="H347" s="1463" t="s">
        <v>2761</v>
      </c>
      <c r="I347" s="1463"/>
      <c r="J347" s="1463"/>
      <c r="K347" s="1463"/>
      <c r="L347" s="1463"/>
      <c r="M347" s="1463"/>
      <c r="N347" s="1463"/>
      <c r="O347" s="1463"/>
      <c r="P347" s="1463"/>
      <c r="Q347" s="1463"/>
      <c r="R347" s="1463"/>
      <c r="T347" s="3" t="s">
        <v>87</v>
      </c>
      <c r="V347" s="3"/>
      <c r="W347" s="3"/>
      <c r="X347" s="3"/>
      <c r="Y347" s="3"/>
      <c r="AA347" s="1507" t="s">
        <v>2681</v>
      </c>
      <c r="AB347" s="1463"/>
      <c r="AC347" s="1463"/>
      <c r="AD347" s="1463"/>
      <c r="AE347" s="1463"/>
      <c r="AF347" s="1463"/>
      <c r="AG347" s="1463"/>
      <c r="AH347" s="1463"/>
      <c r="AI347" s="1463"/>
      <c r="AJ347" s="1463"/>
      <c r="AK347" s="1463"/>
    </row>
    <row r="348" spans="2:66" ht="12.95" customHeight="1">
      <c r="B348" s="3" t="s">
        <v>88</v>
      </c>
      <c r="C348" s="3"/>
      <c r="D348" s="3"/>
      <c r="E348" s="3"/>
      <c r="F348" s="3"/>
      <c r="G348" s="3"/>
      <c r="H348" s="1535" t="s">
        <v>2762</v>
      </c>
      <c r="I348" s="1536"/>
      <c r="J348" s="1536"/>
      <c r="K348" s="1536"/>
      <c r="L348" s="1536"/>
      <c r="M348" s="1536"/>
      <c r="N348" s="4" t="s">
        <v>206</v>
      </c>
      <c r="O348" s="4"/>
      <c r="P348" s="1506"/>
      <c r="Q348" s="1506"/>
      <c r="R348" s="1506"/>
      <c r="S348" s="3"/>
      <c r="T348" s="3" t="s">
        <v>88</v>
      </c>
      <c r="V348" s="3"/>
      <c r="W348" s="3"/>
      <c r="X348" s="3"/>
      <c r="Y348" s="3"/>
      <c r="AA348" s="1535" t="s">
        <v>2682</v>
      </c>
      <c r="AB348" s="1536"/>
      <c r="AC348" s="1536"/>
      <c r="AD348" s="1536"/>
      <c r="AE348" s="1536"/>
      <c r="AF348" s="1536"/>
      <c r="AG348" s="4" t="s">
        <v>206</v>
      </c>
      <c r="AH348" s="4"/>
      <c r="AI348" s="1506"/>
      <c r="AJ348" s="1506"/>
      <c r="AK348" s="1506"/>
    </row>
    <row r="349" spans="2:66" ht="12.95" customHeight="1">
      <c r="B349" s="3" t="s">
        <v>89</v>
      </c>
      <c r="C349" s="3"/>
      <c r="D349" s="3"/>
      <c r="E349" s="3"/>
      <c r="F349" s="3"/>
      <c r="G349" s="3"/>
      <c r="H349" s="1424" t="s">
        <v>2763</v>
      </c>
      <c r="I349" s="1425"/>
      <c r="J349" s="1425"/>
      <c r="K349" s="1425"/>
      <c r="L349" s="1425"/>
      <c r="M349" s="1425"/>
      <c r="N349" s="4"/>
      <c r="O349" s="4"/>
      <c r="P349" s="35"/>
      <c r="Q349" s="35"/>
      <c r="R349" s="35"/>
      <c r="S349" s="3"/>
      <c r="T349" s="3" t="s">
        <v>89</v>
      </c>
      <c r="V349" s="3"/>
      <c r="W349" s="3"/>
      <c r="X349" s="3"/>
      <c r="Y349" s="3"/>
      <c r="AA349" s="1425"/>
      <c r="AB349" s="1425"/>
      <c r="AC349" s="1425"/>
      <c r="AD349" s="1425"/>
      <c r="AE349" s="1425"/>
      <c r="AF349" s="1425"/>
      <c r="AG349" s="4"/>
      <c r="AH349" s="4"/>
      <c r="AI349" s="35"/>
      <c r="AJ349" s="35"/>
      <c r="AK349" s="35"/>
    </row>
    <row r="350" spans="2:66" ht="12.95" customHeight="1">
      <c r="B350" s="3" t="s">
        <v>76</v>
      </c>
      <c r="C350" s="3"/>
      <c r="D350" s="3"/>
      <c r="E350" s="3"/>
      <c r="F350" s="3"/>
      <c r="G350" s="3"/>
      <c r="H350" s="1463" t="s">
        <v>2764</v>
      </c>
      <c r="I350" s="1463"/>
      <c r="J350" s="1463"/>
      <c r="K350" s="1463"/>
      <c r="L350" s="1463"/>
      <c r="M350" s="1463"/>
      <c r="N350" s="1402"/>
      <c r="O350" s="1402"/>
      <c r="P350" s="1402"/>
      <c r="Q350" s="1402"/>
      <c r="R350" s="1402"/>
      <c r="S350" s="3"/>
      <c r="T350" s="3" t="s">
        <v>76</v>
      </c>
      <c r="V350" s="3"/>
      <c r="W350" s="3"/>
      <c r="X350" s="3"/>
      <c r="Y350" s="3"/>
      <c r="AA350" s="1507" t="s">
        <v>2683</v>
      </c>
      <c r="AB350" s="1463"/>
      <c r="AC350" s="1463"/>
      <c r="AD350" s="1463"/>
      <c r="AE350" s="1463"/>
      <c r="AF350" s="1463"/>
      <c r="AG350" s="1402"/>
      <c r="AH350" s="1402"/>
      <c r="AI350" s="1402"/>
      <c r="AJ350" s="1402"/>
      <c r="AK350" s="140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02"/>
      <c r="Q352" s="1402"/>
      <c r="R352" s="1402"/>
      <c r="S352" s="1402"/>
      <c r="T352" s="1402"/>
      <c r="U352" s="1402"/>
      <c r="V352" s="1402"/>
      <c r="W352" s="1402"/>
      <c r="X352" s="1402"/>
      <c r="Y352" s="1402"/>
      <c r="Z352" s="1402"/>
      <c r="AA352" s="1402"/>
      <c r="AB352" s="1402"/>
      <c r="AC352" s="1402"/>
      <c r="AD352" s="1402"/>
      <c r="AE352" s="1402"/>
      <c r="BN352" t="s">
        <v>668</v>
      </c>
    </row>
    <row r="353" spans="1:66" ht="12.95" customHeight="1">
      <c r="B353" s="4"/>
      <c r="C353" s="4"/>
      <c r="D353" s="4"/>
      <c r="E353" s="4"/>
      <c r="F353" s="4"/>
      <c r="I353" s="4" t="s">
        <v>470</v>
      </c>
      <c r="P353" s="1463"/>
      <c r="Q353" s="1463"/>
      <c r="R353" s="1463"/>
      <c r="S353" s="1463"/>
      <c r="T353" s="1463"/>
      <c r="U353" s="1463"/>
      <c r="V353" s="1463"/>
      <c r="W353" s="1463"/>
      <c r="X353" s="1463"/>
      <c r="Y353" s="1463"/>
      <c r="Z353" s="1463"/>
      <c r="AA353" s="1463"/>
      <c r="AB353" s="1463"/>
      <c r="AC353" s="1463"/>
      <c r="AD353" s="1463"/>
      <c r="AE353" s="1463"/>
      <c r="BN353" t="s">
        <v>544</v>
      </c>
    </row>
    <row r="354" spans="1:66" ht="12.95" customHeight="1">
      <c r="B354" s="4"/>
      <c r="C354" s="4"/>
      <c r="D354" s="4"/>
      <c r="E354" s="4"/>
      <c r="F354" s="4"/>
      <c r="I354" s="4" t="s">
        <v>75</v>
      </c>
      <c r="P354" s="1463"/>
      <c r="Q354" s="1463"/>
      <c r="R354" s="1463"/>
      <c r="S354" s="1463"/>
      <c r="T354" s="1463"/>
      <c r="U354" s="1463"/>
      <c r="V354" s="1463"/>
      <c r="W354" s="1463"/>
      <c r="X354" s="1463"/>
      <c r="Y354" s="1463"/>
      <c r="Z354" s="1463"/>
      <c r="AA354" s="1463"/>
      <c r="AB354" s="1463"/>
      <c r="AC354" s="1463"/>
      <c r="AD354" s="1463"/>
      <c r="AE354" s="1463"/>
    </row>
    <row r="355" spans="1:66" ht="12.95" customHeight="1">
      <c r="B355" s="4"/>
      <c r="C355" s="4"/>
      <c r="D355" s="4"/>
      <c r="E355" s="4"/>
      <c r="F355" s="4"/>
      <c r="G355" s="4"/>
      <c r="I355" s="4" t="s">
        <v>87</v>
      </c>
      <c r="P355" s="1463"/>
      <c r="Q355" s="1463"/>
      <c r="R355" s="1463"/>
      <c r="S355" s="1463"/>
      <c r="T355" s="1463"/>
      <c r="U355" s="1463"/>
      <c r="V355" s="1463"/>
      <c r="W355" s="1463"/>
      <c r="X355" s="1463"/>
      <c r="Y355" s="1463"/>
      <c r="Z355" s="1463"/>
      <c r="AA355" s="1463"/>
      <c r="AB355" s="1463"/>
      <c r="AC355" s="1463"/>
      <c r="AD355" s="1463"/>
      <c r="AE355" s="1463"/>
    </row>
    <row r="356" spans="1:66" ht="12.95" customHeight="1">
      <c r="B356" s="4"/>
      <c r="C356" s="4"/>
      <c r="D356" s="4"/>
      <c r="E356" s="4"/>
      <c r="F356" s="4"/>
      <c r="G356" s="4"/>
      <c r="H356" s="302"/>
      <c r="I356" s="4" t="s">
        <v>88</v>
      </c>
      <c r="P356" s="1425"/>
      <c r="Q356" s="1425"/>
      <c r="R356" s="1425"/>
      <c r="S356" s="1425"/>
      <c r="T356" s="1425"/>
      <c r="U356" s="1425"/>
      <c r="V356" s="1425"/>
      <c r="W356" s="1425"/>
      <c r="X356" s="1425"/>
      <c r="Y356" s="1425"/>
      <c r="Z356" s="1425"/>
      <c r="AA356" s="4" t="s">
        <v>206</v>
      </c>
      <c r="AB356" s="4"/>
      <c r="AC356" s="1478"/>
      <c r="AD356" s="1478"/>
      <c r="AE356" s="1478"/>
      <c r="AF356" s="302"/>
      <c r="AG356" s="4"/>
      <c r="AH356" s="4"/>
      <c r="AI356" s="4"/>
      <c r="AJ356" s="4"/>
      <c r="AK356" s="4"/>
    </row>
    <row r="357" spans="1:66" ht="12.95" customHeight="1">
      <c r="B357" s="4"/>
      <c r="C357" s="4"/>
      <c r="D357" s="4"/>
      <c r="E357" s="4"/>
      <c r="F357" s="4"/>
      <c r="G357" s="4"/>
      <c r="H357" s="302"/>
      <c r="I357" s="4" t="s">
        <v>89</v>
      </c>
      <c r="P357" s="1425"/>
      <c r="Q357" s="1425"/>
      <c r="R357" s="1425"/>
      <c r="S357" s="1425"/>
      <c r="T357" s="1425"/>
      <c r="U357" s="1425"/>
      <c r="V357" s="1425"/>
      <c r="W357" s="1425"/>
      <c r="X357" s="1425"/>
      <c r="Y357" s="1425"/>
      <c r="Z357" s="1425"/>
      <c r="AF357" s="302"/>
      <c r="AG357" s="4"/>
      <c r="AH357" s="4"/>
      <c r="AI357" s="35"/>
      <c r="AJ357" s="35"/>
      <c r="AK357" s="35"/>
    </row>
    <row r="358" spans="1:66" ht="12.95" customHeight="1">
      <c r="B358" s="4"/>
      <c r="C358" s="4"/>
      <c r="D358" s="4"/>
      <c r="E358" s="4"/>
      <c r="F358" s="4"/>
      <c r="G358" s="4"/>
      <c r="I358" s="4" t="s">
        <v>76</v>
      </c>
      <c r="P358" s="1402"/>
      <c r="Q358" s="1402"/>
      <c r="R358" s="1402"/>
      <c r="S358" s="1402"/>
      <c r="T358" s="1402"/>
      <c r="U358" s="1402"/>
      <c r="V358" s="1402"/>
      <c r="W358" s="1402"/>
      <c r="X358" s="1402"/>
      <c r="Y358" s="1402"/>
      <c r="Z358" s="1402"/>
      <c r="AA358" s="1402"/>
      <c r="AB358" s="1402"/>
      <c r="AC358" s="1402"/>
      <c r="AD358" s="1402"/>
      <c r="AE358" s="1402"/>
    </row>
    <row r="359" spans="1:66" ht="12.95" customHeight="1">
      <c r="T359" s="8"/>
      <c r="U359" s="8"/>
      <c r="V359" s="8"/>
      <c r="W359" s="8"/>
      <c r="X359" s="8"/>
      <c r="Y359" s="8"/>
      <c r="Z359" s="8"/>
      <c r="AU359" s="95"/>
      <c r="AV359" s="95"/>
      <c r="AW359" s="95"/>
      <c r="AX359" s="95"/>
      <c r="AY359" s="95"/>
    </row>
    <row r="360" spans="1:66" ht="12.95" customHeight="1">
      <c r="A360" s="1526" t="s">
        <v>541</v>
      </c>
      <c r="B360" s="1526"/>
      <c r="C360" s="1526"/>
      <c r="D360" s="1526"/>
      <c r="E360" s="1526"/>
      <c r="F360" s="1526"/>
      <c r="G360" s="1526"/>
      <c r="H360" s="1526"/>
      <c r="I360" s="1526"/>
      <c r="J360" s="1526"/>
      <c r="K360" s="1526"/>
      <c r="L360" s="1526"/>
      <c r="M360" s="1526"/>
      <c r="N360" s="1526"/>
      <c r="O360" s="1526"/>
      <c r="P360" s="1526"/>
      <c r="Q360" s="1526"/>
      <c r="R360" s="1526"/>
      <c r="S360" s="1526"/>
      <c r="T360" s="1526"/>
      <c r="U360" s="1526"/>
      <c r="V360" s="1526"/>
      <c r="W360" s="1526"/>
      <c r="X360" s="1526"/>
      <c r="Y360" s="1526"/>
      <c r="Z360" s="1526"/>
      <c r="AA360" s="1526"/>
      <c r="AB360" s="1526"/>
      <c r="AC360" s="1526"/>
      <c r="AD360" s="1526"/>
      <c r="AE360" s="1526"/>
      <c r="AF360" s="1526"/>
      <c r="AG360" s="1526"/>
      <c r="AH360" s="1526"/>
      <c r="AI360" s="1526"/>
      <c r="AJ360" s="1526"/>
      <c r="AK360" s="1526"/>
      <c r="AL360" s="1526"/>
      <c r="AM360" s="1526"/>
      <c r="AN360" s="1526"/>
      <c r="AO360" s="1526"/>
      <c r="AP360" s="1526"/>
      <c r="AQ360" s="1526"/>
      <c r="AR360" s="1526"/>
      <c r="AS360" s="1526"/>
      <c r="AT360" s="1526"/>
      <c r="AU360" s="95"/>
      <c r="AV360" s="95"/>
      <c r="AW360" s="95"/>
      <c r="AX360" s="95"/>
      <c r="AY360" s="95"/>
    </row>
    <row r="361" spans="1:66" ht="12.95" customHeight="1">
      <c r="A361" s="1526"/>
      <c r="B361" s="1526"/>
      <c r="C361" s="1526"/>
      <c r="D361" s="1526"/>
      <c r="E361" s="1526"/>
      <c r="F361" s="1526"/>
      <c r="G361" s="1526"/>
      <c r="H361" s="1526"/>
      <c r="I361" s="1526"/>
      <c r="J361" s="1526"/>
      <c r="K361" s="1526"/>
      <c r="L361" s="1526"/>
      <c r="M361" s="1526"/>
      <c r="N361" s="1526"/>
      <c r="O361" s="1526"/>
      <c r="P361" s="1526"/>
      <c r="Q361" s="1526"/>
      <c r="R361" s="1526"/>
      <c r="S361" s="1526"/>
      <c r="T361" s="1526"/>
      <c r="U361" s="1526"/>
      <c r="V361" s="1526"/>
      <c r="W361" s="1526"/>
      <c r="X361" s="1526"/>
      <c r="Y361" s="1526"/>
      <c r="Z361" s="1526"/>
      <c r="AA361" s="1526"/>
      <c r="AB361" s="1526"/>
      <c r="AC361" s="1526"/>
      <c r="AD361" s="1526"/>
      <c r="AE361" s="1526"/>
      <c r="AF361" s="1526"/>
      <c r="AG361" s="1526"/>
      <c r="AH361" s="1526"/>
      <c r="AI361" s="1526"/>
      <c r="AJ361" s="1526"/>
      <c r="AK361" s="1526"/>
      <c r="AL361" s="1526"/>
      <c r="AM361" s="1526"/>
      <c r="AN361" s="1526"/>
      <c r="AO361" s="1526"/>
      <c r="AP361" s="1526"/>
      <c r="AQ361" s="1526"/>
      <c r="AR361" s="1526"/>
      <c r="AS361" s="1526"/>
      <c r="AT361" s="152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2054</v>
      </c>
      <c r="M364" s="1410" t="s">
        <v>544</v>
      </c>
      <c r="N364" s="1410"/>
      <c r="P364" t="s">
        <v>1638</v>
      </c>
      <c r="AJ364" s="1410" t="s">
        <v>590</v>
      </c>
      <c r="AK364" s="1410"/>
    </row>
    <row r="365" spans="1:66" ht="12.95" customHeight="1">
      <c r="D365" s="3" t="s">
        <v>1627</v>
      </c>
      <c r="M365" s="1410" t="s">
        <v>590</v>
      </c>
      <c r="N365" s="1410"/>
      <c r="P365" s="3" t="s">
        <v>1707</v>
      </c>
      <c r="AJ365" s="1472">
        <v>0</v>
      </c>
      <c r="AK365" s="1472"/>
    </row>
    <row r="366" spans="1:66" ht="12.95" customHeight="1">
      <c r="D366" s="3" t="s">
        <v>703</v>
      </c>
      <c r="M366" s="1410" t="s">
        <v>590</v>
      </c>
      <c r="N366" s="1410"/>
      <c r="P366" t="s">
        <v>1637</v>
      </c>
      <c r="AJ366" s="1410" t="s">
        <v>590</v>
      </c>
      <c r="AK366" s="1410"/>
    </row>
    <row r="367" spans="1:66" ht="12.95" customHeight="1">
      <c r="D367" s="3" t="s">
        <v>704</v>
      </c>
      <c r="M367" s="1410" t="s">
        <v>590</v>
      </c>
      <c r="N367" s="1410"/>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10" t="s">
        <v>590</v>
      </c>
      <c r="O372" s="1410"/>
      <c r="P372" s="40"/>
      <c r="Q372" s="40"/>
      <c r="R372" s="40"/>
      <c r="S372" s="40"/>
      <c r="T372" s="40"/>
      <c r="U372" s="40"/>
      <c r="V372" s="40"/>
      <c r="W372" s="40"/>
      <c r="X372" s="40"/>
      <c r="Y372" s="40"/>
      <c r="Z372" s="40"/>
      <c r="AC372" s="40"/>
      <c r="AD372" s="40"/>
      <c r="AE372" s="40"/>
    </row>
    <row r="373" spans="1:34" ht="12.95" customHeight="1">
      <c r="E373" t="s">
        <v>370</v>
      </c>
      <c r="Y373" s="1410" t="s">
        <v>590</v>
      </c>
      <c r="Z373" s="1410"/>
    </row>
    <row r="374" spans="1:34" ht="12.95" customHeight="1">
      <c r="D374" s="4" t="s">
        <v>977</v>
      </c>
      <c r="Q374" s="1402"/>
      <c r="R374" s="1402"/>
      <c r="S374" s="1402"/>
      <c r="T374" s="1402"/>
      <c r="U374" s="1402"/>
      <c r="V374" s="1402"/>
      <c r="W374" s="1402"/>
      <c r="X374" s="1402"/>
      <c r="Y374" s="1402"/>
      <c r="Z374" s="1402"/>
      <c r="AA374" s="1402"/>
      <c r="AB374" s="1402"/>
      <c r="AC374" s="1402"/>
      <c r="AD374" s="1402"/>
      <c r="AE374" s="1402"/>
      <c r="AF374" s="1402"/>
      <c r="AG374" s="140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10" t="s">
        <v>590</v>
      </c>
      <c r="K376" s="1410"/>
      <c r="L376" s="40"/>
      <c r="M376" s="40"/>
      <c r="N376" s="40"/>
      <c r="O376" s="40"/>
      <c r="P376" s="40"/>
      <c r="Q376" s="40"/>
      <c r="R376" s="40"/>
      <c r="S376" s="40"/>
      <c r="T376" s="40"/>
      <c r="U376" s="40"/>
      <c r="V376" s="40"/>
      <c r="W376" s="40"/>
      <c r="X376" s="40"/>
      <c r="Y376" s="40"/>
      <c r="Z376" s="40"/>
      <c r="AC376" s="40"/>
      <c r="AD376" s="40"/>
      <c r="AE376" s="40"/>
    </row>
    <row r="377" spans="1:34" ht="12.95" customHeight="1">
      <c r="E377" s="1508" t="s">
        <v>705</v>
      </c>
      <c r="F377" s="1508"/>
      <c r="G377" s="1508"/>
      <c r="H377" s="1508"/>
      <c r="I377" s="1508"/>
      <c r="J377" s="1508"/>
      <c r="K377" s="1508"/>
      <c r="L377" s="1508"/>
      <c r="M377" s="1508"/>
      <c r="N377" s="1508"/>
      <c r="O377" s="1508"/>
      <c r="P377" s="1508"/>
      <c r="Q377" s="1508"/>
      <c r="R377" s="1508"/>
      <c r="S377" s="1508"/>
      <c r="T377" s="1508"/>
      <c r="U377" s="1508"/>
      <c r="V377" s="1508"/>
      <c r="W377" s="1508"/>
      <c r="X377" s="1508"/>
      <c r="Y377" s="1508"/>
      <c r="Z377" s="1508"/>
      <c r="AA377" s="1508"/>
      <c r="AB377" s="1508"/>
      <c r="AC377" s="1508"/>
      <c r="AD377" s="1508"/>
      <c r="AE377" s="1508"/>
      <c r="AF377" s="1508"/>
      <c r="AG377" s="1508"/>
      <c r="AH377" s="1508"/>
    </row>
    <row r="378" spans="1:34" ht="12.95" customHeight="1">
      <c r="E378" s="1508"/>
      <c r="F378" s="1508"/>
      <c r="G378" s="1508"/>
      <c r="H378" s="1508"/>
      <c r="I378" s="1508"/>
      <c r="J378" s="1508"/>
      <c r="K378" s="1508"/>
      <c r="L378" s="1508"/>
      <c r="M378" s="1508"/>
      <c r="N378" s="1508"/>
      <c r="O378" s="1508"/>
      <c r="P378" s="1508"/>
      <c r="Q378" s="1508"/>
      <c r="R378" s="1508"/>
      <c r="S378" s="1508"/>
      <c r="T378" s="1508"/>
      <c r="U378" s="1508"/>
      <c r="V378" s="1508"/>
      <c r="W378" s="1508"/>
      <c r="X378" s="1508"/>
      <c r="Y378" s="1508"/>
      <c r="Z378" s="1508"/>
      <c r="AA378" s="1508"/>
      <c r="AB378" s="1508"/>
      <c r="AC378" s="1508"/>
      <c r="AD378" s="1508"/>
      <c r="AE378" s="1508"/>
      <c r="AF378" s="1508"/>
      <c r="AG378" s="1508"/>
      <c r="AH378" s="1508"/>
    </row>
    <row r="379" spans="1:34" ht="12.95" customHeight="1">
      <c r="E379" s="4" t="s">
        <v>447</v>
      </c>
      <c r="F379" s="4"/>
      <c r="G379" s="4"/>
      <c r="H379" s="4"/>
      <c r="I379" s="4"/>
      <c r="J379" s="4"/>
      <c r="K379" s="4"/>
      <c r="L379" s="4"/>
      <c r="N379" s="1374"/>
      <c r="O379" s="1374"/>
      <c r="P379" s="1374"/>
      <c r="Q379" s="1374"/>
      <c r="R379" s="4"/>
      <c r="U379" s="4" t="s">
        <v>448</v>
      </c>
      <c r="V379" s="4"/>
      <c r="W379" s="4"/>
      <c r="X379" s="4"/>
      <c r="Y379" s="4"/>
      <c r="Z379" s="4"/>
      <c r="AA379" s="4"/>
      <c r="AB379" s="4"/>
      <c r="AC379" s="1374"/>
      <c r="AD379" s="1374"/>
      <c r="AE379" s="1374"/>
      <c r="AF379" s="1374"/>
    </row>
    <row r="380" spans="1:34" ht="12.95" customHeight="1">
      <c r="E380" s="4" t="s">
        <v>449</v>
      </c>
      <c r="F380" s="4"/>
      <c r="G380" s="4"/>
      <c r="H380" s="4"/>
      <c r="I380" s="4"/>
      <c r="J380" s="4"/>
      <c r="K380" s="4"/>
      <c r="L380" s="4"/>
      <c r="N380" s="1374"/>
      <c r="O380" s="1374"/>
      <c r="P380" s="1374"/>
      <c r="Q380" s="1374"/>
      <c r="R380" s="4"/>
      <c r="U380" s="4" t="s">
        <v>0</v>
      </c>
      <c r="V380" s="4"/>
      <c r="W380" s="4"/>
      <c r="X380" s="4"/>
      <c r="Y380" s="4"/>
      <c r="Z380" s="4"/>
      <c r="AA380" s="4"/>
      <c r="AB380" s="4"/>
      <c r="AC380" s="1374"/>
      <c r="AD380" s="1374"/>
      <c r="AE380" s="1374"/>
      <c r="AF380" s="1374"/>
    </row>
    <row r="381" spans="1:34" ht="12.95" customHeight="1">
      <c r="E381" s="4" t="s">
        <v>1</v>
      </c>
      <c r="F381" s="4"/>
      <c r="G381" s="4"/>
      <c r="H381" s="4"/>
      <c r="I381" s="4"/>
      <c r="J381" s="4"/>
      <c r="K381" s="4"/>
      <c r="L381" s="4"/>
      <c r="N381" s="1374"/>
      <c r="O381" s="1374"/>
      <c r="P381" s="1374"/>
      <c r="Q381" s="1374"/>
      <c r="R381" s="4"/>
      <c r="V381" s="4"/>
      <c r="W381" s="4"/>
      <c r="X381" s="4"/>
      <c r="Y381" s="4"/>
      <c r="Z381" s="4"/>
      <c r="AA381" s="4"/>
      <c r="AB381" s="4"/>
    </row>
    <row r="382" spans="1:34" ht="12.95" customHeight="1">
      <c r="E382" s="4" t="s">
        <v>2</v>
      </c>
      <c r="F382" s="4"/>
      <c r="G382" s="4"/>
      <c r="H382" s="4"/>
      <c r="I382" s="4"/>
      <c r="J382" s="4"/>
      <c r="K382" s="4"/>
      <c r="L382" s="4"/>
      <c r="N382" s="1513"/>
      <c r="O382" s="1513"/>
      <c r="P382" s="1513"/>
      <c r="Q382" s="1513"/>
      <c r="R382" s="1513"/>
      <c r="S382" s="1513"/>
      <c r="T382" s="1513"/>
      <c r="U382" s="1513"/>
      <c r="V382" s="1513"/>
      <c r="W382" s="1513"/>
      <c r="X382" s="1513"/>
      <c r="Y382" s="1513"/>
      <c r="Z382" s="1513"/>
      <c r="AA382" s="1513"/>
      <c r="AB382" s="1513"/>
      <c r="AC382" s="1513"/>
      <c r="AD382" s="1513"/>
      <c r="AE382" s="1513"/>
      <c r="AF382" s="1513"/>
    </row>
    <row r="383" spans="1:34" ht="12.95" customHeight="1">
      <c r="E383" s="4"/>
      <c r="F383" s="4"/>
      <c r="G383" s="4"/>
      <c r="H383" s="4"/>
      <c r="I383" s="4"/>
      <c r="J383" s="4"/>
      <c r="K383" s="4"/>
      <c r="L383" s="4"/>
      <c r="N383" s="1514"/>
      <c r="O383" s="1514"/>
      <c r="P383" s="1514"/>
      <c r="Q383" s="1514"/>
      <c r="R383" s="1514"/>
      <c r="S383" s="1514"/>
      <c r="T383" s="1514"/>
      <c r="U383" s="1514"/>
      <c r="V383" s="1514"/>
      <c r="W383" s="1514"/>
      <c r="X383" s="1514"/>
      <c r="Y383" s="1514"/>
      <c r="Z383" s="1514"/>
      <c r="AA383" s="1514"/>
      <c r="AB383" s="1514"/>
      <c r="AC383" s="1514"/>
      <c r="AD383" s="1514"/>
      <c r="AE383" s="1514"/>
      <c r="AF383" s="1514"/>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509"/>
      <c r="T386" s="1509"/>
      <c r="U386" s="1" t="s">
        <v>306</v>
      </c>
      <c r="V386" s="1509"/>
      <c r="W386" s="1509"/>
      <c r="Y386" t="s">
        <v>2036</v>
      </c>
      <c r="AC386" s="27" t="s">
        <v>305</v>
      </c>
      <c r="AD386" s="1509"/>
      <c r="AE386" s="1509"/>
      <c r="AF386" s="1" t="s">
        <v>306</v>
      </c>
      <c r="AG386" s="1509"/>
      <c r="AH386" s="1509"/>
    </row>
    <row r="387" spans="1:36" ht="12.95" customHeight="1">
      <c r="E387" s="4" t="s">
        <v>986</v>
      </c>
      <c r="F387" s="4"/>
      <c r="G387" s="4"/>
      <c r="H387" s="4"/>
      <c r="I387" s="4"/>
      <c r="J387" s="4"/>
      <c r="K387" s="4"/>
      <c r="L387" s="4"/>
      <c r="N387" s="1509"/>
      <c r="O387" s="1509"/>
      <c r="P387" s="1509"/>
    </row>
    <row r="388" spans="1:36" ht="12.95" customHeight="1">
      <c r="E388" s="204" t="s">
        <v>2041</v>
      </c>
      <c r="F388" s="4"/>
      <c r="G388" s="4"/>
      <c r="H388" s="4"/>
      <c r="I388" s="4"/>
      <c r="J388" s="4"/>
      <c r="K388" s="4"/>
      <c r="L388" s="4"/>
      <c r="AG388" s="1512" t="s">
        <v>590</v>
      </c>
      <c r="AH388" s="1512"/>
    </row>
    <row r="389" spans="1:36" ht="12.95" customHeight="1">
      <c r="E389" s="4"/>
      <c r="F389" s="4"/>
      <c r="G389" s="4" t="s">
        <v>2042</v>
      </c>
      <c r="H389" s="4"/>
      <c r="I389" s="4"/>
      <c r="J389" s="4"/>
      <c r="K389" s="4"/>
      <c r="L389" s="4"/>
      <c r="AG389" s="1512" t="s">
        <v>590</v>
      </c>
      <c r="AH389" s="1512"/>
    </row>
    <row r="390" spans="1:36" ht="12.95" customHeight="1">
      <c r="E390" s="4"/>
      <c r="F390" s="4"/>
      <c r="G390" s="320" t="s">
        <v>987</v>
      </c>
      <c r="H390" s="4"/>
      <c r="I390" s="4"/>
      <c r="J390" s="4"/>
      <c r="K390" s="4"/>
      <c r="L390" s="4"/>
      <c r="V390" s="1410" t="s">
        <v>590</v>
      </c>
      <c r="W390" s="1410"/>
      <c r="Y390" s="22" t="s">
        <v>979</v>
      </c>
    </row>
    <row r="391" spans="1:36" ht="12.95" customHeight="1">
      <c r="E391" s="4" t="s">
        <v>980</v>
      </c>
      <c r="F391" s="4"/>
      <c r="G391" s="4"/>
      <c r="H391" s="4"/>
      <c r="I391" s="4"/>
      <c r="J391" s="4"/>
      <c r="K391" s="4"/>
      <c r="L391" s="4"/>
      <c r="V391" s="1410" t="s">
        <v>590</v>
      </c>
      <c r="W391" s="1410"/>
      <c r="Y391" s="4" t="s">
        <v>981</v>
      </c>
    </row>
    <row r="392" spans="1:36" ht="12.95" customHeight="1"/>
    <row r="393" spans="1:36" ht="12.95" customHeight="1">
      <c r="A393" s="2" t="s">
        <v>78</v>
      </c>
      <c r="B393" s="2"/>
    </row>
    <row r="394" spans="1:36" ht="12.95" customHeight="1">
      <c r="D394" t="s">
        <v>428</v>
      </c>
      <c r="J394" s="1503" t="s">
        <v>2740</v>
      </c>
      <c r="K394" s="1402"/>
      <c r="L394" s="1402"/>
      <c r="M394" s="1402"/>
      <c r="N394" s="1402"/>
      <c r="O394" s="1402"/>
      <c r="P394" s="1402"/>
      <c r="Q394" s="1402"/>
      <c r="R394" s="1402"/>
      <c r="S394" s="1402"/>
      <c r="T394" s="1402"/>
      <c r="U394" s="1402"/>
      <c r="V394" s="8" t="s">
        <v>83</v>
      </c>
      <c r="W394" s="8"/>
      <c r="X394" s="8"/>
      <c r="Y394" s="8"/>
      <c r="Z394" s="8"/>
      <c r="AA394" s="8"/>
      <c r="AB394" s="8"/>
      <c r="AC394" s="1503" t="s">
        <v>2741</v>
      </c>
      <c r="AD394" s="1402"/>
      <c r="AE394" s="1402"/>
      <c r="AF394" s="1402"/>
      <c r="AG394" s="1402"/>
      <c r="AH394" s="1402"/>
      <c r="AI394" s="1402"/>
      <c r="AJ394" s="1402"/>
    </row>
    <row r="395" spans="1:36" ht="12.95" customHeight="1">
      <c r="D395" s="3" t="s">
        <v>1181</v>
      </c>
      <c r="J395" s="1463"/>
      <c r="K395" s="1463"/>
      <c r="L395" s="1463"/>
      <c r="M395" s="1463"/>
      <c r="N395" s="1463"/>
      <c r="O395" s="1463"/>
      <c r="P395" s="1463"/>
      <c r="Q395" s="1463"/>
      <c r="R395" s="1463"/>
      <c r="S395" s="1463"/>
      <c r="T395" s="1463"/>
      <c r="U395" s="1463"/>
      <c r="V395" s="3" t="s">
        <v>1181</v>
      </c>
      <c r="W395" s="8"/>
      <c r="X395" s="8"/>
      <c r="Y395" s="8"/>
      <c r="Z395" s="8"/>
      <c r="AA395" s="8"/>
      <c r="AB395" s="8"/>
      <c r="AC395" s="1402"/>
      <c r="AD395" s="1402"/>
      <c r="AE395" s="1402"/>
      <c r="AF395" s="1402"/>
      <c r="AG395" s="1402"/>
      <c r="AH395" s="1402"/>
      <c r="AI395" s="1402"/>
      <c r="AJ395" s="1402"/>
    </row>
    <row r="396" spans="1:36" ht="12.95" customHeight="1">
      <c r="D396" s="3" t="s">
        <v>440</v>
      </c>
      <c r="J396" s="1463" t="s">
        <v>2769</v>
      </c>
      <c r="K396" s="1463"/>
      <c r="L396" s="1463"/>
      <c r="M396" s="1463"/>
      <c r="N396" s="1463"/>
      <c r="O396" s="1463"/>
      <c r="P396" s="1463"/>
      <c r="Q396" s="1463"/>
      <c r="R396" s="1463"/>
      <c r="S396" s="1463"/>
      <c r="T396" s="1463"/>
      <c r="U396" s="1463"/>
      <c r="V396" s="3" t="s">
        <v>440</v>
      </c>
      <c r="W396" s="8"/>
      <c r="X396" s="8"/>
      <c r="Y396" s="8"/>
      <c r="Z396" s="8"/>
      <c r="AA396" s="8"/>
      <c r="AB396" s="8"/>
      <c r="AC396" s="1402" t="s">
        <v>2770</v>
      </c>
      <c r="AD396" s="1402"/>
      <c r="AE396" s="1402"/>
      <c r="AF396" s="1402"/>
      <c r="AG396" s="1402"/>
      <c r="AH396" s="1402"/>
      <c r="AI396" s="1402"/>
      <c r="AJ396" s="1402"/>
    </row>
    <row r="397" spans="1:36" ht="12.95" customHeight="1">
      <c r="D397" t="s">
        <v>1177</v>
      </c>
      <c r="J397" s="1413" t="s">
        <v>2768</v>
      </c>
      <c r="K397" s="1413"/>
      <c r="L397" s="1413"/>
      <c r="M397" s="1413"/>
      <c r="N397" s="1413"/>
      <c r="O397" s="1413"/>
      <c r="P397" s="1413"/>
      <c r="Q397" s="1413"/>
      <c r="R397" s="1413"/>
      <c r="S397" s="1413"/>
      <c r="T397" s="1413"/>
      <c r="U397" s="1413"/>
      <c r="V397" s="1402"/>
      <c r="W397" s="1402"/>
      <c r="X397" s="1402"/>
      <c r="Y397" s="1402"/>
      <c r="Z397" s="1402"/>
      <c r="AA397" s="1402"/>
      <c r="AB397" s="1402"/>
      <c r="AC397" s="1402"/>
      <c r="AD397" s="1402"/>
      <c r="AE397" s="1402"/>
      <c r="AF397" s="1402"/>
      <c r="AG397" s="1402"/>
      <c r="AH397" s="1402"/>
      <c r="AI397" s="1402"/>
      <c r="AJ397" s="1402"/>
    </row>
    <row r="398" spans="1:36" ht="12.95" customHeight="1">
      <c r="D398" t="s">
        <v>4</v>
      </c>
      <c r="Q398" s="1581">
        <v>43229</v>
      </c>
      <c r="R398" s="1581"/>
      <c r="S398" s="1581"/>
      <c r="T398" s="1581"/>
      <c r="U398" s="1581"/>
      <c r="V398" t="s">
        <v>309</v>
      </c>
      <c r="AI398" s="1410" t="s">
        <v>668</v>
      </c>
      <c r="AJ398" s="1410"/>
    </row>
    <row r="399" spans="1:36" ht="12.95" customHeight="1">
      <c r="D399" t="s">
        <v>5</v>
      </c>
      <c r="Q399" s="1501" t="s">
        <v>590</v>
      </c>
      <c r="R399" s="1502"/>
      <c r="S399" s="1502"/>
      <c r="T399" s="1502"/>
      <c r="U399" s="1502"/>
      <c r="W399" s="21" t="s">
        <v>74</v>
      </c>
      <c r="AG399" s="1521" t="s">
        <v>668</v>
      </c>
      <c r="AH399" s="1497"/>
      <c r="AI399" s="1497"/>
      <c r="AJ399" s="1497"/>
    </row>
    <row r="400" spans="1:36" ht="12.95" customHeight="1">
      <c r="D400" t="s">
        <v>427</v>
      </c>
      <c r="Q400" s="1448">
        <v>1800000</v>
      </c>
      <c r="R400" s="1448"/>
      <c r="S400" s="1448"/>
      <c r="T400" s="1448"/>
      <c r="U400" s="1448"/>
      <c r="V400" s="3" t="s">
        <v>1180</v>
      </c>
      <c r="AG400" s="1578"/>
      <c r="AH400" s="1578"/>
      <c r="AI400" s="1578"/>
      <c r="AJ400" s="1578"/>
    </row>
    <row r="401" spans="4:36" ht="12.95" customHeight="1">
      <c r="D401" t="s">
        <v>88</v>
      </c>
      <c r="I401" s="1535"/>
      <c r="J401" s="1536"/>
      <c r="K401" s="1536"/>
      <c r="L401" s="1536"/>
      <c r="M401" s="1536"/>
      <c r="N401" s="1536"/>
      <c r="Q401" s="4" t="s">
        <v>206</v>
      </c>
      <c r="S401" s="1520"/>
      <c r="T401" s="1520"/>
      <c r="U401" s="1520"/>
      <c r="V401" t="s">
        <v>73</v>
      </c>
      <c r="AI401" s="1410" t="s">
        <v>668</v>
      </c>
      <c r="AJ401" s="1410"/>
    </row>
    <row r="402" spans="4:36" ht="12.95" customHeight="1">
      <c r="D402" t="s">
        <v>310</v>
      </c>
      <c r="Q402" s="1511"/>
      <c r="R402" s="1511"/>
      <c r="S402" s="1511"/>
      <c r="T402" s="1511"/>
      <c r="U402" s="1511"/>
      <c r="V402" t="s">
        <v>311</v>
      </c>
      <c r="AG402" s="1497">
        <v>981575</v>
      </c>
      <c r="AH402" s="1497"/>
      <c r="AI402" s="1497"/>
      <c r="AJ402" s="1497"/>
    </row>
    <row r="403" spans="4:36" ht="12.95" customHeight="1">
      <c r="D403" t="s">
        <v>312</v>
      </c>
      <c r="Q403" s="1568"/>
      <c r="R403" s="1568"/>
      <c r="S403" s="1568"/>
      <c r="T403" s="1568"/>
      <c r="U403" s="1568"/>
      <c r="V403" t="s">
        <v>1162</v>
      </c>
      <c r="AG403" s="1497"/>
      <c r="AH403" s="1497"/>
      <c r="AI403" s="1497"/>
      <c r="AJ403" s="1497"/>
    </row>
    <row r="404" spans="4:36" ht="12.95" customHeight="1">
      <c r="D404" t="s">
        <v>1161</v>
      </c>
      <c r="AG404" s="1497"/>
      <c r="AH404" s="1497"/>
      <c r="AI404" s="1497"/>
      <c r="AJ404" s="1497"/>
    </row>
    <row r="405" spans="4:36" ht="12.95" customHeight="1">
      <c r="AG405" s="456"/>
      <c r="AH405" s="456"/>
      <c r="AI405" s="456"/>
      <c r="AJ405" s="456"/>
    </row>
    <row r="406" spans="4:36" ht="12.95" customHeight="1">
      <c r="D406" s="3" t="s">
        <v>2098</v>
      </c>
      <c r="AG406" s="456"/>
      <c r="AH406" s="456"/>
      <c r="AI406" s="1410" t="s">
        <v>668</v>
      </c>
      <c r="AJ406" s="1410"/>
    </row>
    <row r="407" spans="4:36" ht="12.95" customHeight="1">
      <c r="D407" s="3" t="s">
        <v>1655</v>
      </c>
      <c r="T407" s="1447"/>
      <c r="U407" s="1447"/>
      <c r="V407" s="1447"/>
      <c r="W407" s="1447"/>
      <c r="X407" s="1447"/>
      <c r="Y407" s="1447"/>
      <c r="Z407" s="1447"/>
      <c r="AA407" s="1447"/>
      <c r="AB407" s="1447"/>
      <c r="AC407" s="1447"/>
      <c r="AD407" s="1447"/>
      <c r="AE407" s="1447"/>
      <c r="AF407" s="1447"/>
      <c r="AG407" s="1447"/>
      <c r="AH407" s="1447"/>
      <c r="AI407" s="1447"/>
      <c r="AJ407" s="1447"/>
    </row>
    <row r="408" spans="4:36" ht="12.95" customHeight="1">
      <c r="D408" s="3" t="s">
        <v>1654</v>
      </c>
      <c r="T408" s="1447"/>
      <c r="U408" s="1447"/>
      <c r="V408" s="1447"/>
      <c r="W408" s="1447"/>
      <c r="X408" s="1447"/>
      <c r="Y408" s="1447"/>
      <c r="Z408" s="1447"/>
      <c r="AA408" s="1447"/>
      <c r="AB408" s="1447"/>
      <c r="AC408" s="1447"/>
      <c r="AD408" s="1447"/>
      <c r="AE408" s="1447"/>
      <c r="AF408" s="1447"/>
      <c r="AG408" s="1447"/>
      <c r="AH408" s="1447"/>
      <c r="AI408" s="1447"/>
      <c r="AJ408" s="1447"/>
    </row>
    <row r="409" spans="4:36" ht="12.95" customHeight="1">
      <c r="AG409" s="456"/>
      <c r="AH409" s="456"/>
      <c r="AI409" s="456"/>
      <c r="AJ409" s="456"/>
    </row>
    <row r="410" spans="4:36" ht="12.95" customHeight="1">
      <c r="D410" s="3" t="s">
        <v>1648</v>
      </c>
      <c r="S410" s="1447" t="s">
        <v>668</v>
      </c>
      <c r="T410" s="1447"/>
      <c r="U410" s="1447"/>
      <c r="V410" t="s">
        <v>1649</v>
      </c>
      <c r="AG410" s="1505"/>
      <c r="AH410" s="1505"/>
      <c r="AI410" s="1505"/>
      <c r="AJ410" s="1505"/>
    </row>
    <row r="411" spans="4:36" ht="12.95" customHeight="1">
      <c r="D411" s="3" t="s">
        <v>1646</v>
      </c>
      <c r="S411" s="1447" t="s">
        <v>590</v>
      </c>
      <c r="T411" s="1447"/>
      <c r="U411" s="1447"/>
      <c r="V411" t="s">
        <v>1651</v>
      </c>
      <c r="AE411" s="1519"/>
      <c r="AF411" s="1519"/>
      <c r="AG411" s="1519"/>
      <c r="AH411" s="1519"/>
      <c r="AI411" s="1519"/>
      <c r="AJ411" s="1519"/>
    </row>
    <row r="412" spans="4:36" ht="12.95" customHeight="1">
      <c r="D412" s="3" t="s">
        <v>1647</v>
      </c>
      <c r="K412" s="1538"/>
      <c r="L412" s="1538"/>
      <c r="M412" s="1538"/>
      <c r="N412" s="1538"/>
      <c r="O412" s="1538"/>
      <c r="P412" s="1538"/>
      <c r="Q412" s="1538"/>
      <c r="R412" s="1538"/>
      <c r="S412" s="1538"/>
      <c r="T412" s="1538"/>
      <c r="U412" s="1538"/>
      <c r="V412" s="1538"/>
      <c r="W412" s="1538"/>
      <c r="X412" s="1538"/>
      <c r="Y412" s="1538"/>
      <c r="Z412" s="1538"/>
      <c r="AA412" s="1538"/>
      <c r="AB412" s="1538"/>
      <c r="AC412" s="1538"/>
      <c r="AD412" s="1538"/>
      <c r="AE412" s="1538"/>
      <c r="AF412" s="1538"/>
      <c r="AG412" s="1538"/>
      <c r="AH412" s="1538"/>
      <c r="AI412" s="1538"/>
      <c r="AJ412" s="1538"/>
    </row>
    <row r="413" spans="4:36" ht="12.95" customHeight="1">
      <c r="D413" s="3" t="s">
        <v>1650</v>
      </c>
      <c r="K413" s="1538"/>
      <c r="L413" s="1538"/>
      <c r="M413" s="1538"/>
      <c r="N413" s="1538"/>
      <c r="O413" s="1538"/>
      <c r="P413" s="1538"/>
      <c r="Q413" s="1538"/>
      <c r="R413" s="1538"/>
      <c r="S413" s="1538"/>
      <c r="T413" s="1538"/>
      <c r="U413" s="1538"/>
      <c r="V413" s="1538"/>
      <c r="W413" s="1538"/>
      <c r="X413" s="1538"/>
      <c r="Y413" s="1538"/>
      <c r="Z413" s="1538"/>
      <c r="AA413" s="1538"/>
      <c r="AB413" s="1538"/>
      <c r="AC413" s="1538"/>
      <c r="AD413" s="1538"/>
      <c r="AE413" s="1538"/>
      <c r="AF413" s="1538"/>
      <c r="AG413" s="1538"/>
      <c r="AH413" s="1538"/>
      <c r="AI413" s="1538"/>
      <c r="AJ413" s="1538"/>
    </row>
    <row r="414" spans="4:36" ht="12.95" customHeight="1">
      <c r="D414" s="3" t="s">
        <v>1653</v>
      </c>
      <c r="E414" s="477"/>
      <c r="F414" s="477"/>
      <c r="G414" s="477"/>
      <c r="H414" s="477"/>
      <c r="I414" s="477"/>
      <c r="J414" s="477"/>
      <c r="K414" s="477"/>
      <c r="L414" s="477"/>
      <c r="M414" s="477"/>
      <c r="N414" s="477"/>
      <c r="O414" s="477"/>
      <c r="P414" s="477"/>
      <c r="Q414" s="477"/>
      <c r="R414" s="477"/>
      <c r="S414" s="1518" t="s">
        <v>1183</v>
      </c>
      <c r="T414" s="1518"/>
      <c r="U414" s="1518"/>
      <c r="V414" s="1518"/>
      <c r="W414" s="1518"/>
      <c r="X414" s="1518"/>
      <c r="Y414" s="1518"/>
      <c r="Z414" s="1518"/>
      <c r="AA414" s="1518"/>
      <c r="AB414" s="1518"/>
      <c r="AC414" s="1518"/>
      <c r="AD414" s="1518"/>
      <c r="AE414" s="1518"/>
      <c r="AF414" s="1518"/>
      <c r="AG414" s="1518"/>
      <c r="AH414" s="1518"/>
      <c r="AI414" s="1518"/>
      <c r="AJ414" s="1518"/>
    </row>
    <row r="415" spans="4:36" ht="12.95"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503" t="s">
        <v>2774</v>
      </c>
      <c r="J419" s="1503"/>
      <c r="K419" s="1503"/>
      <c r="L419" s="1503"/>
      <c r="M419" s="1503"/>
      <c r="N419" s="1503"/>
      <c r="O419" s="1503"/>
      <c r="P419" s="1503"/>
      <c r="Q419" s="1503"/>
      <c r="R419" s="1503"/>
      <c r="S419" s="1503"/>
      <c r="T419" s="1503"/>
      <c r="U419" s="1503"/>
      <c r="V419" s="1503"/>
      <c r="W419" s="1503"/>
      <c r="X419" s="1503"/>
      <c r="Y419" s="1503"/>
      <c r="Z419" s="1503"/>
      <c r="AA419" s="1503"/>
      <c r="AB419" s="1503"/>
      <c r="AC419" s="1503"/>
      <c r="AD419" s="1503"/>
      <c r="AE419" s="1503"/>
    </row>
    <row r="420" spans="1:39" ht="12.95" customHeight="1">
      <c r="E420" t="s">
        <v>106</v>
      </c>
      <c r="R420" s="1410" t="s">
        <v>590</v>
      </c>
      <c r="S420" s="1410"/>
      <c r="AC420" s="27" t="s">
        <v>569</v>
      </c>
      <c r="AD420" s="1515" t="s">
        <v>590</v>
      </c>
      <c r="AE420" s="1374"/>
    </row>
    <row r="421" spans="1:39" ht="12.95" customHeight="1">
      <c r="E421" t="s">
        <v>107</v>
      </c>
      <c r="R421" s="1410" t="s">
        <v>544</v>
      </c>
      <c r="S421" s="1410"/>
      <c r="AC421" s="27" t="s">
        <v>569</v>
      </c>
      <c r="AD421" s="1374">
        <v>2</v>
      </c>
      <c r="AE421" s="1374"/>
    </row>
    <row r="422" spans="1:39" ht="12.95" customHeight="1">
      <c r="E422" t="s">
        <v>108</v>
      </c>
      <c r="S422" s="1410" t="s">
        <v>590</v>
      </c>
      <c r="T422" s="1410"/>
    </row>
    <row r="423" spans="1:39" ht="12.95" customHeight="1">
      <c r="E423" t="s">
        <v>170</v>
      </c>
      <c r="H423" s="1569" t="s">
        <v>2703</v>
      </c>
      <c r="I423" s="1569"/>
      <c r="J423" s="1569"/>
      <c r="K423" s="1569"/>
      <c r="L423" s="1569"/>
      <c r="M423" s="1569"/>
      <c r="N423" s="1569"/>
      <c r="O423" s="1569"/>
      <c r="P423" s="1569"/>
      <c r="Q423" s="1569"/>
      <c r="R423" s="1569"/>
      <c r="S423" s="1569"/>
      <c r="T423" s="1569"/>
      <c r="U423" s="1569"/>
      <c r="V423" s="1569"/>
      <c r="W423" s="1569"/>
      <c r="X423" s="1569"/>
      <c r="Y423" s="1569"/>
      <c r="Z423" s="1569"/>
      <c r="AA423" s="1569"/>
      <c r="AB423" s="1569"/>
      <c r="AC423" s="1569"/>
      <c r="AD423" s="1569"/>
      <c r="AE423" s="1569"/>
    </row>
    <row r="424" spans="1:39" ht="12.95" customHeight="1">
      <c r="H424" s="1570"/>
      <c r="I424" s="1570"/>
      <c r="J424" s="1570"/>
      <c r="K424" s="1570"/>
      <c r="L424" s="1570"/>
      <c r="M424" s="1570"/>
      <c r="N424" s="1570"/>
      <c r="O424" s="1570"/>
      <c r="P424" s="1570"/>
      <c r="Q424" s="1570"/>
      <c r="R424" s="1570"/>
      <c r="S424" s="1570"/>
      <c r="T424" s="1570"/>
      <c r="U424" s="1570"/>
      <c r="V424" s="1570"/>
      <c r="W424" s="1570"/>
      <c r="X424" s="1570"/>
      <c r="Y424" s="1570"/>
      <c r="Z424" s="1570"/>
      <c r="AA424" s="1570"/>
      <c r="AB424" s="1570"/>
      <c r="AC424" s="1570"/>
      <c r="AD424" s="1570"/>
      <c r="AE424" s="1570"/>
    </row>
    <row r="425" spans="1:39" ht="12.95" customHeight="1"/>
    <row r="426" spans="1:39" ht="12.95" customHeight="1">
      <c r="A426" s="2" t="s">
        <v>589</v>
      </c>
      <c r="B426" s="2"/>
      <c r="C426" s="2"/>
      <c r="D426" s="2" t="s">
        <v>114</v>
      </c>
      <c r="AF426" s="2" t="s">
        <v>956</v>
      </c>
    </row>
    <row r="427" spans="1:39" ht="12.95" customHeight="1">
      <c r="E427" s="1509"/>
      <c r="F427" s="1509"/>
      <c r="G427" s="1509"/>
      <c r="H427" s="13" t="s">
        <v>115</v>
      </c>
      <c r="I427" s="1509"/>
      <c r="J427" s="1509"/>
      <c r="K427" s="1509"/>
      <c r="L427" t="s">
        <v>116</v>
      </c>
      <c r="N427" s="27" t="s">
        <v>574</v>
      </c>
      <c r="P427" s="1498">
        <v>1.35</v>
      </c>
      <c r="Q427" s="1498"/>
      <c r="R427" s="1498"/>
      <c r="S427" t="s">
        <v>117</v>
      </c>
      <c r="W427" s="1510">
        <f>IF(E427&gt;0,(E427*I427),(P427*43560))</f>
        <v>58806.000000000007</v>
      </c>
      <c r="X427" s="1510"/>
      <c r="Y427" s="1510"/>
      <c r="Z427" t="s">
        <v>118</v>
      </c>
      <c r="AF427" s="1579">
        <f>IFERROR(IF(P427&gt;0,(AG446/P427),(AG446/(W427/43560))),0)</f>
        <v>20.74074074074074</v>
      </c>
      <c r="AG427" s="1579"/>
      <c r="AH427" s="1579"/>
      <c r="AM427" s="3"/>
    </row>
    <row r="428" spans="1:39" ht="12.95" customHeight="1">
      <c r="E428" t="s">
        <v>51</v>
      </c>
    </row>
    <row r="429" spans="1:39" ht="12.95" customHeight="1">
      <c r="E429" s="1493"/>
      <c r="F429" s="1493"/>
      <c r="G429" s="1493"/>
      <c r="H429" s="1493"/>
      <c r="I429" s="1493"/>
      <c r="J429" s="1493"/>
      <c r="K429" s="1493"/>
      <c r="L429" s="1493"/>
      <c r="M429" s="1493"/>
      <c r="N429" s="1493"/>
      <c r="O429" s="1493"/>
      <c r="P429" s="1493"/>
      <c r="Q429" s="1493"/>
      <c r="R429" s="1493"/>
      <c r="S429" s="1493"/>
      <c r="T429" s="1493"/>
      <c r="U429" s="1493"/>
      <c r="V429" s="1493"/>
      <c r="W429" s="1493"/>
      <c r="X429" s="1493"/>
      <c r="Y429" s="1493"/>
      <c r="Z429" s="1493"/>
      <c r="AA429" s="1493"/>
      <c r="AB429" s="1493"/>
      <c r="AC429" s="1493"/>
      <c r="AD429" s="1493"/>
      <c r="AE429" s="1493"/>
      <c r="AF429" s="1493"/>
      <c r="AG429" s="1493"/>
      <c r="AH429" s="1493"/>
      <c r="AI429" s="1493"/>
      <c r="AJ429" s="1493"/>
    </row>
    <row r="430" spans="1:39" ht="12.95" customHeight="1">
      <c r="E430" s="118" t="s">
        <v>1724</v>
      </c>
      <c r="F430" s="1008"/>
      <c r="G430" s="1008"/>
      <c r="H430" s="1008"/>
      <c r="I430" s="1495">
        <v>3.19</v>
      </c>
      <c r="J430" s="1495"/>
      <c r="K430" s="1495"/>
      <c r="L430" s="1008"/>
      <c r="M430" s="118"/>
      <c r="N430" s="1008"/>
      <c r="O430" s="1008"/>
      <c r="P430" s="1580">
        <f>(DU763+DU786+DU808)/I430</f>
        <v>16.927899686520377</v>
      </c>
      <c r="Q430" s="1580"/>
      <c r="R430" s="1580"/>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410">
        <v>3</v>
      </c>
      <c r="Q433" s="1410"/>
      <c r="S433" t="s">
        <v>189</v>
      </c>
      <c r="AE433" s="1410">
        <v>2</v>
      </c>
      <c r="AF433" s="1410"/>
    </row>
    <row r="434" spans="1:36" ht="12.95" customHeight="1">
      <c r="E434" t="s">
        <v>190</v>
      </c>
      <c r="P434" s="1410">
        <v>1</v>
      </c>
      <c r="Q434" s="1410"/>
      <c r="S434" t="s">
        <v>131</v>
      </c>
      <c r="AE434" s="1410" t="s">
        <v>590</v>
      </c>
      <c r="AF434" s="1410"/>
    </row>
    <row r="435" spans="1:36" ht="12.95" customHeight="1">
      <c r="F435" s="28" t="s">
        <v>132</v>
      </c>
    </row>
    <row r="436" spans="1:36" ht="12.95" customHeight="1">
      <c r="F436" s="1516"/>
      <c r="G436" s="1516"/>
      <c r="H436" s="1516"/>
      <c r="I436" s="1516"/>
      <c r="J436" s="1516"/>
      <c r="K436" s="1516"/>
      <c r="L436" s="1516"/>
      <c r="M436" s="1516"/>
      <c r="N436" s="1516"/>
      <c r="O436" s="1516"/>
      <c r="P436" s="1516"/>
      <c r="Q436" s="1516"/>
      <c r="R436" s="1516"/>
      <c r="S436" s="1516"/>
      <c r="T436" s="1516"/>
      <c r="U436" s="1516"/>
      <c r="V436" s="1516"/>
      <c r="W436" s="1516"/>
      <c r="X436" s="1516"/>
      <c r="Y436" s="1516"/>
      <c r="Z436" s="1516"/>
      <c r="AA436" s="1516"/>
      <c r="AB436" s="1516"/>
      <c r="AC436" s="1516"/>
      <c r="AD436" s="1516"/>
      <c r="AE436" s="1516"/>
      <c r="AF436" s="1516"/>
      <c r="AG436" s="1516"/>
      <c r="AH436" s="1516"/>
    </row>
    <row r="437" spans="1:36" ht="12.95" customHeight="1">
      <c r="F437" s="1517"/>
      <c r="G437" s="1517"/>
      <c r="H437" s="1517"/>
      <c r="I437" s="1517"/>
      <c r="J437" s="1517"/>
      <c r="K437" s="1517"/>
      <c r="L437" s="1517"/>
      <c r="M437" s="1517"/>
      <c r="N437" s="1517"/>
      <c r="O437" s="1517"/>
      <c r="P437" s="1517"/>
      <c r="Q437" s="1517"/>
      <c r="R437" s="1517"/>
      <c r="S437" s="1517"/>
      <c r="T437" s="1517"/>
      <c r="U437" s="1517"/>
      <c r="V437" s="1517"/>
      <c r="W437" s="1517"/>
      <c r="X437" s="1517"/>
      <c r="Y437" s="1517"/>
      <c r="Z437" s="1517"/>
      <c r="AA437" s="1517"/>
      <c r="AB437" s="1517"/>
      <c r="AC437" s="1517"/>
      <c r="AD437" s="1517"/>
      <c r="AE437" s="1517"/>
      <c r="AF437" s="1517"/>
      <c r="AG437" s="1517"/>
      <c r="AH437" s="1517"/>
    </row>
    <row r="438" spans="1:36" ht="12.95" customHeight="1">
      <c r="E438" t="s">
        <v>607</v>
      </c>
      <c r="P438" s="1"/>
      <c r="Q438" s="1410" t="s">
        <v>544</v>
      </c>
      <c r="R438" s="1410"/>
    </row>
    <row r="439" spans="1:36" ht="12.95" customHeight="1">
      <c r="F439" t="s">
        <v>608</v>
      </c>
      <c r="P439" s="1"/>
      <c r="Q439" s="1"/>
      <c r="AF439" s="1410" t="s">
        <v>590</v>
      </c>
      <c r="AG439" s="1494"/>
    </row>
    <row r="440" spans="1:36" ht="12.95" customHeight="1"/>
    <row r="441" spans="1:36" ht="12.95" customHeight="1">
      <c r="A441" s="2"/>
      <c r="B441" s="2"/>
      <c r="C441" s="2"/>
      <c r="E441" s="4" t="s">
        <v>308</v>
      </c>
      <c r="Z441" s="1410" t="s">
        <v>668</v>
      </c>
      <c r="AA441" s="141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410" t="s">
        <v>590</v>
      </c>
      <c r="AA443" s="1410"/>
    </row>
    <row r="444" spans="1:36" ht="12.95" customHeight="1"/>
    <row r="445" spans="1:36" ht="12.95" customHeight="1">
      <c r="A445" s="2" t="s">
        <v>466</v>
      </c>
      <c r="B445" s="2"/>
      <c r="C445" s="2"/>
      <c r="D445" s="2" t="s">
        <v>763</v>
      </c>
      <c r="AF445" s="48"/>
    </row>
    <row r="446" spans="1:36" ht="12.95" customHeight="1">
      <c r="D446" s="1436" t="s">
        <v>43</v>
      </c>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8"/>
      <c r="AG446" s="1474">
        <v>28</v>
      </c>
      <c r="AH446" s="1474"/>
      <c r="AI446" s="1474"/>
      <c r="AJ446" s="1474"/>
    </row>
    <row r="447" spans="1:36" ht="12.95" customHeight="1">
      <c r="D447" s="1442" t="s">
        <v>1221</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99">
        <v>0</v>
      </c>
      <c r="AH447" s="1500"/>
      <c r="AI447" s="1500"/>
      <c r="AJ447" s="1500"/>
    </row>
    <row r="448" spans="1:36" ht="12.95" customHeight="1">
      <c r="D448" s="1442" t="s">
        <v>1030</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74">
        <v>28</v>
      </c>
      <c r="AH448" s="1474"/>
      <c r="AI448" s="1474"/>
      <c r="AJ448" s="1474"/>
    </row>
    <row r="449" spans="4:55" ht="12.95" customHeight="1">
      <c r="D449" s="1442" t="s">
        <v>1031</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74">
        <v>28</v>
      </c>
      <c r="AH449" s="1474"/>
      <c r="AI449" s="1474"/>
      <c r="AJ449" s="1474"/>
    </row>
    <row r="450" spans="4:55" ht="12.95" customHeight="1">
      <c r="D450" s="1442" t="s">
        <v>1033</v>
      </c>
      <c r="E450" s="1443"/>
      <c r="F450" s="1443"/>
      <c r="G450" s="1443"/>
      <c r="H450" s="1443"/>
      <c r="I450" s="1443"/>
      <c r="J450" s="1443"/>
      <c r="K450" s="1443"/>
      <c r="L450" s="1443"/>
      <c r="M450" s="1443"/>
      <c r="N450" s="1443"/>
      <c r="O450" s="1443"/>
      <c r="P450" s="1443"/>
      <c r="Q450" s="1443"/>
      <c r="R450" s="1443"/>
      <c r="S450" s="1443"/>
      <c r="T450" s="1443"/>
      <c r="U450" s="1443"/>
      <c r="V450" s="1443"/>
      <c r="W450" s="1443"/>
      <c r="X450" s="1443"/>
      <c r="Y450" s="1443"/>
      <c r="Z450" s="1443"/>
      <c r="AA450" s="1443"/>
      <c r="AB450" s="1443"/>
      <c r="AC450" s="1443"/>
      <c r="AD450" s="1443"/>
      <c r="AE450" s="1443"/>
      <c r="AF450" s="1444"/>
      <c r="AG450" s="1434">
        <f>IF(ISERROR(AG449/AG448),0,AG449/AG448)</f>
        <v>1</v>
      </c>
      <c r="AH450" s="1434"/>
      <c r="AI450" s="1434"/>
      <c r="AJ450" s="1434"/>
    </row>
    <row r="451" spans="4:55" ht="12.95" customHeight="1">
      <c r="D451" s="1442" t="s">
        <v>1032</v>
      </c>
      <c r="E451" s="1443"/>
      <c r="F451" s="1443"/>
      <c r="G451" s="1443"/>
      <c r="H451" s="1443"/>
      <c r="I451" s="1443"/>
      <c r="J451" s="1443"/>
      <c r="K451" s="1443"/>
      <c r="L451" s="1443"/>
      <c r="M451" s="1443"/>
      <c r="N451" s="1443"/>
      <c r="O451" s="1443"/>
      <c r="P451" s="1443"/>
      <c r="Q451" s="1443"/>
      <c r="R451" s="1443"/>
      <c r="S451" s="1443"/>
      <c r="T451" s="1443"/>
      <c r="U451" s="1443"/>
      <c r="V451" s="1443"/>
      <c r="W451" s="1443"/>
      <c r="X451" s="1443"/>
      <c r="Y451" s="1443"/>
      <c r="Z451" s="1443"/>
      <c r="AA451" s="1443"/>
      <c r="AB451" s="1443"/>
      <c r="AC451" s="1443"/>
      <c r="AD451" s="1443"/>
      <c r="AE451" s="1443"/>
      <c r="AF451" s="1444"/>
      <c r="AG451" s="1445">
        <v>29470</v>
      </c>
      <c r="AH451" s="1445"/>
      <c r="AI451" s="1445"/>
      <c r="AJ451" s="1445"/>
    </row>
    <row r="452" spans="4:55" ht="12.95" customHeight="1">
      <c r="D452" s="1442" t="s">
        <v>1034</v>
      </c>
      <c r="E452" s="1443"/>
      <c r="F452" s="1443"/>
      <c r="G452" s="1443"/>
      <c r="H452" s="1443"/>
      <c r="I452" s="1443"/>
      <c r="J452" s="1443"/>
      <c r="K452" s="1443"/>
      <c r="L452" s="1443"/>
      <c r="M452" s="1443"/>
      <c r="N452" s="1443"/>
      <c r="O452" s="1443"/>
      <c r="P452" s="1443"/>
      <c r="Q452" s="1443"/>
      <c r="R452" s="1443"/>
      <c r="S452" s="1443"/>
      <c r="T452" s="1443"/>
      <c r="U452" s="1443"/>
      <c r="V452" s="1443"/>
      <c r="W452" s="1443"/>
      <c r="X452" s="1443"/>
      <c r="Y452" s="1443"/>
      <c r="Z452" s="1443"/>
      <c r="AA452" s="1443"/>
      <c r="AB452" s="1443"/>
      <c r="AC452" s="1443"/>
      <c r="AD452" s="1443"/>
      <c r="AE452" s="1443"/>
      <c r="AF452" s="1444"/>
      <c r="AG452" s="1445">
        <v>29470</v>
      </c>
      <c r="AH452" s="1445"/>
      <c r="AI452" s="1445"/>
      <c r="AJ452" s="1445"/>
    </row>
    <row r="453" spans="4:55" ht="12.95" customHeight="1">
      <c r="D453" s="1442" t="s">
        <v>1035</v>
      </c>
      <c r="E453" s="1443"/>
      <c r="F453" s="1443"/>
      <c r="G453" s="1443"/>
      <c r="H453" s="1443"/>
      <c r="I453" s="1443"/>
      <c r="J453" s="1443"/>
      <c r="K453" s="1443"/>
      <c r="L453" s="1443"/>
      <c r="M453" s="1443"/>
      <c r="N453" s="1443"/>
      <c r="O453" s="1443"/>
      <c r="P453" s="1443"/>
      <c r="Q453" s="1443"/>
      <c r="R453" s="1443"/>
      <c r="S453" s="1443"/>
      <c r="T453" s="1443"/>
      <c r="U453" s="1443"/>
      <c r="V453" s="1443"/>
      <c r="W453" s="1443"/>
      <c r="X453" s="1443"/>
      <c r="Y453" s="1443"/>
      <c r="Z453" s="1443"/>
      <c r="AA453" s="1443"/>
      <c r="AB453" s="1443"/>
      <c r="AC453" s="1443"/>
      <c r="AD453" s="1443"/>
      <c r="AE453" s="1443"/>
      <c r="AF453" s="1444"/>
      <c r="AG453" s="1434">
        <f>IF(ISERROR(AG452/AG451),0,AG452/AG451)</f>
        <v>1</v>
      </c>
      <c r="AH453" s="1434"/>
      <c r="AI453" s="1434"/>
      <c r="AJ453" s="1434"/>
    </row>
    <row r="454" spans="4:55" ht="12.95" customHeight="1">
      <c r="D454" s="1442" t="s">
        <v>1036</v>
      </c>
      <c r="E454" s="1443"/>
      <c r="F454" s="1443"/>
      <c r="G454" s="1443"/>
      <c r="H454" s="1443"/>
      <c r="I454" s="1443"/>
      <c r="J454" s="1443"/>
      <c r="K454" s="1443"/>
      <c r="L454" s="1443"/>
      <c r="M454" s="1443"/>
      <c r="N454" s="1443"/>
      <c r="O454" s="1443"/>
      <c r="P454" s="1443"/>
      <c r="Q454" s="1443"/>
      <c r="R454" s="1443"/>
      <c r="S454" s="1443"/>
      <c r="T454" s="1443"/>
      <c r="U454" s="1443"/>
      <c r="V454" s="1443"/>
      <c r="W454" s="1443"/>
      <c r="X454" s="1443"/>
      <c r="Y454" s="1443"/>
      <c r="Z454" s="1443"/>
      <c r="AA454" s="1443"/>
      <c r="AB454" s="1443"/>
      <c r="AC454" s="1443"/>
      <c r="AD454" s="1443"/>
      <c r="AE454" s="1443"/>
      <c r="AF454" s="1444"/>
      <c r="AG454" s="1434">
        <f>MIN(IF(AG450&gt;AG453,AG453,AG450),1)</f>
        <v>1</v>
      </c>
      <c r="AH454" s="1434"/>
      <c r="AI454" s="1434"/>
      <c r="AJ454" s="1434"/>
    </row>
    <row r="455" spans="4:55" ht="12.95" customHeight="1">
      <c r="D455" s="1442" t="s">
        <v>2043</v>
      </c>
      <c r="E455" s="1437"/>
      <c r="F455" s="1437"/>
      <c r="G455" s="1437"/>
      <c r="H455" s="1437"/>
      <c r="I455" s="1437"/>
      <c r="J455" s="1437"/>
      <c r="K455" s="1437"/>
      <c r="L455" s="1437"/>
      <c r="M455" s="1437"/>
      <c r="N455" s="1437"/>
      <c r="O455" s="1437"/>
      <c r="P455" s="1437"/>
      <c r="Q455" s="1437"/>
      <c r="R455" s="1437"/>
      <c r="S455" s="1437"/>
      <c r="T455" s="1437"/>
      <c r="U455" s="1437"/>
      <c r="V455" s="1437"/>
      <c r="W455" s="1437"/>
      <c r="X455" s="1437"/>
      <c r="Y455" s="1437"/>
      <c r="Z455" s="1437"/>
      <c r="AA455" s="1437"/>
      <c r="AB455" s="1437"/>
      <c r="AC455" s="1437"/>
      <c r="AD455" s="1437"/>
      <c r="AE455" s="1437"/>
      <c r="AF455" s="1438"/>
      <c r="AG455" s="1445">
        <v>1218</v>
      </c>
      <c r="AH455" s="1445"/>
      <c r="AI455" s="1445"/>
      <c r="AJ455" s="1445"/>
      <c r="AZ455" s="34"/>
      <c r="BA455" s="34"/>
      <c r="BB455" s="34"/>
      <c r="BC455" s="34"/>
    </row>
    <row r="456" spans="4:55" ht="12.95" customHeight="1">
      <c r="D456" s="1436" t="s">
        <v>568</v>
      </c>
      <c r="E456" s="1437"/>
      <c r="F456" s="1437"/>
      <c r="G456" s="1437"/>
      <c r="H456" s="1437"/>
      <c r="I456" s="1437"/>
      <c r="J456" s="1437"/>
      <c r="K456" s="1437"/>
      <c r="L456" s="1437"/>
      <c r="M456" s="1437"/>
      <c r="N456" s="1437"/>
      <c r="O456" s="1437"/>
      <c r="P456" s="1437"/>
      <c r="Q456" s="1437"/>
      <c r="R456" s="1437"/>
      <c r="S456" s="1437"/>
      <c r="T456" s="1437"/>
      <c r="U456" s="1437"/>
      <c r="V456" s="1437"/>
      <c r="W456" s="1437"/>
      <c r="X456" s="1437"/>
      <c r="Y456" s="1437"/>
      <c r="Z456" s="1437"/>
      <c r="AA456" s="1437"/>
      <c r="AB456" s="1437"/>
      <c r="AC456" s="1437"/>
      <c r="AD456" s="1437"/>
      <c r="AE456" s="1437"/>
      <c r="AF456" s="1438"/>
      <c r="AG456" s="1445">
        <v>0</v>
      </c>
      <c r="AH456" s="1445"/>
      <c r="AI456" s="1445"/>
      <c r="AJ456" s="1445"/>
      <c r="AZ456" s="3"/>
      <c r="BA456" s="3"/>
      <c r="BB456" s="3"/>
      <c r="BC456" s="3"/>
    </row>
    <row r="457" spans="4:55" ht="12.95" customHeight="1">
      <c r="D457" s="1442" t="s">
        <v>1204</v>
      </c>
      <c r="E457" s="1437"/>
      <c r="F457" s="1437"/>
      <c r="G457" s="1437"/>
      <c r="H457" s="1437"/>
      <c r="I457" s="1437"/>
      <c r="J457" s="1437"/>
      <c r="K457" s="1437"/>
      <c r="L457" s="1437"/>
      <c r="M457" s="1437"/>
      <c r="N457" s="1437"/>
      <c r="O457" s="1437"/>
      <c r="P457" s="1437"/>
      <c r="Q457" s="1437"/>
      <c r="R457" s="1437"/>
      <c r="S457" s="1437"/>
      <c r="T457" s="1437"/>
      <c r="U457" s="1437"/>
      <c r="V457" s="1437"/>
      <c r="W457" s="1437"/>
      <c r="X457" s="1437"/>
      <c r="Y457" s="1437"/>
      <c r="Z457" s="1437"/>
      <c r="AA457" s="1437"/>
      <c r="AB457" s="1437"/>
      <c r="AC457" s="1437"/>
      <c r="AD457" s="1437"/>
      <c r="AE457" s="1437"/>
      <c r="AF457" s="1438"/>
      <c r="AG457" s="1445">
        <v>3418</v>
      </c>
      <c r="AH457" s="1445"/>
      <c r="AI457" s="1445"/>
      <c r="AJ457" s="1445"/>
      <c r="AZ457" s="3"/>
      <c r="BA457" s="3"/>
      <c r="BB457" s="3"/>
      <c r="BC457" s="3"/>
    </row>
    <row r="458" spans="4:55" ht="12.95" customHeight="1">
      <c r="D458" s="1442" t="s">
        <v>1037</v>
      </c>
      <c r="E458" s="1437"/>
      <c r="F458" s="1437"/>
      <c r="G458" s="1437"/>
      <c r="H458" s="1437"/>
      <c r="I458" s="1437"/>
      <c r="J458" s="1437"/>
      <c r="K458" s="1437"/>
      <c r="L458" s="1437"/>
      <c r="M458" s="1437"/>
      <c r="N458" s="1437"/>
      <c r="O458" s="1437"/>
      <c r="P458" s="1437"/>
      <c r="Q458" s="1437"/>
      <c r="R458" s="1437"/>
      <c r="S458" s="1437"/>
      <c r="T458" s="1437"/>
      <c r="U458" s="1437"/>
      <c r="V458" s="1437"/>
      <c r="W458" s="1437"/>
      <c r="X458" s="1437"/>
      <c r="Y458" s="1437"/>
      <c r="Z458" s="1437"/>
      <c r="AA458" s="1437"/>
      <c r="AB458" s="1437"/>
      <c r="AC458" s="1437"/>
      <c r="AD458" s="1437"/>
      <c r="AE458" s="1437"/>
      <c r="AF458" s="1438"/>
      <c r="AG458" s="1445">
        <v>17359</v>
      </c>
      <c r="AH458" s="1445"/>
      <c r="AI458" s="1445"/>
      <c r="AJ458" s="1445"/>
      <c r="BB458" s="3"/>
      <c r="BC458" s="3"/>
    </row>
    <row r="459" spans="4:55" ht="12.95" customHeight="1">
      <c r="D459" s="1565" t="s">
        <v>1038</v>
      </c>
      <c r="E459" s="1566"/>
      <c r="F459" s="1566"/>
      <c r="G459" s="1566"/>
      <c r="H459" s="1566"/>
      <c r="I459" s="1566"/>
      <c r="J459" s="1566"/>
      <c r="K459" s="1566"/>
      <c r="L459" s="1566"/>
      <c r="M459" s="1566"/>
      <c r="N459" s="1566"/>
      <c r="O459" s="1566"/>
      <c r="P459" s="1566"/>
      <c r="Q459" s="1566"/>
      <c r="R459" s="1566"/>
      <c r="S459" s="1566"/>
      <c r="T459" s="1566"/>
      <c r="U459" s="1566"/>
      <c r="V459" s="1566"/>
      <c r="W459" s="1566"/>
      <c r="X459" s="1566"/>
      <c r="Y459" s="1566"/>
      <c r="Z459" s="1566"/>
      <c r="AA459" s="1566"/>
      <c r="AB459" s="1566"/>
      <c r="AC459" s="1566"/>
      <c r="AD459" s="1566"/>
      <c r="AE459" s="1566"/>
      <c r="AF459" s="1567"/>
      <c r="AG459" s="1430">
        <f>AG451+AG455+AG457+AG458</f>
        <v>51465</v>
      </c>
      <c r="AH459" s="1430"/>
      <c r="AI459" s="1430"/>
      <c r="AJ459" s="1430"/>
      <c r="AZ459" s="3"/>
      <c r="BA459" s="3"/>
      <c r="BB459" s="3"/>
      <c r="BC459" s="3"/>
    </row>
    <row r="460" spans="4:55" ht="12.95" customHeight="1">
      <c r="D460" s="1571" t="s">
        <v>1205</v>
      </c>
      <c r="E460" s="1571"/>
      <c r="F460" s="1571"/>
      <c r="G460" s="1571"/>
      <c r="H460" s="1571"/>
      <c r="I460" s="1571"/>
      <c r="J460" s="1571"/>
      <c r="K460" s="1571"/>
      <c r="L460" s="1571"/>
      <c r="M460" s="1571"/>
      <c r="N460" s="1571"/>
      <c r="O460" s="1571"/>
      <c r="P460" s="1571"/>
      <c r="Q460" s="1571"/>
      <c r="R460" s="1571"/>
      <c r="S460" s="1571"/>
      <c r="T460" s="1571"/>
      <c r="U460" s="1571"/>
      <c r="V460" s="1571"/>
      <c r="W460" s="1571"/>
      <c r="X460" s="1571"/>
      <c r="Y460" s="1571"/>
      <c r="Z460" s="1571"/>
      <c r="AA460" s="1571"/>
      <c r="AB460" s="1571"/>
      <c r="AC460" s="1571"/>
      <c r="AD460" s="1571"/>
      <c r="AE460" s="1571"/>
      <c r="AF460" s="1571"/>
      <c r="AG460" s="1571"/>
      <c r="AH460" s="1571"/>
      <c r="AI460" s="1571"/>
      <c r="AJ460" s="1571"/>
      <c r="AZ460" s="3"/>
      <c r="BA460" s="3"/>
      <c r="BB460" s="3"/>
      <c r="BC460" s="3"/>
    </row>
    <row r="461" spans="4:55" ht="12.95" customHeight="1">
      <c r="D461" s="1572"/>
      <c r="E461" s="1572"/>
      <c r="F461" s="1572"/>
      <c r="G461" s="1572"/>
      <c r="H461" s="1572"/>
      <c r="I461" s="1572"/>
      <c r="J461" s="1572"/>
      <c r="K461" s="1572"/>
      <c r="L461" s="1572"/>
      <c r="M461" s="1572"/>
      <c r="N461" s="1572"/>
      <c r="O461" s="1572"/>
      <c r="P461" s="1572"/>
      <c r="Q461" s="1572"/>
      <c r="R461" s="1572"/>
      <c r="S461" s="1572"/>
      <c r="T461" s="1572"/>
      <c r="U461" s="1572"/>
      <c r="V461" s="1572"/>
      <c r="W461" s="1572"/>
      <c r="X461" s="1572"/>
      <c r="Y461" s="1572"/>
      <c r="Z461" s="1572"/>
      <c r="AA461" s="1572"/>
      <c r="AB461" s="1572"/>
      <c r="AC461" s="1572"/>
      <c r="AD461" s="1572"/>
      <c r="AE461" s="1572"/>
      <c r="AF461" s="1572"/>
      <c r="AG461" s="1572"/>
      <c r="AH461" s="1572"/>
      <c r="AI461" s="1572"/>
      <c r="AJ461" s="157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67">
        <f>IF(AG446=0,"",'Sources and Uses Budget'!B105/Application!AG446)</f>
        <v>933681.82142857148</v>
      </c>
      <c r="AD463" s="1467"/>
      <c r="AE463" s="1467"/>
      <c r="AF463" s="1467"/>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67">
        <f>IF(AG446=0,"",'Sources and Uses Budget'!C105/Application!AG446)</f>
        <v>933681.82142857148</v>
      </c>
      <c r="AD464" s="1467"/>
      <c r="AE464" s="1467"/>
      <c r="AF464" s="1467"/>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67">
        <f>IF(AG446=0,"",('Sources and Uses Budget'!$S$107+'Sources and Uses Budget'!$T$107)/Application!AG446)</f>
        <v>834380.89285714284</v>
      </c>
      <c r="AD465" s="1467"/>
      <c r="AE465" s="1467"/>
      <c r="AF465" s="1467"/>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5" t="s">
        <v>2055</v>
      </c>
      <c r="E473" s="1432"/>
      <c r="F473" s="1432"/>
      <c r="G473" s="1432"/>
      <c r="H473" s="1432"/>
      <c r="I473" s="1432"/>
      <c r="J473" s="1432"/>
      <c r="K473" s="1432"/>
      <c r="L473" s="1432"/>
      <c r="M473" s="1432"/>
      <c r="N473" s="1432"/>
      <c r="O473" s="1432"/>
      <c r="P473" s="1432"/>
      <c r="Q473" s="1432"/>
      <c r="R473" s="1432"/>
      <c r="S473" s="1432"/>
      <c r="T473" s="1432"/>
      <c r="U473" s="1432"/>
      <c r="V473" s="1433"/>
      <c r="W473" s="1388">
        <v>0</v>
      </c>
      <c r="X473" s="1389"/>
      <c r="Y473" s="139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1" t="s">
        <v>692</v>
      </c>
      <c r="E474" s="1432"/>
      <c r="F474" s="1432"/>
      <c r="G474" s="1432"/>
      <c r="H474" s="1432"/>
      <c r="I474" s="1432"/>
      <c r="J474" s="1432"/>
      <c r="K474" s="1432"/>
      <c r="L474" s="1432"/>
      <c r="M474" s="1432"/>
      <c r="N474" s="1432"/>
      <c r="O474" s="1432"/>
      <c r="P474" s="1432"/>
      <c r="Q474" s="1432"/>
      <c r="R474" s="1432"/>
      <c r="S474" s="1432"/>
      <c r="T474" s="1432"/>
      <c r="U474" s="1432"/>
      <c r="V474" s="1433"/>
      <c r="W474" s="1388">
        <v>0</v>
      </c>
      <c r="X474" s="1389"/>
      <c r="Y474" s="139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1" t="s">
        <v>693</v>
      </c>
      <c r="E475" s="1432"/>
      <c r="F475" s="1432"/>
      <c r="G475" s="1432"/>
      <c r="H475" s="1432"/>
      <c r="I475" s="1432"/>
      <c r="J475" s="1432"/>
      <c r="K475" s="1432"/>
      <c r="L475" s="1432"/>
      <c r="M475" s="1432"/>
      <c r="N475" s="1432"/>
      <c r="O475" s="1432"/>
      <c r="P475" s="1432"/>
      <c r="Q475" s="1432"/>
      <c r="R475" s="1432"/>
      <c r="S475" s="1432"/>
      <c r="T475" s="1432"/>
      <c r="U475" s="1432"/>
      <c r="V475" s="1433"/>
      <c r="W475" s="1388">
        <v>0</v>
      </c>
      <c r="X475" s="1389"/>
      <c r="Y475" s="139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1" t="s">
        <v>694</v>
      </c>
      <c r="E476" s="1432"/>
      <c r="F476" s="1432"/>
      <c r="G476" s="1432"/>
      <c r="H476" s="1432"/>
      <c r="I476" s="1432"/>
      <c r="J476" s="1432"/>
      <c r="K476" s="1432"/>
      <c r="L476" s="1432"/>
      <c r="M476" s="1432"/>
      <c r="N476" s="1432"/>
      <c r="O476" s="1432"/>
      <c r="P476" s="1432"/>
      <c r="Q476" s="1432"/>
      <c r="R476" s="1432"/>
      <c r="S476" s="1432"/>
      <c r="T476" s="1432"/>
      <c r="U476" s="1432"/>
      <c r="V476" s="1433"/>
      <c r="W476" s="1388">
        <v>0</v>
      </c>
      <c r="X476" s="1389"/>
      <c r="Y476" s="139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1" t="s">
        <v>880</v>
      </c>
      <c r="E477" s="1432"/>
      <c r="F477" s="1432"/>
      <c r="G477" s="1432"/>
      <c r="H477" s="1432"/>
      <c r="I477" s="1432"/>
      <c r="J477" s="1432"/>
      <c r="K477" s="1432"/>
      <c r="L477" s="1432"/>
      <c r="M477" s="1432"/>
      <c r="N477" s="1432"/>
      <c r="O477" s="1432"/>
      <c r="P477" s="1432"/>
      <c r="Q477" s="1432"/>
      <c r="R477" s="1432"/>
      <c r="S477" s="1432"/>
      <c r="T477" s="1432"/>
      <c r="U477" s="1432"/>
      <c r="V477" s="1433"/>
      <c r="W477" s="1388">
        <v>0</v>
      </c>
      <c r="X477" s="1389"/>
      <c r="Y477" s="1390"/>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1" t="s">
        <v>695</v>
      </c>
      <c r="E478" s="1432"/>
      <c r="F478" s="1432"/>
      <c r="G478" s="1432"/>
      <c r="H478" s="1432"/>
      <c r="I478" s="1432"/>
      <c r="J478" s="1432"/>
      <c r="K478" s="1432"/>
      <c r="L478" s="1432"/>
      <c r="M478" s="1432"/>
      <c r="N478" s="1432"/>
      <c r="O478" s="1432"/>
      <c r="P478" s="1432"/>
      <c r="Q478" s="1432"/>
      <c r="R478" s="1432"/>
      <c r="S478" s="1432"/>
      <c r="T478" s="1432"/>
      <c r="U478" s="1432"/>
      <c r="V478" s="1433"/>
      <c r="W478" s="1388">
        <v>20</v>
      </c>
      <c r="X478" s="1389"/>
      <c r="Y478" s="1390"/>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31" t="s">
        <v>1011</v>
      </c>
      <c r="E479" s="1432"/>
      <c r="F479" s="1432"/>
      <c r="G479" s="1432"/>
      <c r="H479" s="1432"/>
      <c r="I479" s="1432"/>
      <c r="J479" s="1432"/>
      <c r="K479" s="1432"/>
      <c r="L479" s="1432"/>
      <c r="M479" s="1432"/>
      <c r="N479" s="1432"/>
      <c r="O479" s="1432"/>
      <c r="P479" s="1432"/>
      <c r="Q479" s="1432"/>
      <c r="R479" s="1432"/>
      <c r="S479" s="1432"/>
      <c r="T479" s="1432"/>
      <c r="U479" s="1432"/>
      <c r="V479" s="1433"/>
      <c r="W479" s="1388">
        <v>0</v>
      </c>
      <c r="X479" s="1389"/>
      <c r="Y479" s="139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85" t="s">
        <v>2145</v>
      </c>
      <c r="E480" s="1386"/>
      <c r="F480" s="1386"/>
      <c r="G480" s="1386"/>
      <c r="H480" s="1386"/>
      <c r="I480" s="1386"/>
      <c r="J480" s="1386"/>
      <c r="K480" s="1386"/>
      <c r="L480" s="1386"/>
      <c r="M480" s="1386"/>
      <c r="N480" s="1386"/>
      <c r="O480" s="1386"/>
      <c r="P480" s="1386"/>
      <c r="Q480" s="1386"/>
      <c r="R480" s="1386"/>
      <c r="S480" s="1386"/>
      <c r="T480" s="1386"/>
      <c r="U480" s="1386"/>
      <c r="V480" s="1387"/>
      <c r="W480" s="1388">
        <v>0</v>
      </c>
      <c r="X480" s="1389"/>
      <c r="Y480" s="139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85" t="s">
        <v>1642</v>
      </c>
      <c r="E481" s="1432"/>
      <c r="F481" s="1432"/>
      <c r="G481" s="1432"/>
      <c r="H481" s="1432"/>
      <c r="I481" s="1432"/>
      <c r="J481" s="1432"/>
      <c r="K481" s="1432"/>
      <c r="L481" s="1432"/>
      <c r="M481" s="1432"/>
      <c r="N481" s="1432"/>
      <c r="O481" s="1432"/>
      <c r="P481" s="1432"/>
      <c r="Q481" s="1432"/>
      <c r="R481" s="1432"/>
      <c r="S481" s="1432"/>
      <c r="T481" s="1432"/>
      <c r="U481" s="1432"/>
      <c r="V481" s="1433"/>
      <c r="W481" s="1388">
        <v>0</v>
      </c>
      <c r="X481" s="1389"/>
      <c r="Y481" s="139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45" t="s">
        <v>2775</v>
      </c>
      <c r="H482" s="1846"/>
      <c r="I482" s="1846"/>
      <c r="J482" s="1846"/>
      <c r="K482" s="1846"/>
      <c r="L482" s="1846"/>
      <c r="M482" s="1846"/>
      <c r="N482" s="1846"/>
      <c r="O482" s="1846"/>
      <c r="P482" s="1846"/>
      <c r="Q482" s="1846"/>
      <c r="R482" s="1846"/>
      <c r="S482" s="1846"/>
      <c r="T482" s="1846"/>
      <c r="U482" s="1846"/>
      <c r="V482" s="1847"/>
      <c r="W482" s="1388">
        <v>7</v>
      </c>
      <c r="X482" s="1389"/>
      <c r="Y482" s="139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26" t="s">
        <v>809</v>
      </c>
      <c r="B488" s="1526"/>
      <c r="C488" s="1526"/>
      <c r="D488" s="1526"/>
      <c r="E488" s="1526"/>
      <c r="F488" s="1526"/>
      <c r="G488" s="1526"/>
      <c r="H488" s="1526"/>
      <c r="I488" s="1526"/>
      <c r="J488" s="1526"/>
      <c r="K488" s="1526"/>
      <c r="L488" s="1526"/>
      <c r="M488" s="1526"/>
      <c r="N488" s="1526"/>
      <c r="O488" s="1526"/>
      <c r="P488" s="1526"/>
      <c r="Q488" s="1526"/>
      <c r="R488" s="1526"/>
      <c r="S488" s="1526"/>
      <c r="T488" s="1526"/>
      <c r="U488" s="1526"/>
      <c r="V488" s="1526"/>
      <c r="W488" s="1526"/>
      <c r="X488" s="1526"/>
      <c r="Y488" s="1526"/>
      <c r="Z488" s="1526"/>
      <c r="AA488" s="1526"/>
      <c r="AB488" s="1526"/>
      <c r="AC488" s="1526"/>
      <c r="AD488" s="1526"/>
      <c r="AE488" s="1526"/>
      <c r="AF488" s="1526"/>
      <c r="AG488" s="1526"/>
      <c r="AH488" s="1526"/>
      <c r="AI488" s="1526"/>
      <c r="AJ488" s="1526"/>
      <c r="AK488" s="1526"/>
      <c r="AL488" s="1526"/>
      <c r="AM488" s="1526"/>
      <c r="AN488" s="1526"/>
      <c r="AO488" s="1526"/>
      <c r="AP488" s="1526"/>
      <c r="AQ488" s="1526"/>
      <c r="AR488" s="1526"/>
      <c r="AS488" s="1526"/>
      <c r="AT488" s="1526"/>
      <c r="AU488" s="95"/>
      <c r="AV488" s="95"/>
      <c r="AW488" s="95"/>
      <c r="AX488" s="95"/>
      <c r="AY488" s="95"/>
      <c r="AZ488" s="3"/>
      <c r="BB488" s="3"/>
      <c r="BC488" s="3"/>
    </row>
    <row r="489" spans="1:55" ht="12.95" customHeight="1">
      <c r="A489" s="1526"/>
      <c r="B489" s="1526"/>
      <c r="C489" s="1526"/>
      <c r="D489" s="1526"/>
      <c r="E489" s="1526"/>
      <c r="F489" s="1526"/>
      <c r="G489" s="1526"/>
      <c r="H489" s="1526"/>
      <c r="I489" s="1526"/>
      <c r="J489" s="1526"/>
      <c r="K489" s="1526"/>
      <c r="L489" s="1526"/>
      <c r="M489" s="1526"/>
      <c r="N489" s="1526"/>
      <c r="O489" s="1526"/>
      <c r="P489" s="1526"/>
      <c r="Q489" s="1526"/>
      <c r="R489" s="1526"/>
      <c r="S489" s="1526"/>
      <c r="T489" s="1526"/>
      <c r="U489" s="1526"/>
      <c r="V489" s="1526"/>
      <c r="W489" s="1526"/>
      <c r="X489" s="1526"/>
      <c r="Y489" s="1526"/>
      <c r="Z489" s="1526"/>
      <c r="AA489" s="1526"/>
      <c r="AB489" s="1526"/>
      <c r="AC489" s="1526"/>
      <c r="AD489" s="1526"/>
      <c r="AE489" s="1526"/>
      <c r="AF489" s="1526"/>
      <c r="AG489" s="1526"/>
      <c r="AH489" s="1526"/>
      <c r="AI489" s="1526"/>
      <c r="AJ489" s="1526"/>
      <c r="AK489" s="1526"/>
      <c r="AL489" s="1526"/>
      <c r="AM489" s="1526"/>
      <c r="AN489" s="1526"/>
      <c r="AO489" s="1526"/>
      <c r="AP489" s="1526"/>
      <c r="AQ489" s="1526"/>
      <c r="AR489" s="1526"/>
      <c r="AS489" s="1526"/>
      <c r="AT489" s="1526"/>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39" t="s">
        <v>393</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41"/>
      <c r="AZ493" s="3"/>
      <c r="BB493" s="3"/>
      <c r="BC493" s="3"/>
    </row>
    <row r="494" spans="1:55" ht="12.95" customHeight="1">
      <c r="B494" s="45" t="s">
        <v>394</v>
      </c>
      <c r="C494" s="5"/>
      <c r="D494" s="5"/>
      <c r="E494" s="5"/>
      <c r="F494" s="5"/>
      <c r="G494" s="5"/>
      <c r="H494" s="5"/>
      <c r="I494" s="5"/>
      <c r="J494" s="5"/>
      <c r="K494" s="5"/>
      <c r="L494" s="5"/>
      <c r="M494" s="5"/>
      <c r="N494" s="5"/>
      <c r="O494" s="5"/>
      <c r="P494" s="5"/>
      <c r="Q494" s="1462" t="s">
        <v>2704</v>
      </c>
      <c r="R494" s="1463"/>
      <c r="S494" s="1463"/>
      <c r="T494" s="1463"/>
      <c r="U494" s="1463"/>
      <c r="V494" s="1463"/>
      <c r="W494" s="1463"/>
      <c r="X494" s="1463"/>
      <c r="Y494" s="1463"/>
      <c r="Z494" s="1463"/>
      <c r="AA494" s="1463"/>
      <c r="AB494" s="1463"/>
      <c r="AC494" s="1463"/>
      <c r="AD494" s="1463"/>
      <c r="AE494" s="1463"/>
      <c r="AF494" s="1463"/>
      <c r="AG494" s="1463"/>
      <c r="AH494" s="1463"/>
      <c r="AI494" s="1463"/>
      <c r="AJ494" s="1463"/>
      <c r="AK494" s="1464"/>
      <c r="AZ494" s="3"/>
      <c r="BB494" s="3"/>
      <c r="BC494" s="3"/>
    </row>
    <row r="495" spans="1:55" ht="12.95" customHeight="1">
      <c r="B495" s="45" t="s">
        <v>395</v>
      </c>
      <c r="C495" s="5"/>
      <c r="D495" s="5"/>
      <c r="E495" s="5"/>
      <c r="F495" s="5"/>
      <c r="G495" s="5"/>
      <c r="H495" s="5"/>
      <c r="I495" s="5"/>
      <c r="J495" s="5"/>
      <c r="K495" s="5"/>
      <c r="L495" s="5"/>
      <c r="M495" s="5"/>
      <c r="N495" s="5"/>
      <c r="O495" s="5"/>
      <c r="P495" s="5"/>
      <c r="Q495" s="1462" t="s">
        <v>2704</v>
      </c>
      <c r="R495" s="1463"/>
      <c r="S495" s="1463"/>
      <c r="T495" s="1463"/>
      <c r="U495" s="1463"/>
      <c r="V495" s="1463"/>
      <c r="W495" s="1463"/>
      <c r="X495" s="1463"/>
      <c r="Y495" s="1463"/>
      <c r="Z495" s="1463"/>
      <c r="AA495" s="1463"/>
      <c r="AB495" s="1463"/>
      <c r="AC495" s="1463"/>
      <c r="AD495" s="1463"/>
      <c r="AE495" s="1463"/>
      <c r="AF495" s="1463"/>
      <c r="AG495" s="1463"/>
      <c r="AH495" s="1463"/>
      <c r="AI495" s="1463"/>
      <c r="AJ495" s="1463"/>
      <c r="AK495" s="1464"/>
      <c r="AZ495" s="3"/>
      <c r="BB495" s="3"/>
      <c r="BC495" s="3"/>
    </row>
    <row r="496" spans="1:55" ht="12.95" customHeight="1">
      <c r="B496" s="45" t="s">
        <v>396</v>
      </c>
      <c r="C496" s="5"/>
      <c r="D496" s="5"/>
      <c r="E496" s="5"/>
      <c r="F496" s="5"/>
      <c r="G496" s="5"/>
      <c r="H496" s="5"/>
      <c r="I496" s="5"/>
      <c r="J496" s="5"/>
      <c r="K496" s="5"/>
      <c r="L496" s="5"/>
      <c r="M496" s="5"/>
      <c r="N496" s="5"/>
      <c r="O496" s="5"/>
      <c r="P496" s="5"/>
      <c r="Q496" s="1462" t="s">
        <v>2704</v>
      </c>
      <c r="R496" s="1463"/>
      <c r="S496" s="1463"/>
      <c r="T496" s="1463"/>
      <c r="U496" s="1463"/>
      <c r="V496" s="1463"/>
      <c r="W496" s="1463"/>
      <c r="X496" s="1463"/>
      <c r="Y496" s="1463"/>
      <c r="Z496" s="1463"/>
      <c r="AA496" s="1463"/>
      <c r="AB496" s="1463"/>
      <c r="AC496" s="1463"/>
      <c r="AD496" s="1463"/>
      <c r="AE496" s="1463"/>
      <c r="AF496" s="1463"/>
      <c r="AG496" s="1463"/>
      <c r="AH496" s="1463"/>
      <c r="AI496" s="1463"/>
      <c r="AJ496" s="1463"/>
      <c r="AK496" s="1464"/>
      <c r="AZ496" s="3"/>
      <c r="BA496" s="3"/>
      <c r="BB496" s="3"/>
      <c r="BC496" s="3"/>
    </row>
    <row r="497" spans="1:66" ht="12.95" customHeight="1">
      <c r="B497" s="1452" t="s">
        <v>397</v>
      </c>
      <c r="C497" s="1453"/>
      <c r="D497" s="1453"/>
      <c r="E497" s="1453"/>
      <c r="F497" s="1453"/>
      <c r="G497" s="1453"/>
      <c r="H497" s="1453"/>
      <c r="I497" s="1453"/>
      <c r="J497" s="1453"/>
      <c r="K497" s="1453"/>
      <c r="L497" s="1453"/>
      <c r="M497" s="1453"/>
      <c r="N497" s="1453"/>
      <c r="O497" s="1453"/>
      <c r="P497" s="1454"/>
      <c r="Q497" s="1458" t="s">
        <v>668</v>
      </c>
      <c r="R497" s="1459"/>
      <c r="S497" s="1573" t="s">
        <v>166</v>
      </c>
      <c r="T497" s="1574"/>
      <c r="U497" s="1574"/>
      <c r="V497" s="1574"/>
      <c r="W497" s="1574"/>
      <c r="X497" s="1574"/>
      <c r="Y497" s="1574"/>
      <c r="Z497" s="1574"/>
      <c r="AA497" s="1574"/>
      <c r="AB497" s="1574"/>
      <c r="AC497" s="1574"/>
      <c r="AD497" s="1574"/>
      <c r="AE497" s="1574"/>
      <c r="AF497" s="1574"/>
      <c r="AG497" s="1574"/>
      <c r="AH497" s="1574"/>
      <c r="AI497" s="1574"/>
      <c r="AJ497" s="1574"/>
      <c r="AK497" s="1575"/>
      <c r="AZ497" s="3"/>
      <c r="BA497" s="3"/>
      <c r="BB497" s="3"/>
      <c r="BC497" s="3"/>
    </row>
    <row r="498" spans="1:66" ht="12.95" customHeight="1">
      <c r="B498" s="1455"/>
      <c r="C498" s="1456"/>
      <c r="D498" s="1456"/>
      <c r="E498" s="1456"/>
      <c r="F498" s="1456"/>
      <c r="G498" s="1456"/>
      <c r="H498" s="1456"/>
      <c r="I498" s="1456"/>
      <c r="J498" s="1456"/>
      <c r="K498" s="1456"/>
      <c r="L498" s="1456"/>
      <c r="M498" s="1456"/>
      <c r="N498" s="1456"/>
      <c r="O498" s="1456"/>
      <c r="P498" s="1457"/>
      <c r="Q498" s="1460"/>
      <c r="R498" s="1461"/>
      <c r="S498" s="1576"/>
      <c r="T498" s="1517"/>
      <c r="U498" s="1517"/>
      <c r="V498" s="1517"/>
      <c r="W498" s="1517"/>
      <c r="X498" s="1517"/>
      <c r="Y498" s="1517"/>
      <c r="Z498" s="1517"/>
      <c r="AA498" s="1517"/>
      <c r="AB498" s="1517"/>
      <c r="AC498" s="1517"/>
      <c r="AD498" s="1517"/>
      <c r="AE498" s="1517"/>
      <c r="AF498" s="1517"/>
      <c r="AG498" s="1517"/>
      <c r="AH498" s="1517"/>
      <c r="AI498" s="1517"/>
      <c r="AJ498" s="1517"/>
      <c r="AK498" s="1577"/>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68" t="s">
        <v>668</v>
      </c>
      <c r="R499" s="1469"/>
      <c r="S499" s="1469"/>
      <c r="T499" s="1469"/>
      <c r="U499" s="1469"/>
      <c r="V499" s="1469"/>
      <c r="W499" s="1469"/>
      <c r="X499" s="1469"/>
      <c r="Y499" s="1469"/>
      <c r="Z499" s="1469"/>
      <c r="AA499" s="1469"/>
      <c r="AB499" s="1469"/>
      <c r="AC499" s="1469"/>
      <c r="AD499" s="1469"/>
      <c r="AE499" s="1469"/>
      <c r="AF499" s="1469"/>
      <c r="AG499" s="1469"/>
      <c r="AH499" s="1469"/>
      <c r="AI499" s="1469"/>
      <c r="AJ499" s="1469"/>
      <c r="AK499" s="1470"/>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66"/>
      <c r="R500" s="1463"/>
      <c r="S500" s="1463"/>
      <c r="T500" s="1463"/>
      <c r="U500" s="1463"/>
      <c r="V500" s="1463"/>
      <c r="W500" s="1463"/>
      <c r="X500" s="1463"/>
      <c r="Y500" s="1463"/>
      <c r="Z500" s="1463"/>
      <c r="AA500" s="1463"/>
      <c r="AB500" s="1463"/>
      <c r="AC500" s="1463"/>
      <c r="AD500" s="1463"/>
      <c r="AE500" s="1463"/>
      <c r="AF500" s="1463"/>
      <c r="AG500" s="1463"/>
      <c r="AH500" s="1463"/>
      <c r="AI500" s="1463"/>
      <c r="AJ500" s="1463"/>
      <c r="AK500" s="1464"/>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66" t="s">
        <v>2742</v>
      </c>
      <c r="R501" s="1463"/>
      <c r="S501" s="1463"/>
      <c r="T501" s="1463"/>
      <c r="U501" s="1463"/>
      <c r="V501" s="1463"/>
      <c r="W501" s="1463"/>
      <c r="X501" s="1463"/>
      <c r="Y501" s="1463"/>
      <c r="Z501" s="1463"/>
      <c r="AA501" s="1463"/>
      <c r="AB501" s="1463"/>
      <c r="AC501" s="1463"/>
      <c r="AD501" s="1463"/>
      <c r="AE501" s="1463"/>
      <c r="AF501" s="1463"/>
      <c r="AG501" s="1463"/>
      <c r="AH501" s="1463"/>
      <c r="AI501" s="1463"/>
      <c r="AJ501" s="1463"/>
      <c r="AK501" s="1464"/>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66">
        <v>41</v>
      </c>
      <c r="R502" s="1463"/>
      <c r="S502" s="1463"/>
      <c r="T502" s="1463"/>
      <c r="U502" s="1463"/>
      <c r="V502" s="1463"/>
      <c r="W502" s="1463"/>
      <c r="X502" s="1463"/>
      <c r="Y502" s="1463"/>
      <c r="Z502" s="1463"/>
      <c r="AA502" s="1463"/>
      <c r="AB502" s="1463"/>
      <c r="AC502" s="1463"/>
      <c r="AD502" s="1463"/>
      <c r="AE502" s="1463"/>
      <c r="AF502" s="1463"/>
      <c r="AG502" s="1463"/>
      <c r="AH502" s="1463"/>
      <c r="AI502" s="1463"/>
      <c r="AJ502" s="1463"/>
      <c r="AK502" s="1464"/>
      <c r="AZ502" s="3"/>
      <c r="BA502" s="3"/>
      <c r="BB502" s="3"/>
      <c r="BC502" s="3"/>
    </row>
    <row r="503" spans="1:66" ht="12.95" customHeight="1">
      <c r="B503" s="121" t="s">
        <v>1657</v>
      </c>
      <c r="C503" s="5"/>
      <c r="D503" s="5"/>
      <c r="E503" s="5"/>
      <c r="F503" s="5"/>
      <c r="G503" s="5"/>
      <c r="H503" s="5"/>
      <c r="I503" s="5"/>
      <c r="J503" s="5"/>
      <c r="K503" s="5"/>
      <c r="L503" s="5"/>
      <c r="M503" s="1471">
        <v>0</v>
      </c>
      <c r="N503" s="1472"/>
      <c r="O503" s="1472"/>
      <c r="P503" s="1473"/>
      <c r="Q503" s="121" t="s">
        <v>1658</v>
      </c>
      <c r="R503" s="5"/>
      <c r="S503" s="5"/>
      <c r="T503" s="5"/>
      <c r="U503" s="5"/>
      <c r="V503" s="5"/>
      <c r="W503" s="5"/>
      <c r="X503" s="5"/>
      <c r="Y503" s="5"/>
      <c r="Z503" s="5"/>
      <c r="AA503" s="5"/>
      <c r="AB503" s="5"/>
      <c r="AC503" s="5"/>
      <c r="AD503" s="5"/>
      <c r="AE503" s="5"/>
      <c r="AF503" s="5"/>
      <c r="AG503" s="5"/>
      <c r="AH503" s="1471">
        <v>41</v>
      </c>
      <c r="AI503" s="1472"/>
      <c r="AJ503" s="1472"/>
      <c r="AK503" s="1473"/>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39" t="s">
        <v>401</v>
      </c>
      <c r="AD507" s="1440"/>
      <c r="AE507" s="1440"/>
      <c r="AF507" s="1440"/>
      <c r="AG507" s="1440"/>
      <c r="AH507" s="1440"/>
      <c r="AI507" s="1440"/>
      <c r="AJ507" s="1440"/>
      <c r="AK507" s="144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39" t="s">
        <v>402</v>
      </c>
      <c r="AD508" s="1440"/>
      <c r="AE508" s="1440"/>
      <c r="AF508" s="1440"/>
      <c r="AG508" s="50" t="s">
        <v>403</v>
      </c>
      <c r="AH508" s="1440" t="s">
        <v>404</v>
      </c>
      <c r="AI508" s="1440"/>
      <c r="AJ508" s="1440"/>
      <c r="AK508" s="1441"/>
      <c r="AZ508" s="3"/>
      <c r="BA508" s="3"/>
      <c r="BB508" s="3"/>
      <c r="BC508" s="3"/>
      <c r="BD508" s="3"/>
      <c r="BE508" s="3"/>
      <c r="BF508" s="3"/>
      <c r="BG508" s="3"/>
      <c r="BH508" s="3"/>
      <c r="BI508" s="3"/>
      <c r="BJ508" s="3"/>
      <c r="BK508" s="3"/>
      <c r="BL508" s="3"/>
      <c r="BM508" s="3"/>
      <c r="BN508" s="3"/>
    </row>
    <row r="509" spans="1:66" ht="12.95" customHeight="1">
      <c r="B509" s="1391" t="s">
        <v>405</v>
      </c>
      <c r="C509" s="1392"/>
      <c r="D509" s="1392"/>
      <c r="E509" s="1392"/>
      <c r="F509" s="1392"/>
      <c r="G509" s="1392"/>
      <c r="H509" s="1393"/>
      <c r="I509" s="42" t="s">
        <v>406</v>
      </c>
      <c r="J509" s="42"/>
      <c r="K509" s="42"/>
      <c r="L509" s="42"/>
      <c r="M509" s="42"/>
      <c r="N509" s="42"/>
      <c r="O509" s="42"/>
      <c r="P509" s="42"/>
      <c r="Q509" s="42"/>
      <c r="R509" s="42"/>
      <c r="S509" s="42"/>
      <c r="T509" s="42"/>
      <c r="U509" s="42"/>
      <c r="V509" s="42"/>
      <c r="W509" s="42"/>
      <c r="AC509" s="1429">
        <v>3</v>
      </c>
      <c r="AD509" s="1374"/>
      <c r="AE509" s="1374"/>
      <c r="AF509" s="1374"/>
      <c r="AG509" s="13" t="s">
        <v>403</v>
      </c>
      <c r="AH509" s="1413">
        <v>2025</v>
      </c>
      <c r="AI509" s="1413"/>
      <c r="AJ509" s="1413"/>
      <c r="AK509" s="1414"/>
      <c r="AZ509" s="3"/>
      <c r="BA509" s="3"/>
      <c r="BB509" s="3"/>
      <c r="BC509" s="3"/>
      <c r="BD509" s="3"/>
      <c r="BE509" s="3"/>
      <c r="BF509" s="3"/>
      <c r="BG509" s="3"/>
      <c r="BH509" s="3"/>
      <c r="BI509" s="3"/>
      <c r="BJ509" s="3"/>
      <c r="BK509" s="3"/>
      <c r="BL509" s="3"/>
      <c r="BM509" s="3"/>
      <c r="BN509" s="3"/>
    </row>
    <row r="510" spans="1:66" ht="12.95" customHeight="1">
      <c r="B510" s="1394"/>
      <c r="C510" s="1395"/>
      <c r="D510" s="1395"/>
      <c r="E510" s="1395"/>
      <c r="F510" s="1395"/>
      <c r="G510" s="1395"/>
      <c r="H510" s="1396"/>
      <c r="I510" s="48" t="s">
        <v>407</v>
      </c>
      <c r="J510" s="48"/>
      <c r="K510" s="48"/>
      <c r="L510" s="48"/>
      <c r="M510" s="48"/>
      <c r="N510" s="48"/>
      <c r="O510" s="48"/>
      <c r="P510" s="48"/>
      <c r="Q510" s="48"/>
      <c r="R510" s="48"/>
      <c r="S510" s="48"/>
      <c r="T510" s="48"/>
      <c r="U510" s="48"/>
      <c r="V510" s="48"/>
      <c r="W510" s="48"/>
      <c r="X510" s="48"/>
      <c r="Y510" s="48"/>
      <c r="Z510" s="48"/>
      <c r="AA510" s="48"/>
      <c r="AB510" s="48"/>
      <c r="AC510" s="1429">
        <v>5</v>
      </c>
      <c r="AD510" s="1374"/>
      <c r="AE510" s="1374"/>
      <c r="AF510" s="1374"/>
      <c r="AG510" s="38" t="s">
        <v>403</v>
      </c>
      <c r="AH510" s="1413">
        <v>2018</v>
      </c>
      <c r="AI510" s="1413"/>
      <c r="AJ510" s="1413"/>
      <c r="AK510" s="1414"/>
      <c r="AZ510" s="3"/>
      <c r="BA510" s="3"/>
      <c r="BB510" s="3"/>
      <c r="BC510" s="3"/>
      <c r="BD510" s="3"/>
      <c r="BE510" s="3"/>
      <c r="BF510" s="3"/>
      <c r="BG510" s="3"/>
      <c r="BH510" s="3"/>
      <c r="BI510" s="3"/>
      <c r="BJ510" s="3"/>
      <c r="BK510" s="3"/>
      <c r="BL510" s="3"/>
      <c r="BM510" s="3"/>
      <c r="BN510" s="3"/>
    </row>
    <row r="511" spans="1:66" ht="12.95" customHeight="1">
      <c r="B511" s="1391" t="s">
        <v>408</v>
      </c>
      <c r="C511" s="1392"/>
      <c r="D511" s="1392"/>
      <c r="E511" s="1392"/>
      <c r="F511" s="1392"/>
      <c r="G511" s="1392"/>
      <c r="H511" s="1393"/>
      <c r="I511" s="42" t="s">
        <v>409</v>
      </c>
      <c r="J511" s="42"/>
      <c r="K511" s="42"/>
      <c r="L511" s="42"/>
      <c r="M511" s="42"/>
      <c r="N511" s="42"/>
      <c r="O511" s="42"/>
      <c r="P511" s="42"/>
      <c r="Q511" s="42"/>
      <c r="R511" s="42"/>
      <c r="S511" s="42"/>
      <c r="T511" s="42"/>
      <c r="U511" s="42"/>
      <c r="V511" s="42"/>
      <c r="W511" s="42"/>
      <c r="AC511" s="1429">
        <v>7</v>
      </c>
      <c r="AD511" s="1374"/>
      <c r="AE511" s="1374"/>
      <c r="AF511" s="1374"/>
      <c r="AG511" s="13" t="s">
        <v>403</v>
      </c>
      <c r="AH511" s="1413">
        <v>2020</v>
      </c>
      <c r="AI511" s="1413"/>
      <c r="AJ511" s="1413"/>
      <c r="AK511" s="1414"/>
      <c r="AZ511" s="3"/>
      <c r="BA511" s="3"/>
      <c r="BB511" s="3"/>
      <c r="BC511" s="3"/>
      <c r="BD511" s="3"/>
      <c r="BE511" s="3"/>
      <c r="BF511" s="3"/>
      <c r="BG511" s="3"/>
      <c r="BH511" s="3"/>
      <c r="BI511" s="3"/>
      <c r="BJ511" s="3"/>
      <c r="BK511" s="3"/>
      <c r="BL511" s="3"/>
      <c r="BM511" s="3"/>
      <c r="BN511" s="3"/>
    </row>
    <row r="512" spans="1:66" ht="12.95" customHeight="1">
      <c r="B512" s="1394"/>
      <c r="C512" s="1395"/>
      <c r="D512" s="1395"/>
      <c r="E512" s="1395"/>
      <c r="F512" s="1395"/>
      <c r="G512" s="1395"/>
      <c r="H512" s="1396"/>
      <c r="I512" t="s">
        <v>410</v>
      </c>
      <c r="AC512" s="1429" t="s">
        <v>590</v>
      </c>
      <c r="AD512" s="1374"/>
      <c r="AE512" s="1374"/>
      <c r="AF512" s="1374"/>
      <c r="AG512" s="13" t="s">
        <v>403</v>
      </c>
      <c r="AH512" s="1413"/>
      <c r="AI512" s="1413"/>
      <c r="AJ512" s="1413"/>
      <c r="AK512" s="1414"/>
      <c r="AZ512" s="3"/>
      <c r="BA512" s="3"/>
      <c r="BB512" s="3"/>
      <c r="BC512" s="3"/>
      <c r="BD512" s="3"/>
      <c r="BE512" s="3"/>
      <c r="BF512" s="3"/>
      <c r="BG512" s="3"/>
      <c r="BH512" s="3"/>
      <c r="BI512" s="3"/>
      <c r="BJ512" s="3"/>
      <c r="BK512" s="3"/>
      <c r="BL512" s="3"/>
      <c r="BM512" s="3"/>
      <c r="BN512" s="3"/>
    </row>
    <row r="513" spans="2:66" ht="12.95" customHeight="1">
      <c r="B513" s="1394"/>
      <c r="C513" s="1395"/>
      <c r="D513" s="1395"/>
      <c r="E513" s="1395"/>
      <c r="F513" s="1395"/>
      <c r="G513" s="1395"/>
      <c r="H513" s="1396"/>
      <c r="I513" t="s">
        <v>411</v>
      </c>
      <c r="AC513" s="1429" t="s">
        <v>590</v>
      </c>
      <c r="AD513" s="1374"/>
      <c r="AE513" s="1374"/>
      <c r="AF513" s="1374"/>
      <c r="AG513" s="13" t="s">
        <v>403</v>
      </c>
      <c r="AH513" s="1413"/>
      <c r="AI513" s="1413"/>
      <c r="AJ513" s="1413"/>
      <c r="AK513" s="1414"/>
      <c r="AZ513" s="3"/>
      <c r="BA513" s="3"/>
      <c r="BB513" s="3"/>
      <c r="BC513" s="3"/>
      <c r="BD513" s="3"/>
      <c r="BE513" s="3"/>
      <c r="BF513" s="3"/>
      <c r="BG513" s="3"/>
      <c r="BH513" s="3"/>
      <c r="BI513" s="3"/>
      <c r="BJ513" s="3"/>
      <c r="BK513" s="3"/>
      <c r="BL513" s="3"/>
      <c r="BM513" s="3"/>
      <c r="BN513" s="3"/>
    </row>
    <row r="514" spans="2:66" ht="12.95" customHeight="1">
      <c r="B514" s="1394"/>
      <c r="C514" s="1395"/>
      <c r="D514" s="1395"/>
      <c r="E514" s="1395"/>
      <c r="F514" s="1395"/>
      <c r="G514" s="1395"/>
      <c r="H514" s="1396"/>
      <c r="I514" t="s">
        <v>412</v>
      </c>
      <c r="AC514" s="1429">
        <v>10</v>
      </c>
      <c r="AD514" s="1374"/>
      <c r="AE514" s="1374"/>
      <c r="AF514" s="1374"/>
      <c r="AG514" s="13" t="s">
        <v>403</v>
      </c>
      <c r="AH514" s="1413">
        <v>2026</v>
      </c>
      <c r="AI514" s="1413"/>
      <c r="AJ514" s="1413"/>
      <c r="AK514" s="1414"/>
      <c r="AZ514" s="3"/>
      <c r="BA514" s="3"/>
      <c r="BB514" s="3"/>
      <c r="BC514" s="3"/>
      <c r="BD514" s="3"/>
      <c r="BE514" s="3"/>
      <c r="BF514" s="3"/>
      <c r="BG514" s="3"/>
      <c r="BH514" s="3"/>
      <c r="BI514" s="3"/>
      <c r="BJ514" s="3"/>
      <c r="BK514" s="3"/>
      <c r="BL514" s="3"/>
      <c r="BM514" s="3"/>
      <c r="BN514" s="3"/>
    </row>
    <row r="515" spans="2:66" ht="12.95" customHeight="1">
      <c r="B515" s="1394"/>
      <c r="C515" s="1395"/>
      <c r="D515" s="1395"/>
      <c r="E515" s="1395"/>
      <c r="F515" s="1395"/>
      <c r="G515" s="1395"/>
      <c r="H515" s="1396"/>
      <c r="I515" s="3" t="s">
        <v>413</v>
      </c>
      <c r="AC515" s="1362">
        <v>10</v>
      </c>
      <c r="AD515" s="1363"/>
      <c r="AE515" s="1363"/>
      <c r="AF515" s="1363"/>
      <c r="AG515" s="13" t="s">
        <v>403</v>
      </c>
      <c r="AH515" s="1413">
        <v>2026</v>
      </c>
      <c r="AI515" s="1413"/>
      <c r="AJ515" s="1413"/>
      <c r="AK515" s="1414"/>
      <c r="AZ515" s="3"/>
      <c r="BA515" s="3"/>
      <c r="BB515" s="3"/>
      <c r="BC515" s="3"/>
      <c r="BD515" s="3"/>
      <c r="BE515" s="3"/>
      <c r="BF515" s="3"/>
      <c r="BG515" s="3"/>
      <c r="BH515" s="3"/>
      <c r="BI515" s="3"/>
      <c r="BJ515" s="3"/>
      <c r="BK515" s="3"/>
      <c r="BL515" s="3"/>
      <c r="BM515" s="3"/>
      <c r="BN515" s="3"/>
    </row>
    <row r="516" spans="2:66" ht="12.95" customHeight="1">
      <c r="B516" s="1394"/>
      <c r="C516" s="1395"/>
      <c r="D516" s="1395"/>
      <c r="E516" s="1395"/>
      <c r="F516" s="1395"/>
      <c r="G516" s="1395"/>
      <c r="H516" s="1396"/>
      <c r="I516" s="892" t="s">
        <v>170</v>
      </c>
      <c r="J516" s="48"/>
      <c r="K516" s="48"/>
      <c r="L516" s="1446" t="s">
        <v>334</v>
      </c>
      <c r="M516" s="1447"/>
      <c r="N516" s="1447"/>
      <c r="O516" s="1447"/>
      <c r="P516" s="1447"/>
      <c r="Q516" s="1447"/>
      <c r="R516" s="1447"/>
      <c r="S516" s="1447"/>
      <c r="T516" s="1447"/>
      <c r="U516" s="1447"/>
      <c r="V516" s="1447"/>
      <c r="W516" s="1447"/>
      <c r="X516" s="1447"/>
      <c r="Y516" s="1447"/>
      <c r="Z516" s="1447"/>
      <c r="AA516" s="1447"/>
      <c r="AB516" s="1465"/>
      <c r="AC516" s="1429" t="s">
        <v>590</v>
      </c>
      <c r="AD516" s="1374"/>
      <c r="AE516" s="1374"/>
      <c r="AF516" s="1374"/>
      <c r="AG516" s="38" t="s">
        <v>403</v>
      </c>
      <c r="AH516" s="1413"/>
      <c r="AI516" s="1413"/>
      <c r="AJ516" s="1413"/>
      <c r="AK516" s="1414"/>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74" t="s">
        <v>544</v>
      </c>
      <c r="AD517" s="1474"/>
      <c r="AE517" s="1474"/>
      <c r="AF517" s="1474"/>
      <c r="AG517" s="13"/>
      <c r="AH517" s="1400"/>
      <c r="AI517" s="1400"/>
      <c r="AJ517" s="1400"/>
      <c r="AK517" s="1401"/>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2">
        <v>1</v>
      </c>
      <c r="AD518" s="1363"/>
      <c r="AE518" s="1363"/>
      <c r="AF518" s="1364"/>
      <c r="AG518" s="13"/>
      <c r="AH518" s="1400"/>
      <c r="AI518" s="1400"/>
      <c r="AJ518" s="1400"/>
      <c r="AK518" s="1401"/>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49"/>
      <c r="AD520" s="1450"/>
      <c r="AE520" s="1450"/>
      <c r="AF520" s="1451"/>
      <c r="AG520" s="38"/>
      <c r="AH520" s="1582"/>
      <c r="AI520" s="1582"/>
      <c r="AJ520" s="1582"/>
      <c r="AK520" s="1583"/>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5" t="s">
        <v>402</v>
      </c>
      <c r="AD521" s="1411"/>
      <c r="AE521" s="1411"/>
      <c r="AF521" s="1411"/>
      <c r="AG521" s="38" t="s">
        <v>403</v>
      </c>
      <c r="AH521" s="1411" t="s">
        <v>404</v>
      </c>
      <c r="AI521" s="1411"/>
      <c r="AJ521" s="1411"/>
      <c r="AK521" s="1412"/>
      <c r="AZ521" s="3"/>
      <c r="BA521" s="3"/>
      <c r="BB521" s="3"/>
      <c r="BC521" s="3"/>
      <c r="BD521" s="3"/>
      <c r="BE521" s="3"/>
      <c r="BF521" s="3"/>
      <c r="BG521" s="3"/>
      <c r="BH521" s="3"/>
      <c r="BI521" s="3"/>
      <c r="BJ521" s="3"/>
      <c r="BK521" s="3"/>
      <c r="BL521" s="3"/>
      <c r="BM521" s="3"/>
      <c r="BN521" s="3" t="s">
        <v>2060</v>
      </c>
    </row>
    <row r="522" spans="2:66" ht="12.95" customHeight="1">
      <c r="B522" s="1391" t="s">
        <v>414</v>
      </c>
      <c r="C522" s="1392"/>
      <c r="D522" s="1392"/>
      <c r="E522" s="1392"/>
      <c r="F522" s="1392"/>
      <c r="G522" s="1392"/>
      <c r="H522" s="1393"/>
      <c r="I522" s="42" t="s">
        <v>415</v>
      </c>
      <c r="J522" s="42"/>
      <c r="K522" s="42"/>
      <c r="L522" s="42"/>
      <c r="M522" s="42"/>
      <c r="N522" s="42"/>
      <c r="O522" s="42"/>
      <c r="P522" s="42"/>
      <c r="Q522" s="42"/>
      <c r="R522" s="42"/>
      <c r="S522" s="42"/>
      <c r="T522" s="42"/>
      <c r="U522" s="42"/>
      <c r="V522" s="42"/>
      <c r="W522" s="42"/>
      <c r="AC522" s="1429">
        <v>1</v>
      </c>
      <c r="AD522" s="1374"/>
      <c r="AE522" s="1374"/>
      <c r="AF522" s="1374"/>
      <c r="AG522" s="13" t="s">
        <v>403</v>
      </c>
      <c r="AH522" s="1413">
        <v>2026</v>
      </c>
      <c r="AI522" s="1413"/>
      <c r="AJ522" s="1413"/>
      <c r="AK522" s="1414"/>
      <c r="AZ522" s="3"/>
      <c r="BA522" s="3"/>
      <c r="BB522" s="3"/>
      <c r="BC522" s="3"/>
      <c r="BD522" s="3"/>
      <c r="BE522" s="3"/>
      <c r="BF522" s="3"/>
      <c r="BG522" s="3"/>
      <c r="BH522" s="3"/>
      <c r="BI522" s="3"/>
      <c r="BJ522" s="3"/>
      <c r="BK522" s="3"/>
      <c r="BL522" s="3"/>
      <c r="BM522" s="3"/>
      <c r="BN522" s="3" t="s">
        <v>2061</v>
      </c>
    </row>
    <row r="523" spans="2:66" ht="12.95" customHeight="1">
      <c r="B523" s="1394"/>
      <c r="C523" s="1395"/>
      <c r="D523" s="1395"/>
      <c r="E523" s="1395"/>
      <c r="F523" s="1395"/>
      <c r="G523" s="1395"/>
      <c r="H523" s="1396"/>
      <c r="I523" t="s">
        <v>416</v>
      </c>
      <c r="AC523" s="1429">
        <v>1</v>
      </c>
      <c r="AD523" s="1374"/>
      <c r="AE523" s="1374"/>
      <c r="AF523" s="1374"/>
      <c r="AG523" s="13" t="s">
        <v>403</v>
      </c>
      <c r="AH523" s="1413">
        <v>2026</v>
      </c>
      <c r="AI523" s="1413"/>
      <c r="AJ523" s="1413"/>
      <c r="AK523" s="1414"/>
      <c r="AZ523" s="3"/>
      <c r="BA523" s="3"/>
      <c r="BB523" s="3"/>
      <c r="BC523" s="3"/>
      <c r="BD523" s="3"/>
      <c r="BE523" s="3"/>
      <c r="BF523" s="3"/>
      <c r="BG523" s="3"/>
      <c r="BH523" s="3"/>
      <c r="BI523" s="3"/>
      <c r="BJ523" s="3"/>
      <c r="BK523" s="3"/>
      <c r="BL523" s="3"/>
      <c r="BM523" s="3"/>
      <c r="BN523" s="3" t="s">
        <v>2062</v>
      </c>
    </row>
    <row r="524" spans="2:66" ht="12.95" customHeight="1">
      <c r="B524" s="1394"/>
      <c r="C524" s="1395"/>
      <c r="D524" s="1395"/>
      <c r="E524" s="1395"/>
      <c r="F524" s="1395"/>
      <c r="G524" s="1395"/>
      <c r="H524" s="1396"/>
      <c r="I524" s="48" t="s">
        <v>417</v>
      </c>
      <c r="J524" s="48"/>
      <c r="K524" s="48"/>
      <c r="L524" s="48"/>
      <c r="M524" s="48"/>
      <c r="N524" s="48"/>
      <c r="O524" s="48"/>
      <c r="P524" s="48"/>
      <c r="Q524" s="48"/>
      <c r="R524" s="48"/>
      <c r="S524" s="48"/>
      <c r="T524" s="48"/>
      <c r="U524" s="48"/>
      <c r="V524" s="48"/>
      <c r="W524" s="48"/>
      <c r="X524" s="48"/>
      <c r="Y524" s="48"/>
      <c r="Z524" s="48"/>
      <c r="AA524" s="48"/>
      <c r="AB524" s="48"/>
      <c r="AC524" s="1483">
        <v>11</v>
      </c>
      <c r="AD524" s="1374"/>
      <c r="AE524" s="1374"/>
      <c r="AF524" s="1374"/>
      <c r="AG524" s="38" t="s">
        <v>403</v>
      </c>
      <c r="AH524" s="1413">
        <v>2026</v>
      </c>
      <c r="AI524" s="1413"/>
      <c r="AJ524" s="1413"/>
      <c r="AK524" s="1414"/>
      <c r="AZ524" s="3"/>
      <c r="BA524" s="3"/>
      <c r="BB524" s="3"/>
      <c r="BC524" s="3"/>
      <c r="BD524" s="3"/>
      <c r="BE524" s="3"/>
      <c r="BF524" s="3"/>
      <c r="BG524" s="3"/>
      <c r="BH524" s="3"/>
      <c r="BI524" s="3"/>
      <c r="BJ524" s="3"/>
      <c r="BK524" s="3"/>
      <c r="BL524" s="3"/>
      <c r="BM524" s="3"/>
      <c r="BN524" s="3" t="s">
        <v>2063</v>
      </c>
    </row>
    <row r="525" spans="2:66" ht="12.95" customHeight="1">
      <c r="B525" s="1391" t="s">
        <v>418</v>
      </c>
      <c r="C525" s="1392"/>
      <c r="D525" s="1392"/>
      <c r="E525" s="1392"/>
      <c r="F525" s="1392"/>
      <c r="G525" s="1392"/>
      <c r="H525" s="1393"/>
      <c r="I525" s="42" t="s">
        <v>415</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403</v>
      </c>
      <c r="AH525" s="1413">
        <v>2026</v>
      </c>
      <c r="AI525" s="1413"/>
      <c r="AJ525" s="1413"/>
      <c r="AK525" s="1414"/>
      <c r="AZ525" s="3"/>
      <c r="BB525" s="3"/>
      <c r="BC525" s="3"/>
      <c r="BD525" s="3"/>
      <c r="BE525" s="3"/>
      <c r="BF525" s="3"/>
      <c r="BG525" s="3"/>
      <c r="BH525" s="3"/>
      <c r="BI525" s="3"/>
      <c r="BJ525" s="3"/>
      <c r="BK525" s="3"/>
      <c r="BL525" s="3"/>
      <c r="BM525" s="3"/>
      <c r="BN525" s="3" t="s">
        <v>2064</v>
      </c>
    </row>
    <row r="526" spans="2:66" ht="12.95" customHeight="1">
      <c r="B526" s="1394"/>
      <c r="C526" s="1395"/>
      <c r="D526" s="1395"/>
      <c r="E526" s="1395"/>
      <c r="F526" s="1395"/>
      <c r="G526" s="1395"/>
      <c r="H526" s="1396"/>
      <c r="I526" t="s">
        <v>416</v>
      </c>
      <c r="AC526" s="1429">
        <v>1</v>
      </c>
      <c r="AD526" s="1374"/>
      <c r="AE526" s="1374"/>
      <c r="AF526" s="1374"/>
      <c r="AG526" s="13" t="s">
        <v>403</v>
      </c>
      <c r="AH526" s="1413">
        <v>2026</v>
      </c>
      <c r="AI526" s="1413"/>
      <c r="AJ526" s="1413"/>
      <c r="AK526" s="1414"/>
      <c r="BB526" s="3"/>
      <c r="BC526" s="3"/>
      <c r="BD526" s="3"/>
      <c r="BE526" s="3"/>
      <c r="BF526" s="3"/>
      <c r="BG526" s="3"/>
      <c r="BH526" s="3"/>
      <c r="BI526" s="3"/>
      <c r="BJ526" s="3"/>
      <c r="BK526" s="3"/>
      <c r="BL526" s="3"/>
      <c r="BM526" s="3"/>
      <c r="BN526" s="3" t="s">
        <v>2065</v>
      </c>
    </row>
    <row r="527" spans="2:66" ht="12.95" customHeight="1">
      <c r="B527" s="1397"/>
      <c r="C527" s="1398"/>
      <c r="D527" s="1398"/>
      <c r="E527" s="1398"/>
      <c r="F527" s="1398"/>
      <c r="G527" s="1398"/>
      <c r="H527" s="1399"/>
      <c r="I527" s="48" t="s">
        <v>417</v>
      </c>
      <c r="J527" s="48"/>
      <c r="K527" s="48"/>
      <c r="L527" s="48"/>
      <c r="M527" s="48"/>
      <c r="N527" s="48"/>
      <c r="O527" s="48"/>
      <c r="P527" s="48"/>
      <c r="Q527" s="48"/>
      <c r="R527" s="48"/>
      <c r="S527" s="48"/>
      <c r="T527" s="48"/>
      <c r="U527" s="48"/>
      <c r="V527" s="48"/>
      <c r="W527" s="48"/>
      <c r="X527" s="48"/>
      <c r="Y527" s="48"/>
      <c r="Z527" s="48"/>
      <c r="AA527" s="48"/>
      <c r="AB527" s="48"/>
      <c r="AC527" s="1429">
        <v>11</v>
      </c>
      <c r="AD527" s="1374"/>
      <c r="AE527" s="1374"/>
      <c r="AF527" s="1374"/>
      <c r="AG527" s="38" t="s">
        <v>403</v>
      </c>
      <c r="AH527" s="1413">
        <v>2026</v>
      </c>
      <c r="AI527" s="1413"/>
      <c r="AJ527" s="1413"/>
      <c r="AK527" s="1414"/>
      <c r="BB527" s="3"/>
      <c r="BC527" s="3"/>
      <c r="BD527" s="3"/>
      <c r="BE527" s="3"/>
      <c r="BF527" s="3"/>
      <c r="BG527" s="3"/>
      <c r="BH527" s="3"/>
      <c r="BI527" s="3"/>
      <c r="BJ527" s="3"/>
      <c r="BK527" s="3"/>
      <c r="BL527" s="3"/>
      <c r="BM527" s="3"/>
      <c r="BN527" s="3" t="s">
        <v>2066</v>
      </c>
    </row>
    <row r="528" spans="2:66" ht="12.95" customHeight="1">
      <c r="B528" s="1391" t="s">
        <v>419</v>
      </c>
      <c r="C528" s="1392"/>
      <c r="D528" s="1392"/>
      <c r="E528" s="1392"/>
      <c r="F528" s="1392"/>
      <c r="G528" s="1392"/>
      <c r="H528" s="1393"/>
      <c r="I528" s="41" t="s">
        <v>420</v>
      </c>
      <c r="J528" s="42"/>
      <c r="K528" s="42"/>
      <c r="L528" s="42"/>
      <c r="M528" s="42"/>
      <c r="N528" s="42"/>
      <c r="O528" s="1446" t="s">
        <v>2647</v>
      </c>
      <c r="P528" s="1447"/>
      <c r="Q528" s="1447"/>
      <c r="R528" s="1447"/>
      <c r="S528" s="1447"/>
      <c r="T528" s="1447"/>
      <c r="U528" s="1447"/>
      <c r="V528" s="1447"/>
      <c r="W528" s="1447"/>
      <c r="X528" s="1447"/>
      <c r="Y528" s="1447"/>
      <c r="Z528" s="1447"/>
      <c r="AA528" s="1447"/>
      <c r="AB528" s="58"/>
      <c r="AC528" s="1362" t="s">
        <v>590</v>
      </c>
      <c r="AD528" s="1363"/>
      <c r="AE528" s="1363"/>
      <c r="AF528" s="1363"/>
      <c r="AG528" s="129" t="s">
        <v>403</v>
      </c>
      <c r="AH528" s="1413"/>
      <c r="AI528" s="1413"/>
      <c r="AJ528" s="1413"/>
      <c r="AK528" s="1414"/>
      <c r="AZ528" s="3"/>
      <c r="BB528" s="3"/>
      <c r="BC528" s="3"/>
      <c r="BD528" s="3"/>
      <c r="BE528" s="3"/>
      <c r="BF528" s="3"/>
      <c r="BG528" s="3"/>
      <c r="BH528" s="3"/>
      <c r="BI528" s="3"/>
      <c r="BJ528" s="3"/>
      <c r="BK528" s="3"/>
      <c r="BL528" s="3"/>
      <c r="BM528" s="3"/>
      <c r="BN528" s="3" t="s">
        <v>2067</v>
      </c>
    </row>
    <row r="529" spans="2:66" ht="12.95" customHeight="1">
      <c r="B529" s="1394"/>
      <c r="C529" s="1395"/>
      <c r="D529" s="1395"/>
      <c r="E529" s="1395"/>
      <c r="F529" s="1395"/>
      <c r="G529" s="1395"/>
      <c r="H529" s="1396"/>
      <c r="I529" s="114" t="s">
        <v>421</v>
      </c>
      <c r="AB529" s="65"/>
      <c r="AC529" s="1429">
        <v>2</v>
      </c>
      <c r="AD529" s="1374"/>
      <c r="AE529" s="1374"/>
      <c r="AF529" s="1374"/>
      <c r="AG529" s="13" t="s">
        <v>403</v>
      </c>
      <c r="AH529" s="1413">
        <v>2024</v>
      </c>
      <c r="AI529" s="1413"/>
      <c r="AJ529" s="1413"/>
      <c r="AK529" s="1414"/>
      <c r="AZ529" s="3"/>
      <c r="BB529" s="3"/>
      <c r="BC529" s="3"/>
      <c r="BD529" s="3"/>
      <c r="BE529" s="3"/>
      <c r="BF529" s="3"/>
      <c r="BG529" s="3"/>
      <c r="BH529" s="3"/>
      <c r="BI529" s="3"/>
      <c r="BJ529" s="3"/>
      <c r="BK529" s="3"/>
      <c r="BL529" s="3"/>
      <c r="BM529" s="3"/>
      <c r="BN529" s="3" t="s">
        <v>2068</v>
      </c>
    </row>
    <row r="530" spans="2:66" ht="12.95" customHeight="1">
      <c r="B530" s="1394"/>
      <c r="C530" s="1395"/>
      <c r="D530" s="1395"/>
      <c r="E530" s="1395"/>
      <c r="F530" s="1395"/>
      <c r="G530" s="1395"/>
      <c r="H530" s="1396"/>
      <c r="I530" s="47" t="s">
        <v>422</v>
      </c>
      <c r="J530" s="48"/>
      <c r="K530" s="48"/>
      <c r="L530" s="48"/>
      <c r="M530" s="48"/>
      <c r="N530" s="48"/>
      <c r="O530" s="48"/>
      <c r="P530" s="48"/>
      <c r="Q530" s="48"/>
      <c r="R530" s="48"/>
      <c r="S530" s="48"/>
      <c r="T530" s="48"/>
      <c r="U530" s="48"/>
      <c r="V530" s="48"/>
      <c r="W530" s="48"/>
      <c r="X530" s="48"/>
      <c r="Y530" s="48"/>
      <c r="Z530" s="48"/>
      <c r="AA530" s="48"/>
      <c r="AB530" s="49"/>
      <c r="AC530" s="1429">
        <v>2</v>
      </c>
      <c r="AD530" s="1374"/>
      <c r="AE530" s="1374"/>
      <c r="AF530" s="1374"/>
      <c r="AG530" s="38" t="s">
        <v>403</v>
      </c>
      <c r="AH530" s="1413">
        <v>2025</v>
      </c>
      <c r="AI530" s="1413"/>
      <c r="AJ530" s="1413"/>
      <c r="AK530" s="1414"/>
      <c r="AZ530" s="3"/>
      <c r="BA530" s="3"/>
      <c r="BB530" s="3"/>
      <c r="BC530" s="3"/>
      <c r="BD530" s="3"/>
      <c r="BE530" s="3"/>
      <c r="BF530" s="3"/>
      <c r="BG530" s="3"/>
      <c r="BH530" s="3"/>
      <c r="BI530" s="3"/>
      <c r="BJ530" s="3"/>
      <c r="BK530" s="3"/>
      <c r="BL530" s="3"/>
      <c r="BM530" s="3"/>
      <c r="BN530" s="3" t="s">
        <v>2069</v>
      </c>
    </row>
    <row r="531" spans="2:66" ht="12.95" customHeight="1">
      <c r="B531" s="1394"/>
      <c r="C531" s="1395"/>
      <c r="D531" s="1395"/>
      <c r="E531" s="1395"/>
      <c r="F531" s="1395"/>
      <c r="G531" s="1395"/>
      <c r="H531" s="1396"/>
      <c r="I531" s="42" t="s">
        <v>423</v>
      </c>
      <c r="J531" s="42"/>
      <c r="K531" s="42"/>
      <c r="L531" s="42"/>
      <c r="M531" s="42"/>
      <c r="N531" s="42"/>
      <c r="O531" s="1446" t="s">
        <v>2705</v>
      </c>
      <c r="P531" s="1447"/>
      <c r="Q531" s="1447"/>
      <c r="R531" s="1447"/>
      <c r="S531" s="1447"/>
      <c r="T531" s="1447"/>
      <c r="U531" s="1447"/>
      <c r="V531" s="1447"/>
      <c r="W531" s="1447"/>
      <c r="X531" s="1447"/>
      <c r="Y531" s="1447"/>
      <c r="Z531" s="1447"/>
      <c r="AA531" s="1447"/>
      <c r="AC531" s="1483" t="s">
        <v>590</v>
      </c>
      <c r="AD531" s="1374"/>
      <c r="AE531" s="1374"/>
      <c r="AF531" s="1374"/>
      <c r="AG531" s="13" t="s">
        <v>403</v>
      </c>
      <c r="AH531" s="1413"/>
      <c r="AI531" s="1413"/>
      <c r="AJ531" s="1413"/>
      <c r="AK531" s="1414"/>
      <c r="AZ531" s="3"/>
      <c r="BA531" s="3"/>
      <c r="BB531" s="3"/>
      <c r="BC531" s="3"/>
      <c r="BD531" s="3"/>
      <c r="BE531" s="3"/>
      <c r="BF531" s="3"/>
      <c r="BG531" s="3"/>
      <c r="BH531" s="3"/>
      <c r="BI531" s="3"/>
      <c r="BJ531" s="3"/>
      <c r="BK531" s="3"/>
      <c r="BL531" s="3"/>
      <c r="BM531" s="3"/>
      <c r="BN531" s="3" t="s">
        <v>2070</v>
      </c>
    </row>
    <row r="532" spans="2:66" ht="12.95" customHeight="1">
      <c r="B532" s="1394"/>
      <c r="C532" s="1395"/>
      <c r="D532" s="1395"/>
      <c r="E532" s="1395"/>
      <c r="F532" s="1395"/>
      <c r="G532" s="1395"/>
      <c r="H532" s="1396"/>
      <c r="I532" t="s">
        <v>421</v>
      </c>
      <c r="AC532" s="1429">
        <v>7</v>
      </c>
      <c r="AD532" s="1374"/>
      <c r="AE532" s="1374"/>
      <c r="AF532" s="1374"/>
      <c r="AG532" s="13" t="s">
        <v>403</v>
      </c>
      <c r="AH532" s="1413">
        <v>2025</v>
      </c>
      <c r="AI532" s="1413"/>
      <c r="AJ532" s="1413"/>
      <c r="AK532" s="1414"/>
      <c r="AZ532" s="3"/>
      <c r="BA532" s="3"/>
      <c r="BB532" s="3"/>
      <c r="BC532" s="3"/>
      <c r="BD532" s="3"/>
      <c r="BE532" s="3"/>
      <c r="BF532" s="3"/>
      <c r="BG532" s="3"/>
      <c r="BH532" s="3"/>
      <c r="BI532" s="3"/>
      <c r="BJ532" s="3"/>
      <c r="BK532" s="3"/>
      <c r="BL532" s="3"/>
      <c r="BM532" s="3"/>
      <c r="BN532" s="3" t="s">
        <v>2071</v>
      </c>
    </row>
    <row r="533" spans="2:66" ht="12.95" customHeight="1">
      <c r="B533" s="1394"/>
      <c r="C533" s="1395"/>
      <c r="D533" s="1395"/>
      <c r="E533" s="1395"/>
      <c r="F533" s="1395"/>
      <c r="G533" s="1395"/>
      <c r="H533" s="1396"/>
      <c r="I533" s="48" t="s">
        <v>422</v>
      </c>
      <c r="J533" s="48"/>
      <c r="K533" s="48"/>
      <c r="L533" s="48"/>
      <c r="M533" s="48"/>
      <c r="N533" s="48"/>
      <c r="O533" s="48"/>
      <c r="P533" s="48"/>
      <c r="Q533" s="48"/>
      <c r="R533" s="48"/>
      <c r="S533" s="48"/>
      <c r="T533" s="48"/>
      <c r="U533" s="48"/>
      <c r="V533" s="48"/>
      <c r="W533" s="48"/>
      <c r="X533" s="48"/>
      <c r="Y533" s="48"/>
      <c r="Z533" s="48"/>
      <c r="AA533" s="48"/>
      <c r="AB533" s="48"/>
      <c r="AC533" s="1429">
        <v>9</v>
      </c>
      <c r="AD533" s="1374"/>
      <c r="AE533" s="1374"/>
      <c r="AF533" s="1374"/>
      <c r="AG533" s="38" t="s">
        <v>403</v>
      </c>
      <c r="AH533" s="1413">
        <v>2025</v>
      </c>
      <c r="AI533" s="1413"/>
      <c r="AJ533" s="1413"/>
      <c r="AK533" s="1414"/>
      <c r="AZ533" s="3"/>
      <c r="BA533" s="3"/>
      <c r="BB533" s="3"/>
      <c r="BC533" s="3"/>
      <c r="BD533" s="3"/>
      <c r="BE533" s="3"/>
      <c r="BF533" s="3"/>
      <c r="BG533" s="3"/>
      <c r="BH533" s="3"/>
      <c r="BI533" s="3"/>
      <c r="BJ533" s="3"/>
      <c r="BK533" s="3"/>
      <c r="BL533" s="3"/>
      <c r="BM533" s="3"/>
      <c r="BN533" s="3" t="s">
        <v>2072</v>
      </c>
    </row>
    <row r="534" spans="2:66" ht="12.95" customHeight="1">
      <c r="B534" s="1394"/>
      <c r="C534" s="1395"/>
      <c r="D534" s="1395"/>
      <c r="E534" s="1395"/>
      <c r="F534" s="1395"/>
      <c r="G534" s="1395"/>
      <c r="H534" s="1396"/>
      <c r="I534" s="42" t="s">
        <v>423</v>
      </c>
      <c r="J534" s="42"/>
      <c r="K534" s="42"/>
      <c r="L534" s="42"/>
      <c r="M534" s="42"/>
      <c r="N534" s="42"/>
      <c r="O534" s="1446" t="s">
        <v>334</v>
      </c>
      <c r="P534" s="1447"/>
      <c r="Q534" s="1447"/>
      <c r="R534" s="1447"/>
      <c r="S534" s="1447"/>
      <c r="T534" s="1447"/>
      <c r="U534" s="1447"/>
      <c r="V534" s="1447"/>
      <c r="W534" s="1447"/>
      <c r="X534" s="1447"/>
      <c r="Y534" s="1447"/>
      <c r="Z534" s="1447"/>
      <c r="AA534" s="1447"/>
      <c r="AC534" s="1429" t="s">
        <v>590</v>
      </c>
      <c r="AD534" s="1374"/>
      <c r="AE534" s="1374"/>
      <c r="AF534" s="1374"/>
      <c r="AG534" s="13" t="s">
        <v>403</v>
      </c>
      <c r="AH534" s="1413"/>
      <c r="AI534" s="1413"/>
      <c r="AJ534" s="1413"/>
      <c r="AK534" s="1414"/>
      <c r="AZ534" s="3"/>
      <c r="BA534" s="3"/>
      <c r="BB534" s="3"/>
      <c r="BC534" s="3"/>
      <c r="BD534" s="3"/>
      <c r="BE534" s="3"/>
      <c r="BF534" s="3"/>
      <c r="BG534" s="3"/>
      <c r="BH534" s="3"/>
      <c r="BI534" s="3"/>
      <c r="BJ534" s="3"/>
      <c r="BK534" s="3"/>
      <c r="BL534" s="3"/>
      <c r="BM534" s="3"/>
      <c r="BN534" s="3" t="s">
        <v>2073</v>
      </c>
    </row>
    <row r="535" spans="2:66" ht="12.95" customHeight="1">
      <c r="B535" s="1394"/>
      <c r="C535" s="1395"/>
      <c r="D535" s="1395"/>
      <c r="E535" s="1395"/>
      <c r="F535" s="1395"/>
      <c r="G535" s="1395"/>
      <c r="H535" s="1396"/>
      <c r="I535" t="s">
        <v>421</v>
      </c>
      <c r="AC535" s="1429" t="s">
        <v>590</v>
      </c>
      <c r="AD535" s="1374"/>
      <c r="AE535" s="1374"/>
      <c r="AF535" s="1374"/>
      <c r="AG535" s="13" t="s">
        <v>403</v>
      </c>
      <c r="AH535" s="1413"/>
      <c r="AI535" s="1413"/>
      <c r="AJ535" s="1413"/>
      <c r="AK535" s="1414"/>
      <c r="AZ535" s="3"/>
      <c r="BA535" s="3"/>
      <c r="BB535" s="3"/>
      <c r="BC535" s="3"/>
      <c r="BD535" s="3"/>
      <c r="BE535" s="3"/>
      <c r="BF535" s="3"/>
      <c r="BG535" s="3"/>
      <c r="BH535" s="3"/>
      <c r="BI535" s="3"/>
      <c r="BJ535" s="3"/>
      <c r="BK535" s="3"/>
      <c r="BL535" s="3"/>
      <c r="BM535" s="3"/>
      <c r="BN535" s="3" t="s">
        <v>2074</v>
      </c>
    </row>
    <row r="536" spans="2:66" ht="12.95" customHeight="1">
      <c r="B536" s="1394"/>
      <c r="C536" s="1395"/>
      <c r="D536" s="1395"/>
      <c r="E536" s="1395"/>
      <c r="F536" s="1395"/>
      <c r="G536" s="1395"/>
      <c r="H536" s="1396"/>
      <c r="I536" s="48" t="s">
        <v>422</v>
      </c>
      <c r="J536" s="48"/>
      <c r="K536" s="48"/>
      <c r="L536" s="48"/>
      <c r="M536" s="48"/>
      <c r="N536" s="48"/>
      <c r="O536" s="48"/>
      <c r="P536" s="48"/>
      <c r="Q536" s="48"/>
      <c r="R536" s="48"/>
      <c r="S536" s="48"/>
      <c r="T536" s="48"/>
      <c r="U536" s="48"/>
      <c r="V536" s="48"/>
      <c r="W536" s="48"/>
      <c r="X536" s="48"/>
      <c r="Y536" s="48"/>
      <c r="Z536" s="48"/>
      <c r="AA536" s="48"/>
      <c r="AB536" s="48"/>
      <c r="AC536" s="1429" t="s">
        <v>590</v>
      </c>
      <c r="AD536" s="1374"/>
      <c r="AE536" s="1374"/>
      <c r="AF536" s="1374"/>
      <c r="AG536" s="38" t="s">
        <v>403</v>
      </c>
      <c r="AH536" s="1413"/>
      <c r="AI536" s="1413"/>
      <c r="AJ536" s="1413"/>
      <c r="AK536" s="1414"/>
      <c r="AZ536" s="3"/>
      <c r="BA536" s="3"/>
      <c r="BB536" s="3"/>
      <c r="BC536" s="3"/>
      <c r="BD536" s="3"/>
      <c r="BE536" s="3"/>
      <c r="BF536" s="3"/>
      <c r="BG536" s="3"/>
      <c r="BH536" s="3"/>
      <c r="BI536" s="3"/>
      <c r="BJ536" s="3"/>
      <c r="BK536" s="3"/>
      <c r="BL536" s="3"/>
      <c r="BM536" s="3"/>
      <c r="BN536" s="3" t="s">
        <v>2075</v>
      </c>
    </row>
    <row r="537" spans="2:66" ht="12.95" customHeight="1">
      <c r="B537" s="1394"/>
      <c r="C537" s="1395"/>
      <c r="D537" s="1395"/>
      <c r="E537" s="1395"/>
      <c r="F537" s="1395"/>
      <c r="G537" s="1395"/>
      <c r="H537" s="1396"/>
      <c r="I537" s="42" t="s">
        <v>423</v>
      </c>
      <c r="J537" s="42"/>
      <c r="K537" s="42"/>
      <c r="L537" s="42"/>
      <c r="M537" s="42"/>
      <c r="N537" s="42"/>
      <c r="O537" s="1446" t="s">
        <v>334</v>
      </c>
      <c r="P537" s="1447"/>
      <c r="Q537" s="1447"/>
      <c r="R537" s="1447"/>
      <c r="S537" s="1447"/>
      <c r="T537" s="1447"/>
      <c r="U537" s="1447"/>
      <c r="V537" s="1447"/>
      <c r="W537" s="1447"/>
      <c r="X537" s="1447"/>
      <c r="Y537" s="1447"/>
      <c r="Z537" s="1447"/>
      <c r="AA537" s="1447"/>
      <c r="AC537" s="1429" t="s">
        <v>590</v>
      </c>
      <c r="AD537" s="1374"/>
      <c r="AE537" s="1374"/>
      <c r="AF537" s="1374"/>
      <c r="AG537" s="13" t="s">
        <v>403</v>
      </c>
      <c r="AH537" s="1413"/>
      <c r="AI537" s="1413"/>
      <c r="AJ537" s="1413"/>
      <c r="AK537" s="1414"/>
      <c r="AZ537" s="3"/>
      <c r="BA537" s="3"/>
      <c r="BB537" s="3"/>
      <c r="BC537" s="3"/>
      <c r="BD537" s="3"/>
      <c r="BE537" s="3"/>
      <c r="BF537" s="3"/>
      <c r="BG537" s="3"/>
      <c r="BH537" s="3"/>
      <c r="BI537" s="3"/>
      <c r="BJ537" s="3"/>
      <c r="BK537" s="3"/>
      <c r="BL537" s="3"/>
      <c r="BM537" s="3"/>
      <c r="BN537" s="3" t="s">
        <v>2076</v>
      </c>
    </row>
    <row r="538" spans="2:66" ht="12.95" customHeight="1">
      <c r="B538" s="1394"/>
      <c r="C538" s="1395"/>
      <c r="D538" s="1395"/>
      <c r="E538" s="1395"/>
      <c r="F538" s="1395"/>
      <c r="G538" s="1395"/>
      <c r="H538" s="1396"/>
      <c r="I538" t="s">
        <v>421</v>
      </c>
      <c r="AC538" s="1429" t="s">
        <v>590</v>
      </c>
      <c r="AD538" s="1374"/>
      <c r="AE538" s="1374"/>
      <c r="AF538" s="1374"/>
      <c r="AG538" s="13" t="s">
        <v>403</v>
      </c>
      <c r="AH538" s="1413"/>
      <c r="AI538" s="1413"/>
      <c r="AJ538" s="1413"/>
      <c r="AK538" s="1414"/>
      <c r="AZ538" s="3"/>
      <c r="BA538" s="3"/>
      <c r="BB538" s="3"/>
      <c r="BC538" s="3"/>
      <c r="BD538" s="3"/>
      <c r="BE538" s="3"/>
      <c r="BF538" s="3"/>
      <c r="BG538" s="3"/>
      <c r="BH538" s="3"/>
      <c r="BI538" s="3"/>
      <c r="BJ538" s="3"/>
      <c r="BK538" s="3"/>
      <c r="BL538" s="3"/>
      <c r="BM538" s="3"/>
      <c r="BN538" s="3" t="s">
        <v>2077</v>
      </c>
    </row>
    <row r="539" spans="2:66" ht="12.95" customHeight="1">
      <c r="B539" s="1394"/>
      <c r="C539" s="1395"/>
      <c r="D539" s="1395"/>
      <c r="E539" s="1395"/>
      <c r="F539" s="1395"/>
      <c r="G539" s="1395"/>
      <c r="H539" s="1396"/>
      <c r="I539" s="48" t="s">
        <v>422</v>
      </c>
      <c r="J539" s="48"/>
      <c r="K539" s="48"/>
      <c r="L539" s="48"/>
      <c r="M539" s="48"/>
      <c r="N539" s="48"/>
      <c r="O539" s="48"/>
      <c r="P539" s="48"/>
      <c r="Q539" s="48"/>
      <c r="R539" s="48"/>
      <c r="S539" s="48"/>
      <c r="T539" s="48"/>
      <c r="U539" s="48"/>
      <c r="V539" s="48"/>
      <c r="W539" s="48"/>
      <c r="X539" s="48"/>
      <c r="Y539" s="48"/>
      <c r="Z539" s="48"/>
      <c r="AA539" s="48"/>
      <c r="AB539" s="48"/>
      <c r="AC539" s="1429" t="s">
        <v>590</v>
      </c>
      <c r="AD539" s="1374"/>
      <c r="AE539" s="1374"/>
      <c r="AF539" s="1374"/>
      <c r="AG539" s="38" t="s">
        <v>403</v>
      </c>
      <c r="AH539" s="1413"/>
      <c r="AI539" s="1413"/>
      <c r="AJ539" s="1413"/>
      <c r="AK539" s="1414"/>
      <c r="AZ539" s="3"/>
      <c r="BA539" s="3"/>
      <c r="BB539" s="3"/>
      <c r="BC539" s="3"/>
      <c r="BD539" s="3"/>
      <c r="BE539" s="3"/>
      <c r="BF539" s="3"/>
      <c r="BG539" s="3"/>
      <c r="BH539" s="3"/>
      <c r="BI539" s="3"/>
      <c r="BJ539" s="3"/>
      <c r="BK539" s="3"/>
      <c r="BL539" s="3"/>
      <c r="BM539" s="3"/>
      <c r="BN539" s="3" t="s">
        <v>2078</v>
      </c>
    </row>
    <row r="540" spans="2:66" ht="12.95" customHeight="1">
      <c r="B540" s="1394"/>
      <c r="C540" s="1395"/>
      <c r="D540" s="1395"/>
      <c r="E540" s="1395"/>
      <c r="F540" s="1395"/>
      <c r="G540" s="1395"/>
      <c r="H540" s="1396"/>
      <c r="I540" s="42" t="s">
        <v>423</v>
      </c>
      <c r="J540" s="42"/>
      <c r="K540" s="42"/>
      <c r="L540" s="42"/>
      <c r="M540" s="42"/>
      <c r="N540" s="42"/>
      <c r="O540" s="1446" t="s">
        <v>334</v>
      </c>
      <c r="P540" s="1447"/>
      <c r="Q540" s="1447"/>
      <c r="R540" s="1447"/>
      <c r="S540" s="1447"/>
      <c r="T540" s="1447"/>
      <c r="U540" s="1447"/>
      <c r="V540" s="1447"/>
      <c r="W540" s="1447"/>
      <c r="X540" s="1447"/>
      <c r="Y540" s="1447"/>
      <c r="Z540" s="1447"/>
      <c r="AA540" s="1447"/>
      <c r="AC540" s="1429" t="s">
        <v>590</v>
      </c>
      <c r="AD540" s="1374"/>
      <c r="AE540" s="1374"/>
      <c r="AF540" s="1374"/>
      <c r="AG540" s="13" t="s">
        <v>403</v>
      </c>
      <c r="AH540" s="1413"/>
      <c r="AI540" s="1413"/>
      <c r="AJ540" s="1413"/>
      <c r="AK540" s="1414"/>
      <c r="AZ540" s="3"/>
      <c r="BA540" s="3"/>
      <c r="BB540" s="3"/>
      <c r="BC540" s="3"/>
      <c r="BD540" s="3"/>
      <c r="BE540" s="3"/>
      <c r="BF540" s="3"/>
      <c r="BG540" s="3"/>
      <c r="BH540" s="3"/>
      <c r="BI540" s="3"/>
      <c r="BJ540" s="3"/>
      <c r="BK540" s="3"/>
      <c r="BL540" s="3"/>
      <c r="BM540" s="3"/>
      <c r="BN540" s="3" t="s">
        <v>2079</v>
      </c>
    </row>
    <row r="541" spans="2:66" ht="12.95" customHeight="1">
      <c r="B541" s="1394"/>
      <c r="C541" s="1395"/>
      <c r="D541" s="1395"/>
      <c r="E541" s="1395"/>
      <c r="F541" s="1395"/>
      <c r="G541" s="1395"/>
      <c r="H541" s="1396"/>
      <c r="I541" t="s">
        <v>421</v>
      </c>
      <c r="AC541" s="1429" t="s">
        <v>590</v>
      </c>
      <c r="AD541" s="1374"/>
      <c r="AE541" s="1374"/>
      <c r="AF541" s="1374"/>
      <c r="AG541" s="38" t="s">
        <v>403</v>
      </c>
      <c r="AH541" s="1413"/>
      <c r="AI541" s="1413"/>
      <c r="AJ541" s="1413"/>
      <c r="AK541" s="1414"/>
      <c r="AZ541" s="3"/>
      <c r="BA541" s="3"/>
      <c r="BB541" s="3"/>
      <c r="BC541" s="3"/>
      <c r="BD541" s="3"/>
      <c r="BE541" s="3"/>
      <c r="BF541" s="3"/>
      <c r="BG541" s="3"/>
      <c r="BH541" s="3"/>
      <c r="BI541" s="3"/>
      <c r="BJ541" s="3"/>
      <c r="BK541" s="3"/>
      <c r="BL541" s="3"/>
      <c r="BM541" s="3"/>
      <c r="BN541" s="3" t="s">
        <v>2080</v>
      </c>
    </row>
    <row r="542" spans="2:66" ht="12.95" customHeight="1">
      <c r="B542" s="1394"/>
      <c r="C542" s="1395"/>
      <c r="D542" s="1395"/>
      <c r="E542" s="1395"/>
      <c r="F542" s="1395"/>
      <c r="G542" s="1395"/>
      <c r="H542" s="1396"/>
      <c r="I542" s="48" t="s">
        <v>422</v>
      </c>
      <c r="J542" s="48"/>
      <c r="K542" s="48"/>
      <c r="L542" s="48"/>
      <c r="M542" s="48"/>
      <c r="N542" s="48"/>
      <c r="O542" s="48"/>
      <c r="P542" s="48"/>
      <c r="Q542" s="48"/>
      <c r="R542" s="48"/>
      <c r="S542" s="48"/>
      <c r="T542" s="48"/>
      <c r="U542" s="48"/>
      <c r="V542" s="48"/>
      <c r="W542" s="48"/>
      <c r="X542" s="48"/>
      <c r="Y542" s="48"/>
      <c r="Z542" s="48"/>
      <c r="AA542" s="48"/>
      <c r="AB542" s="48"/>
      <c r="AC542" s="1429" t="s">
        <v>590</v>
      </c>
      <c r="AD542" s="1374"/>
      <c r="AE542" s="1374"/>
      <c r="AF542" s="1374"/>
      <c r="AG542" s="13" t="s">
        <v>403</v>
      </c>
      <c r="AH542" s="1413"/>
      <c r="AI542" s="1413"/>
      <c r="AJ542" s="1413"/>
      <c r="AK542" s="1414"/>
      <c r="AZ542" s="3"/>
      <c r="BA542" s="3"/>
      <c r="BB542" s="3"/>
      <c r="BC542" s="3"/>
      <c r="BD542" s="3"/>
      <c r="BE542" s="3"/>
      <c r="BF542" s="3"/>
      <c r="BG542" s="3"/>
      <c r="BH542" s="3"/>
      <c r="BI542" s="3"/>
      <c r="BJ542" s="3"/>
      <c r="BK542" s="3"/>
      <c r="BL542" s="3"/>
      <c r="BM542" s="3"/>
      <c r="BN542" s="3" t="s">
        <v>2081</v>
      </c>
    </row>
    <row r="543" spans="2:66" ht="12.95" customHeight="1">
      <c r="B543" s="1394"/>
      <c r="C543" s="1395"/>
      <c r="D543" s="1395"/>
      <c r="E543" s="1395"/>
      <c r="F543" s="1395"/>
      <c r="G543" s="1395"/>
      <c r="H543" s="1396"/>
      <c r="I543" s="42" t="s">
        <v>423</v>
      </c>
      <c r="J543" s="42"/>
      <c r="K543" s="42"/>
      <c r="L543" s="42"/>
      <c r="M543" s="42"/>
      <c r="N543" s="42"/>
      <c r="O543" s="1446" t="s">
        <v>334</v>
      </c>
      <c r="P543" s="1447"/>
      <c r="Q543" s="1447"/>
      <c r="R543" s="1447"/>
      <c r="S543" s="1447"/>
      <c r="T543" s="1447"/>
      <c r="U543" s="1447"/>
      <c r="V543" s="1447"/>
      <c r="W543" s="1447"/>
      <c r="X543" s="1447"/>
      <c r="Y543" s="1447"/>
      <c r="Z543" s="1447"/>
      <c r="AA543" s="1447"/>
      <c r="AC543" s="1429" t="s">
        <v>590</v>
      </c>
      <c r="AD543" s="1374"/>
      <c r="AE543" s="1374"/>
      <c r="AF543" s="1374"/>
      <c r="AG543" s="38" t="s">
        <v>403</v>
      </c>
      <c r="AH543" s="1413"/>
      <c r="AI543" s="1413"/>
      <c r="AJ543" s="1413"/>
      <c r="AK543" s="1414"/>
      <c r="AZ543" s="3"/>
      <c r="BA543" s="3"/>
      <c r="BB543" s="3"/>
      <c r="BC543" s="3"/>
      <c r="BD543" s="3"/>
      <c r="BE543" s="3"/>
      <c r="BF543" s="3"/>
      <c r="BG543" s="3"/>
      <c r="BH543" s="3"/>
      <c r="BI543" s="3"/>
      <c r="BJ543" s="3"/>
      <c r="BK543" s="3"/>
      <c r="BL543" s="3"/>
      <c r="BM543" s="3"/>
      <c r="BN543" s="3" t="s">
        <v>2082</v>
      </c>
    </row>
    <row r="544" spans="2:66" ht="12.95" customHeight="1">
      <c r="B544" s="1394"/>
      <c r="C544" s="1395"/>
      <c r="D544" s="1395"/>
      <c r="E544" s="1395"/>
      <c r="F544" s="1395"/>
      <c r="G544" s="1395"/>
      <c r="H544" s="1396"/>
      <c r="I544" t="s">
        <v>421</v>
      </c>
      <c r="AC544" s="1429" t="s">
        <v>590</v>
      </c>
      <c r="AD544" s="1374"/>
      <c r="AE544" s="1374"/>
      <c r="AF544" s="1374"/>
      <c r="AG544" s="13" t="s">
        <v>403</v>
      </c>
      <c r="AH544" s="1413"/>
      <c r="AI544" s="1413"/>
      <c r="AJ544" s="1413"/>
      <c r="AK544" s="1414"/>
      <c r="AZ544" s="3"/>
      <c r="BA544" s="3"/>
      <c r="BB544" s="3"/>
      <c r="BC544" s="3"/>
      <c r="BD544" s="3"/>
      <c r="BE544" s="3"/>
      <c r="BF544" s="3"/>
      <c r="BG544" s="3"/>
      <c r="BH544" s="3"/>
      <c r="BI544" s="3"/>
      <c r="BJ544" s="3"/>
      <c r="BK544" s="3"/>
      <c r="BL544" s="3"/>
      <c r="BM544" s="3"/>
      <c r="BN544" s="3" t="s">
        <v>2083</v>
      </c>
    </row>
    <row r="545" spans="1:66" ht="12.95" customHeight="1">
      <c r="B545" s="1394"/>
      <c r="C545" s="1395"/>
      <c r="D545" s="1395"/>
      <c r="E545" s="1395"/>
      <c r="F545" s="1395"/>
      <c r="G545" s="1395"/>
      <c r="H545" s="1396"/>
      <c r="I545" s="48" t="s">
        <v>422</v>
      </c>
      <c r="J545" s="48"/>
      <c r="K545" s="48"/>
      <c r="L545" s="48"/>
      <c r="M545" s="48"/>
      <c r="N545" s="48"/>
      <c r="O545" s="48"/>
      <c r="P545" s="48"/>
      <c r="Q545" s="48"/>
      <c r="R545" s="48"/>
      <c r="S545" s="48"/>
      <c r="T545" s="48"/>
      <c r="U545" s="48"/>
      <c r="V545" s="48"/>
      <c r="W545" s="48"/>
      <c r="X545" s="48"/>
      <c r="Y545" s="48"/>
      <c r="Z545" s="48"/>
      <c r="AA545" s="48"/>
      <c r="AB545" s="48"/>
      <c r="AC545" s="1429" t="s">
        <v>590</v>
      </c>
      <c r="AD545" s="1374"/>
      <c r="AE545" s="1374"/>
      <c r="AF545" s="1374"/>
      <c r="AG545" s="38" t="s">
        <v>403</v>
      </c>
      <c r="AH545" s="1413"/>
      <c r="AI545" s="1413"/>
      <c r="AJ545" s="1413"/>
      <c r="AK545" s="1414"/>
      <c r="AZ545" s="3"/>
      <c r="BA545" s="3"/>
      <c r="BB545" s="3"/>
      <c r="BC545" s="3"/>
      <c r="BD545" s="3"/>
      <c r="BE545" s="3"/>
      <c r="BF545" s="3"/>
      <c r="BG545" s="3"/>
      <c r="BH545" s="3"/>
      <c r="BI545" s="3"/>
      <c r="BJ545" s="3"/>
      <c r="BK545" s="3"/>
      <c r="BL545" s="3"/>
      <c r="BM545" s="3"/>
      <c r="BN545" s="3" t="s">
        <v>2084</v>
      </c>
    </row>
    <row r="546" spans="1:66" ht="12.95" customHeight="1">
      <c r="B546" s="1394"/>
      <c r="C546" s="1395"/>
      <c r="D546" s="1395"/>
      <c r="E546" s="1395"/>
      <c r="F546" s="1395"/>
      <c r="G546" s="1395"/>
      <c r="H546" s="1396"/>
      <c r="I546" s="42" t="s">
        <v>561</v>
      </c>
      <c r="J546" s="42"/>
      <c r="K546" s="42"/>
      <c r="L546" s="42"/>
      <c r="M546" s="42"/>
      <c r="N546" s="42"/>
      <c r="O546" s="42"/>
      <c r="P546" s="42"/>
      <c r="Q546" s="42"/>
      <c r="R546" s="42"/>
      <c r="S546" s="42"/>
      <c r="T546" s="42"/>
      <c r="U546" s="42"/>
      <c r="V546" s="42"/>
      <c r="W546" s="42"/>
      <c r="AC546" s="1429">
        <v>4</v>
      </c>
      <c r="AD546" s="1374"/>
      <c r="AE546" s="1374"/>
      <c r="AF546" s="1374"/>
      <c r="AG546" s="38" t="s">
        <v>403</v>
      </c>
      <c r="AH546" s="1413">
        <v>2026</v>
      </c>
      <c r="AI546" s="1413"/>
      <c r="AJ546" s="1413"/>
      <c r="AK546" s="1414"/>
      <c r="AZ546" s="3"/>
      <c r="BA546" s="3"/>
      <c r="BB546" s="3"/>
      <c r="BC546" s="3"/>
      <c r="BD546" s="3"/>
      <c r="BE546" s="3"/>
      <c r="BF546" s="3"/>
      <c r="BG546" s="3"/>
      <c r="BH546" s="3"/>
      <c r="BI546" s="3"/>
      <c r="BJ546" s="3"/>
      <c r="BK546" s="3"/>
      <c r="BL546" s="3"/>
      <c r="BM546" s="3"/>
      <c r="BN546" s="3"/>
    </row>
    <row r="547" spans="1:66" ht="12.95" customHeight="1">
      <c r="B547" s="1394"/>
      <c r="C547" s="1395"/>
      <c r="D547" s="1395"/>
      <c r="E547" s="1395"/>
      <c r="F547" s="1395"/>
      <c r="G547" s="1395"/>
      <c r="H547" s="1396"/>
      <c r="I547" t="s">
        <v>562</v>
      </c>
      <c r="AC547" s="1429">
        <v>11</v>
      </c>
      <c r="AD547" s="1374"/>
      <c r="AE547" s="1374"/>
      <c r="AF547" s="1374"/>
      <c r="AG547" s="13" t="s">
        <v>403</v>
      </c>
      <c r="AH547" s="1413">
        <v>2026</v>
      </c>
      <c r="AI547" s="1413"/>
      <c r="AJ547" s="1413"/>
      <c r="AK547" s="1414"/>
      <c r="AZ547" s="3"/>
      <c r="BA547" s="3"/>
      <c r="BB547" s="3"/>
      <c r="BC547" s="3"/>
      <c r="BD547" s="3"/>
      <c r="BE547" s="3"/>
      <c r="BF547" s="3"/>
      <c r="BG547" s="3"/>
      <c r="BH547" s="3"/>
      <c r="BI547" s="3"/>
      <c r="BJ547" s="3"/>
      <c r="BK547" s="3"/>
      <c r="BL547" s="3"/>
      <c r="BM547" s="3"/>
      <c r="BN547" s="3"/>
    </row>
    <row r="548" spans="1:66" ht="12.95" customHeight="1">
      <c r="B548" s="1394"/>
      <c r="C548" s="1395"/>
      <c r="D548" s="1395"/>
      <c r="E548" s="1395"/>
      <c r="F548" s="1395"/>
      <c r="G548" s="1395"/>
      <c r="H548" s="1396"/>
      <c r="I548" t="s">
        <v>563</v>
      </c>
      <c r="AC548" s="1429">
        <v>11</v>
      </c>
      <c r="AD548" s="1374"/>
      <c r="AE548" s="1374"/>
      <c r="AF548" s="1374"/>
      <c r="AG548" s="38" t="s">
        <v>403</v>
      </c>
      <c r="AH548" s="1413">
        <v>2028</v>
      </c>
      <c r="AI548" s="1413"/>
      <c r="AJ548" s="1413"/>
      <c r="AK548" s="1414"/>
      <c r="AZ548" s="3"/>
      <c r="BA548" s="3"/>
      <c r="BB548" s="3"/>
      <c r="BC548" s="3"/>
      <c r="BD548" s="3"/>
      <c r="BE548" s="3"/>
      <c r="BF548" s="3"/>
      <c r="BG548" s="3"/>
      <c r="BH548" s="3"/>
      <c r="BI548" s="3"/>
      <c r="BJ548" s="3"/>
      <c r="BK548" s="3"/>
      <c r="BL548" s="3"/>
      <c r="BM548" s="3"/>
      <c r="BN548" s="3"/>
    </row>
    <row r="549" spans="1:66" ht="12.95" customHeight="1">
      <c r="B549" s="1394"/>
      <c r="C549" s="1395"/>
      <c r="D549" s="1395"/>
      <c r="E549" s="1395"/>
      <c r="F549" s="1395"/>
      <c r="G549" s="1395"/>
      <c r="H549" s="1396"/>
      <c r="I549" t="s">
        <v>564</v>
      </c>
      <c r="AC549" s="1429">
        <v>11</v>
      </c>
      <c r="AD549" s="1374"/>
      <c r="AE549" s="1374"/>
      <c r="AF549" s="1374"/>
      <c r="AG549" s="38" t="s">
        <v>403</v>
      </c>
      <c r="AH549" s="1413">
        <v>2028</v>
      </c>
      <c r="AI549" s="1413"/>
      <c r="AJ549" s="1413"/>
      <c r="AK549" s="1414"/>
      <c r="AZ549" s="3"/>
      <c r="BA549" s="3"/>
      <c r="BB549" s="3"/>
      <c r="BC549" s="3"/>
      <c r="BD549" s="3"/>
      <c r="BE549" s="3"/>
      <c r="BF549" s="3"/>
      <c r="BG549" s="3"/>
      <c r="BH549" s="3"/>
      <c r="BI549" s="3"/>
      <c r="BJ549" s="3"/>
      <c r="BK549" s="3"/>
      <c r="BL549" s="3"/>
      <c r="BM549" s="3"/>
      <c r="BN549" s="3"/>
    </row>
    <row r="550" spans="1:66" ht="12.95" customHeight="1">
      <c r="B550" s="1397"/>
      <c r="C550" s="1398"/>
      <c r="D550" s="1398"/>
      <c r="E550" s="1398"/>
      <c r="F550" s="1398"/>
      <c r="G550" s="1398"/>
      <c r="H550" s="1399"/>
      <c r="I550" s="48" t="s">
        <v>450</v>
      </c>
      <c r="J550" s="48"/>
      <c r="K550" s="48"/>
      <c r="L550" s="48"/>
      <c r="M550" s="48"/>
      <c r="N550" s="48"/>
      <c r="O550" s="48"/>
      <c r="P550" s="48"/>
      <c r="Q550" s="48"/>
      <c r="R550" s="48"/>
      <c r="S550" s="48"/>
      <c r="T550" s="48"/>
      <c r="U550" s="48"/>
      <c r="V550" s="48"/>
      <c r="W550" s="48"/>
      <c r="X550" s="48"/>
      <c r="Y550" s="48"/>
      <c r="Z550" s="48"/>
      <c r="AA550" s="48"/>
      <c r="AB550" s="48"/>
      <c r="AC550" s="1429">
        <v>2</v>
      </c>
      <c r="AD550" s="1374"/>
      <c r="AE550" s="1374"/>
      <c r="AF550" s="1374"/>
      <c r="AG550" s="38" t="s">
        <v>403</v>
      </c>
      <c r="AH550" s="1413">
        <v>2029</v>
      </c>
      <c r="AI550" s="1413"/>
      <c r="AJ550" s="1413"/>
      <c r="AK550" s="1414"/>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91" t="s">
        <v>2058</v>
      </c>
      <c r="C559" s="1392"/>
      <c r="D559" s="1392"/>
      <c r="E559" s="1392"/>
      <c r="F559" s="1392"/>
      <c r="G559" s="1392"/>
      <c r="H559" s="1392"/>
      <c r="I559" s="1392"/>
      <c r="J559" s="1392"/>
      <c r="K559" s="1392"/>
      <c r="L559" s="1393"/>
      <c r="M559" s="1391" t="s">
        <v>2059</v>
      </c>
      <c r="N559" s="1392"/>
      <c r="O559" s="1392"/>
      <c r="P559" s="1393"/>
      <c r="Q559" s="1391" t="s">
        <v>2085</v>
      </c>
      <c r="R559" s="1392"/>
      <c r="S559" s="1393"/>
      <c r="T559" s="1391" t="s">
        <v>2086</v>
      </c>
      <c r="U559" s="1392"/>
      <c r="V559" s="1393"/>
      <c r="W559" s="1391" t="s">
        <v>452</v>
      </c>
      <c r="X559" s="1392"/>
      <c r="Y559" s="1393"/>
      <c r="Z559" s="1391" t="s">
        <v>1827</v>
      </c>
      <c r="AA559" s="1392"/>
      <c r="AB559" s="1392"/>
      <c r="AC559" s="1392"/>
      <c r="AD559" s="1393"/>
      <c r="AE559" s="1391" t="s">
        <v>1664</v>
      </c>
      <c r="AF559" s="1392"/>
      <c r="AG559" s="1392"/>
      <c r="AH559" s="1393"/>
      <c r="AI559" s="1391" t="s">
        <v>1665</v>
      </c>
      <c r="AJ559" s="1392"/>
      <c r="AK559" s="1392"/>
      <c r="AL559" s="1393"/>
      <c r="AM559" s="1391" t="s">
        <v>453</v>
      </c>
      <c r="AN559" s="1392"/>
      <c r="AO559" s="1392"/>
      <c r="AP559" s="1392"/>
      <c r="AQ559" s="1392"/>
      <c r="AR559" s="1392"/>
      <c r="AS559" s="1393"/>
      <c r="BB559" s="3"/>
      <c r="BC559" s="3"/>
      <c r="BD559" s="3"/>
      <c r="BE559" s="3"/>
      <c r="BF559" s="3"/>
      <c r="BG559" s="3"/>
      <c r="BH559" s="3" t="s">
        <v>580</v>
      </c>
      <c r="BI559" s="3" t="str">
        <f>AG665</f>
        <v>Yes</v>
      </c>
    </row>
    <row r="560" spans="1:66" ht="12.95" customHeight="1">
      <c r="B560" s="1394"/>
      <c r="C560" s="1395"/>
      <c r="D560" s="1395"/>
      <c r="E560" s="1395"/>
      <c r="F560" s="1395"/>
      <c r="G560" s="1395"/>
      <c r="H560" s="1395"/>
      <c r="I560" s="1395"/>
      <c r="J560" s="1395"/>
      <c r="K560" s="1395"/>
      <c r="L560" s="1396"/>
      <c r="M560" s="1394"/>
      <c r="N560" s="1395"/>
      <c r="O560" s="1395"/>
      <c r="P560" s="1396"/>
      <c r="Q560" s="1394"/>
      <c r="R560" s="1395"/>
      <c r="S560" s="1396"/>
      <c r="T560" s="1394"/>
      <c r="U560" s="1395"/>
      <c r="V560" s="1396"/>
      <c r="W560" s="1394"/>
      <c r="X560" s="1395"/>
      <c r="Y560" s="1396"/>
      <c r="Z560" s="1394"/>
      <c r="AA560" s="1395"/>
      <c r="AB560" s="1395"/>
      <c r="AC560" s="1395"/>
      <c r="AD560" s="1396"/>
      <c r="AE560" s="1394"/>
      <c r="AF560" s="1395"/>
      <c r="AG560" s="1395"/>
      <c r="AH560" s="1396"/>
      <c r="AI560" s="1394"/>
      <c r="AJ560" s="1395"/>
      <c r="AK560" s="1395"/>
      <c r="AL560" s="1396"/>
      <c r="AM560" s="1394"/>
      <c r="AN560" s="1395"/>
      <c r="AO560" s="1395"/>
      <c r="AP560" s="1395"/>
      <c r="AQ560" s="1395"/>
      <c r="AR560" s="1395"/>
      <c r="AS560" s="1396"/>
      <c r="AU560" s="1141"/>
      <c r="BB560" s="3"/>
      <c r="BC560" s="3"/>
      <c r="BD560" s="3"/>
      <c r="BE560" s="3"/>
      <c r="BF560" s="3"/>
      <c r="BG560" s="3"/>
      <c r="BH560" s="3"/>
      <c r="BI560" s="3"/>
    </row>
    <row r="561" spans="1:61" ht="12.95" customHeight="1">
      <c r="B561" s="1397"/>
      <c r="C561" s="1398"/>
      <c r="D561" s="1398"/>
      <c r="E561" s="1398"/>
      <c r="F561" s="1398"/>
      <c r="G561" s="1398"/>
      <c r="H561" s="1398"/>
      <c r="I561" s="1398"/>
      <c r="J561" s="1398"/>
      <c r="K561" s="1398"/>
      <c r="L561" s="1399"/>
      <c r="M561" s="1397"/>
      <c r="N561" s="1398"/>
      <c r="O561" s="1398"/>
      <c r="P561" s="1399"/>
      <c r="Q561" s="1397"/>
      <c r="R561" s="1398"/>
      <c r="S561" s="1399"/>
      <c r="T561" s="1397"/>
      <c r="U561" s="1398"/>
      <c r="V561" s="1399"/>
      <c r="W561" s="1397"/>
      <c r="X561" s="1398"/>
      <c r="Y561" s="1399"/>
      <c r="Z561" s="1397"/>
      <c r="AA561" s="1398"/>
      <c r="AB561" s="1398"/>
      <c r="AC561" s="1398"/>
      <c r="AD561" s="1399"/>
      <c r="AE561" s="1397"/>
      <c r="AF561" s="1398"/>
      <c r="AG561" s="1398"/>
      <c r="AH561" s="1399"/>
      <c r="AI561" s="1397"/>
      <c r="AJ561" s="1398"/>
      <c r="AK561" s="1398"/>
      <c r="AL561" s="1399"/>
      <c r="AM561" s="1397"/>
      <c r="AN561" s="1398"/>
      <c r="AO561" s="1398"/>
      <c r="AP561" s="1398"/>
      <c r="AQ561" s="1398"/>
      <c r="AR561" s="1398"/>
      <c r="AS561" s="1399"/>
      <c r="AU561" s="1141"/>
      <c r="BB561" s="3"/>
      <c r="BC561" s="3"/>
      <c r="BD561" s="3"/>
      <c r="BE561" s="3"/>
      <c r="BF561" s="3"/>
      <c r="BG561" s="3"/>
      <c r="BH561" s="3"/>
      <c r="BI561" s="3"/>
    </row>
    <row r="562" spans="1:61" ht="12.95" customHeight="1">
      <c r="B562" s="51" t="s">
        <v>112</v>
      </c>
      <c r="C562" s="1492" t="s">
        <v>2744</v>
      </c>
      <c r="D562" s="1492"/>
      <c r="E562" s="1492"/>
      <c r="F562" s="1492"/>
      <c r="G562" s="1492"/>
      <c r="H562" s="1492"/>
      <c r="I562" s="1492"/>
      <c r="J562" s="1492"/>
      <c r="K562" s="1492"/>
      <c r="L562" s="1492"/>
      <c r="M562" s="1492" t="s">
        <v>2075</v>
      </c>
      <c r="N562" s="1492"/>
      <c r="O562" s="1492"/>
      <c r="P562" s="1492"/>
      <c r="Q562" s="1427">
        <v>32</v>
      </c>
      <c r="R562" s="1427"/>
      <c r="S562" s="1428"/>
      <c r="T562" s="1426"/>
      <c r="U562" s="1427"/>
      <c r="V562" s="1428"/>
      <c r="W562" s="1487">
        <v>6.2799999999999995E-2</v>
      </c>
      <c r="X562" s="1488"/>
      <c r="Y562" s="1489"/>
      <c r="Z562" s="1435" t="s">
        <v>2707</v>
      </c>
      <c r="AA562" s="1435"/>
      <c r="AB562" s="1435"/>
      <c r="AC562" s="1435"/>
      <c r="AD562" s="1435"/>
      <c r="AE562" s="1407">
        <v>1</v>
      </c>
      <c r="AF562" s="1408"/>
      <c r="AG562" s="1408"/>
      <c r="AH562" s="1409"/>
      <c r="AI562" s="1475"/>
      <c r="AJ562" s="1476"/>
      <c r="AK562" s="1476"/>
      <c r="AL562" s="1477"/>
      <c r="AM562" s="1418">
        <v>6932960</v>
      </c>
      <c r="AN562" s="1419"/>
      <c r="AO562" s="1419"/>
      <c r="AP562" s="1419"/>
      <c r="AQ562" s="1419"/>
      <c r="AR562" s="1419"/>
      <c r="AS562" s="1420"/>
      <c r="AT562" s="1142"/>
      <c r="AU562" s="1141"/>
      <c r="BB562" s="3"/>
      <c r="BC562" s="3"/>
      <c r="BD562" s="3"/>
      <c r="BE562" s="3"/>
      <c r="BF562" s="3"/>
      <c r="BG562" s="3"/>
      <c r="BH562" s="3"/>
      <c r="BI562" s="3"/>
    </row>
    <row r="563" spans="1:61" ht="12.95" customHeight="1">
      <c r="B563" s="52" t="s">
        <v>113</v>
      </c>
      <c r="C563" s="1491" t="s">
        <v>2744</v>
      </c>
      <c r="D563" s="1491"/>
      <c r="E563" s="1491"/>
      <c r="F563" s="1491"/>
      <c r="G563" s="1491"/>
      <c r="H563" s="1491"/>
      <c r="I563" s="1491"/>
      <c r="J563" s="1491"/>
      <c r="K563" s="1491"/>
      <c r="L563" s="1491"/>
      <c r="M563" s="1492" t="s">
        <v>2074</v>
      </c>
      <c r="N563" s="1492"/>
      <c r="O563" s="1492"/>
      <c r="P563" s="1492"/>
      <c r="Q563" s="1426">
        <v>32</v>
      </c>
      <c r="R563" s="1427"/>
      <c r="S563" s="1428"/>
      <c r="T563" s="1426"/>
      <c r="U563" s="1427"/>
      <c r="V563" s="1428"/>
      <c r="W563" s="1487">
        <v>6.5299999999999997E-2</v>
      </c>
      <c r="X563" s="1488"/>
      <c r="Y563" s="1489"/>
      <c r="Z563" s="1435" t="s">
        <v>2706</v>
      </c>
      <c r="AA563" s="1435"/>
      <c r="AB563" s="1435"/>
      <c r="AC563" s="1435"/>
      <c r="AD563" s="1435"/>
      <c r="AE563" s="1407">
        <v>1</v>
      </c>
      <c r="AF563" s="1408"/>
      <c r="AG563" s="1408"/>
      <c r="AH563" s="1409"/>
      <c r="AI563" s="1475"/>
      <c r="AJ563" s="1476"/>
      <c r="AK563" s="1476"/>
      <c r="AL563" s="1477"/>
      <c r="AM563" s="1418">
        <v>5112586</v>
      </c>
      <c r="AN563" s="1419"/>
      <c r="AO563" s="1419"/>
      <c r="AP563" s="1419"/>
      <c r="AQ563" s="1419"/>
      <c r="AR563" s="1419"/>
      <c r="AS563" s="1420"/>
      <c r="AT563" s="1142" t="str">
        <f>IF(AND(NOT(C562=""),C563="",NOT(C564="")),"!","")</f>
        <v/>
      </c>
      <c r="AU563" s="1141"/>
      <c r="BB563" s="3"/>
      <c r="BC563" s="3"/>
      <c r="BD563" s="3"/>
      <c r="BE563" s="3"/>
      <c r="BF563" s="3"/>
      <c r="BG563" s="3"/>
      <c r="BH563" s="3"/>
      <c r="BI563" s="3"/>
    </row>
    <row r="564" spans="1:61" ht="12.95" customHeight="1">
      <c r="B564" s="52" t="s">
        <v>119</v>
      </c>
      <c r="C564" s="1491" t="s">
        <v>2724</v>
      </c>
      <c r="D564" s="1491"/>
      <c r="E564" s="1491"/>
      <c r="F564" s="1491"/>
      <c r="G564" s="1491"/>
      <c r="H564" s="1491"/>
      <c r="I564" s="1491"/>
      <c r="J564" s="1491"/>
      <c r="K564" s="1491"/>
      <c r="L564" s="1491"/>
      <c r="M564" s="1492" t="s">
        <v>2071</v>
      </c>
      <c r="N564" s="1492"/>
      <c r="O564" s="1492"/>
      <c r="P564" s="1492"/>
      <c r="Q564" s="1426">
        <v>32</v>
      </c>
      <c r="R564" s="1427"/>
      <c r="S564" s="1428"/>
      <c r="T564" s="1426"/>
      <c r="U564" s="1427"/>
      <c r="V564" s="1428"/>
      <c r="W564" s="1487">
        <v>0.03</v>
      </c>
      <c r="X564" s="1488"/>
      <c r="Y564" s="1489"/>
      <c r="Z564" s="1435" t="s">
        <v>2706</v>
      </c>
      <c r="AA564" s="1435"/>
      <c r="AB564" s="1435"/>
      <c r="AC564" s="1435"/>
      <c r="AD564" s="1435"/>
      <c r="AE564" s="1407">
        <v>2</v>
      </c>
      <c r="AF564" s="1408"/>
      <c r="AG564" s="1408"/>
      <c r="AH564" s="1409"/>
      <c r="AI564" s="1475"/>
      <c r="AJ564" s="1476"/>
      <c r="AK564" s="1476"/>
      <c r="AL564" s="1477"/>
      <c r="AM564" s="1418">
        <v>6786797</v>
      </c>
      <c r="AN564" s="1419"/>
      <c r="AO564" s="1419"/>
      <c r="AP564" s="1419"/>
      <c r="AQ564" s="1419"/>
      <c r="AR564" s="1419"/>
      <c r="AS564" s="1420"/>
      <c r="AT564" s="1142" t="str">
        <f>IF(AND(NOT(C563=""),C564="",NOT(C565="")),"!","")</f>
        <v/>
      </c>
      <c r="AU564" s="1141"/>
      <c r="BB564" s="3"/>
      <c r="BC564" s="3"/>
      <c r="BD564" s="3"/>
      <c r="BE564" s="3"/>
      <c r="BF564" s="3"/>
      <c r="BG564" s="3"/>
      <c r="BH564" s="3"/>
      <c r="BI564" s="3"/>
    </row>
    <row r="565" spans="1:61" ht="12.95" customHeight="1">
      <c r="B565" s="52" t="s">
        <v>580</v>
      </c>
      <c r="C565" s="1491" t="s">
        <v>2743</v>
      </c>
      <c r="D565" s="1491"/>
      <c r="E565" s="1491"/>
      <c r="F565" s="1491"/>
      <c r="G565" s="1491"/>
      <c r="H565" s="1491"/>
      <c r="I565" s="1491"/>
      <c r="J565" s="1491"/>
      <c r="K565" s="1491"/>
      <c r="L565" s="1491"/>
      <c r="M565" s="1492" t="s">
        <v>2071</v>
      </c>
      <c r="N565" s="1492"/>
      <c r="O565" s="1492"/>
      <c r="P565" s="1492"/>
      <c r="Q565" s="1426">
        <v>32</v>
      </c>
      <c r="R565" s="1427"/>
      <c r="S565" s="1428"/>
      <c r="T565" s="1426"/>
      <c r="U565" s="1427"/>
      <c r="V565" s="1428"/>
      <c r="W565" s="1487">
        <v>0.03</v>
      </c>
      <c r="X565" s="1488"/>
      <c r="Y565" s="1489"/>
      <c r="Z565" s="1435" t="s">
        <v>1183</v>
      </c>
      <c r="AA565" s="1435"/>
      <c r="AB565" s="1435"/>
      <c r="AC565" s="1435"/>
      <c r="AD565" s="1435"/>
      <c r="AE565" s="1407"/>
      <c r="AF565" s="1408"/>
      <c r="AG565" s="1408"/>
      <c r="AH565" s="1409"/>
      <c r="AI565" s="1475"/>
      <c r="AJ565" s="1476"/>
      <c r="AK565" s="1476"/>
      <c r="AL565" s="1477"/>
      <c r="AM565" s="1418">
        <v>1144144</v>
      </c>
      <c r="AN565" s="1419"/>
      <c r="AO565" s="1419"/>
      <c r="AP565" s="1419"/>
      <c r="AQ565" s="1419"/>
      <c r="AR565" s="1419"/>
      <c r="AS565" s="1420"/>
      <c r="AT565" s="1142" t="str">
        <f>IF(AND(NOT(C564=""),C565="",NOT(C566="")),"!","")</f>
        <v/>
      </c>
      <c r="AU565" s="1141"/>
      <c r="BB565" s="3"/>
      <c r="BC565" s="3"/>
      <c r="BD565" s="3"/>
      <c r="BE565" s="3"/>
      <c r="BF565" s="3"/>
      <c r="BG565" s="3"/>
      <c r="BH565" s="3"/>
      <c r="BI565" s="3"/>
    </row>
    <row r="566" spans="1:61" ht="12.95" customHeight="1">
      <c r="B566" s="52" t="s">
        <v>762</v>
      </c>
      <c r="C566" s="1491" t="s">
        <v>2708</v>
      </c>
      <c r="D566" s="1491"/>
      <c r="E566" s="1491"/>
      <c r="F566" s="1491"/>
      <c r="G566" s="1491"/>
      <c r="H566" s="1491"/>
      <c r="I566" s="1491"/>
      <c r="J566" s="1491"/>
      <c r="K566" s="1491"/>
      <c r="L566" s="1491"/>
      <c r="M566" s="1492" t="s">
        <v>2065</v>
      </c>
      <c r="N566" s="1492"/>
      <c r="O566" s="1492"/>
      <c r="P566" s="1492"/>
      <c r="Q566" s="1426"/>
      <c r="R566" s="1427"/>
      <c r="S566" s="1428"/>
      <c r="T566" s="1426"/>
      <c r="U566" s="1427"/>
      <c r="V566" s="1428"/>
      <c r="W566" s="1487"/>
      <c r="X566" s="1488"/>
      <c r="Y566" s="1489"/>
      <c r="Z566" s="1435" t="s">
        <v>1183</v>
      </c>
      <c r="AA566" s="1435"/>
      <c r="AB566" s="1435"/>
      <c r="AC566" s="1435"/>
      <c r="AD566" s="1435"/>
      <c r="AE566" s="1407"/>
      <c r="AF566" s="1408"/>
      <c r="AG566" s="1408"/>
      <c r="AH566" s="1409"/>
      <c r="AI566" s="1475"/>
      <c r="AJ566" s="1476"/>
      <c r="AK566" s="1476"/>
      <c r="AL566" s="1477"/>
      <c r="AM566" s="1418">
        <v>100</v>
      </c>
      <c r="AN566" s="1419"/>
      <c r="AO566" s="1419"/>
      <c r="AP566" s="1419"/>
      <c r="AQ566" s="1419"/>
      <c r="AR566" s="1419"/>
      <c r="AS566" s="1420"/>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491" t="s">
        <v>2709</v>
      </c>
      <c r="D567" s="1491"/>
      <c r="E567" s="1491"/>
      <c r="F567" s="1491"/>
      <c r="G567" s="1491"/>
      <c r="H567" s="1491"/>
      <c r="I567" s="1491"/>
      <c r="J567" s="1491"/>
      <c r="K567" s="1491"/>
      <c r="L567" s="1491"/>
      <c r="M567" s="1492" t="s">
        <v>2066</v>
      </c>
      <c r="N567" s="1492"/>
      <c r="O567" s="1492"/>
      <c r="P567" s="1492"/>
      <c r="Q567" s="1426"/>
      <c r="R567" s="1427"/>
      <c r="S567" s="1428"/>
      <c r="T567" s="1426"/>
      <c r="U567" s="1427"/>
      <c r="V567" s="1428"/>
      <c r="W567" s="1487"/>
      <c r="X567" s="1488"/>
      <c r="Y567" s="1489"/>
      <c r="Z567" s="1435" t="s">
        <v>1183</v>
      </c>
      <c r="AA567" s="1435"/>
      <c r="AB567" s="1435"/>
      <c r="AC567" s="1435"/>
      <c r="AD567" s="1435"/>
      <c r="AE567" s="1407"/>
      <c r="AF567" s="1408"/>
      <c r="AG567" s="1408"/>
      <c r="AH567" s="1409"/>
      <c r="AI567" s="1475"/>
      <c r="AJ567" s="1476"/>
      <c r="AK567" s="1476"/>
      <c r="AL567" s="1477"/>
      <c r="AM567" s="1418">
        <v>2944952</v>
      </c>
      <c r="AN567" s="1419"/>
      <c r="AO567" s="1419"/>
      <c r="AP567" s="1419"/>
      <c r="AQ567" s="1419"/>
      <c r="AR567" s="1419"/>
      <c r="AS567" s="1420"/>
      <c r="AT567" s="1142" t="str">
        <f t="shared" si="2"/>
        <v/>
      </c>
      <c r="AU567" s="1141"/>
      <c r="BB567" s="3"/>
      <c r="BC567" s="3"/>
      <c r="BD567" s="3"/>
      <c r="BE567" s="3"/>
      <c r="BF567" s="3"/>
      <c r="BG567" s="3"/>
      <c r="BH567" s="3" t="s">
        <v>583</v>
      </c>
      <c r="BI567" s="3" t="str">
        <f>AG673</f>
        <v>No</v>
      </c>
    </row>
    <row r="568" spans="1:61" ht="12.95" customHeight="1">
      <c r="B568" s="52" t="s">
        <v>454</v>
      </c>
      <c r="C568" s="1491" t="s">
        <v>2717</v>
      </c>
      <c r="D568" s="1491"/>
      <c r="E568" s="1491"/>
      <c r="F568" s="1491"/>
      <c r="G568" s="1491"/>
      <c r="H568" s="1491"/>
      <c r="I568" s="1491"/>
      <c r="J568" s="1491"/>
      <c r="K568" s="1491"/>
      <c r="L568" s="1491"/>
      <c r="M568" s="1492" t="s">
        <v>2061</v>
      </c>
      <c r="N568" s="1492"/>
      <c r="O568" s="1492"/>
      <c r="P568" s="1492"/>
      <c r="Q568" s="1426"/>
      <c r="R568" s="1427"/>
      <c r="S568" s="1428"/>
      <c r="T568" s="1426"/>
      <c r="U568" s="1427"/>
      <c r="V568" s="1428"/>
      <c r="W568" s="1487"/>
      <c r="X568" s="1488"/>
      <c r="Y568" s="1489"/>
      <c r="Z568" s="1435" t="s">
        <v>1183</v>
      </c>
      <c r="AA568" s="1435"/>
      <c r="AB568" s="1435"/>
      <c r="AC568" s="1435"/>
      <c r="AD568" s="1435"/>
      <c r="AE568" s="1407"/>
      <c r="AF568" s="1408"/>
      <c r="AG568" s="1408"/>
      <c r="AH568" s="1409"/>
      <c r="AI568" s="1475"/>
      <c r="AJ568" s="1476"/>
      <c r="AK568" s="1476"/>
      <c r="AL568" s="1477"/>
      <c r="AM568" s="1418">
        <v>918352</v>
      </c>
      <c r="AN568" s="1419"/>
      <c r="AO568" s="1419"/>
      <c r="AP568" s="1419"/>
      <c r="AQ568" s="1419"/>
      <c r="AR568" s="1419"/>
      <c r="AS568" s="1420"/>
      <c r="AT568" s="1142" t="str">
        <f t="shared" si="2"/>
        <v/>
      </c>
      <c r="AU568" s="1141"/>
      <c r="BB568" s="3"/>
      <c r="BC568" s="3"/>
      <c r="BD568" s="3"/>
      <c r="BE568" s="3"/>
      <c r="BF568" s="3"/>
      <c r="BG568" s="3"/>
      <c r="BH568" s="3"/>
      <c r="BI568" s="3"/>
    </row>
    <row r="569" spans="1:61" ht="12.95" customHeight="1">
      <c r="B569" s="52" t="s">
        <v>455</v>
      </c>
      <c r="C569" s="1491" t="s">
        <v>2263</v>
      </c>
      <c r="D569" s="1491"/>
      <c r="E569" s="1491"/>
      <c r="F569" s="1491"/>
      <c r="G569" s="1491"/>
      <c r="H569" s="1491"/>
      <c r="I569" s="1491"/>
      <c r="J569" s="1491"/>
      <c r="K569" s="1491"/>
      <c r="L569" s="1491"/>
      <c r="M569" s="1492" t="s">
        <v>2062</v>
      </c>
      <c r="N569" s="1492"/>
      <c r="O569" s="1492"/>
      <c r="P569" s="1492"/>
      <c r="Q569" s="1426"/>
      <c r="R569" s="1427"/>
      <c r="S569" s="1428"/>
      <c r="T569" s="1426"/>
      <c r="U569" s="1427"/>
      <c r="V569" s="1428"/>
      <c r="W569" s="1487"/>
      <c r="X569" s="1488"/>
      <c r="Y569" s="1489"/>
      <c r="Z569" s="1435" t="s">
        <v>1183</v>
      </c>
      <c r="AA569" s="1435"/>
      <c r="AB569" s="1435"/>
      <c r="AC569" s="1435"/>
      <c r="AD569" s="1435"/>
      <c r="AE569" s="1407"/>
      <c r="AF569" s="1408"/>
      <c r="AG569" s="1408"/>
      <c r="AH569" s="1409"/>
      <c r="AI569" s="1475"/>
      <c r="AJ569" s="1476"/>
      <c r="AK569" s="1476"/>
      <c r="AL569" s="1477"/>
      <c r="AM569" s="1418">
        <v>1984406</v>
      </c>
      <c r="AN569" s="1419"/>
      <c r="AO569" s="1419"/>
      <c r="AP569" s="1419"/>
      <c r="AQ569" s="1419"/>
      <c r="AR569" s="1419"/>
      <c r="AS569" s="1420"/>
      <c r="AT569" s="1142" t="str">
        <f t="shared" si="2"/>
        <v/>
      </c>
      <c r="AU569" s="1141"/>
      <c r="BB569" s="3"/>
      <c r="BC569" s="3"/>
      <c r="BD569" s="3"/>
      <c r="BE569" s="3"/>
      <c r="BF569" s="3"/>
      <c r="BG569" s="3"/>
      <c r="BH569" s="3"/>
      <c r="BI569" s="3"/>
    </row>
    <row r="570" spans="1:61" ht="12.95" customHeight="1">
      <c r="B570" s="52" t="s">
        <v>460</v>
      </c>
      <c r="C570" s="1491" t="s">
        <v>2752</v>
      </c>
      <c r="D570" s="1491"/>
      <c r="E570" s="1491"/>
      <c r="F570" s="1491"/>
      <c r="G570" s="1491"/>
      <c r="H570" s="1491"/>
      <c r="I570" s="1491"/>
      <c r="J570" s="1491"/>
      <c r="K570" s="1491"/>
      <c r="L570" s="1491"/>
      <c r="M570" s="1492" t="s">
        <v>2060</v>
      </c>
      <c r="N570" s="1492"/>
      <c r="O570" s="1492"/>
      <c r="P570" s="1492"/>
      <c r="Q570" s="1426"/>
      <c r="R570" s="1427"/>
      <c r="S570" s="1428"/>
      <c r="T570" s="1426"/>
      <c r="U570" s="1427"/>
      <c r="V570" s="1428"/>
      <c r="W570" s="1487"/>
      <c r="X570" s="1488"/>
      <c r="Y570" s="1489"/>
      <c r="Z570" s="1435" t="s">
        <v>1183</v>
      </c>
      <c r="AA570" s="1435"/>
      <c r="AB570" s="1435"/>
      <c r="AC570" s="1435"/>
      <c r="AD570" s="1435"/>
      <c r="AE570" s="1407"/>
      <c r="AF570" s="1408"/>
      <c r="AG570" s="1408"/>
      <c r="AH570" s="1409"/>
      <c r="AI570" s="1475"/>
      <c r="AJ570" s="1476"/>
      <c r="AK570" s="1476"/>
      <c r="AL570" s="1477"/>
      <c r="AM570" s="1418">
        <f>263123+55670+1</f>
        <v>318794</v>
      </c>
      <c r="AN570" s="1419"/>
      <c r="AO570" s="1419"/>
      <c r="AP570" s="1419"/>
      <c r="AQ570" s="1419"/>
      <c r="AR570" s="1419"/>
      <c r="AS570" s="1420"/>
      <c r="AT570" s="1142" t="str">
        <f t="shared" si="2"/>
        <v/>
      </c>
      <c r="AU570" s="1141"/>
      <c r="BB570" s="3"/>
      <c r="BC570" s="3"/>
      <c r="BD570" s="3"/>
      <c r="BE570" s="3"/>
      <c r="BF570" s="3"/>
      <c r="BG570" s="3"/>
      <c r="BH570" s="3"/>
      <c r="BI570" s="3"/>
    </row>
    <row r="571" spans="1:61" ht="12.95" customHeight="1">
      <c r="B571" s="52" t="s">
        <v>645</v>
      </c>
      <c r="C571" s="1491"/>
      <c r="D571" s="1491"/>
      <c r="E571" s="1491"/>
      <c r="F571" s="1491"/>
      <c r="G571" s="1491"/>
      <c r="H571" s="1491"/>
      <c r="I571" s="1491"/>
      <c r="J571" s="1491"/>
      <c r="K571" s="1491"/>
      <c r="L571" s="1491"/>
      <c r="M571" s="1492" t="s">
        <v>1183</v>
      </c>
      <c r="N571" s="1492"/>
      <c r="O571" s="1492"/>
      <c r="P571" s="1492"/>
      <c r="Q571" s="1426"/>
      <c r="R571" s="1427"/>
      <c r="S571" s="1428"/>
      <c r="T571" s="1426"/>
      <c r="U571" s="1427"/>
      <c r="V571" s="1428"/>
      <c r="W571" s="1487"/>
      <c r="X571" s="1488"/>
      <c r="Y571" s="1489"/>
      <c r="Z571" s="1435" t="s">
        <v>1183</v>
      </c>
      <c r="AA571" s="1435"/>
      <c r="AB571" s="1435"/>
      <c r="AC571" s="1435"/>
      <c r="AD571" s="1435"/>
      <c r="AE571" s="1407"/>
      <c r="AF571" s="1408"/>
      <c r="AG571" s="1408"/>
      <c r="AH571" s="1409"/>
      <c r="AI571" s="1475"/>
      <c r="AJ571" s="1476"/>
      <c r="AK571" s="1476"/>
      <c r="AL571" s="1477"/>
      <c r="AM571" s="1418"/>
      <c r="AN571" s="1419"/>
      <c r="AO571" s="1419"/>
      <c r="AP571" s="1419"/>
      <c r="AQ571" s="1419"/>
      <c r="AR571" s="1419"/>
      <c r="AS571" s="1420"/>
      <c r="AT571" s="1142" t="str">
        <f t="shared" si="2"/>
        <v/>
      </c>
      <c r="BB571" s="3"/>
      <c r="BC571" s="3"/>
      <c r="BD571" s="3"/>
      <c r="BE571" s="3"/>
      <c r="BF571" s="3"/>
      <c r="BG571" s="3"/>
      <c r="BH571" s="3"/>
      <c r="BI571" s="3"/>
    </row>
    <row r="572" spans="1:61" ht="12.95" customHeight="1">
      <c r="B572" s="52" t="s">
        <v>362</v>
      </c>
      <c r="C572" s="1491"/>
      <c r="D572" s="1491"/>
      <c r="E572" s="1491"/>
      <c r="F572" s="1491"/>
      <c r="G572" s="1491"/>
      <c r="H572" s="1491"/>
      <c r="I572" s="1491"/>
      <c r="J572" s="1491"/>
      <c r="K572" s="1491"/>
      <c r="L572" s="1491"/>
      <c r="M572" s="1492" t="s">
        <v>1183</v>
      </c>
      <c r="N572" s="1492"/>
      <c r="O572" s="1492"/>
      <c r="P572" s="1492"/>
      <c r="Q572" s="1426"/>
      <c r="R572" s="1427"/>
      <c r="S572" s="1428"/>
      <c r="T572" s="1426"/>
      <c r="U572" s="1427"/>
      <c r="V572" s="1428"/>
      <c r="W572" s="1487"/>
      <c r="X572" s="1488"/>
      <c r="Y572" s="1489"/>
      <c r="Z572" s="1435" t="s">
        <v>1183</v>
      </c>
      <c r="AA572" s="1435"/>
      <c r="AB572" s="1435"/>
      <c r="AC572" s="1435"/>
      <c r="AD572" s="1435"/>
      <c r="AE572" s="1407"/>
      <c r="AF572" s="1408"/>
      <c r="AG572" s="1408"/>
      <c r="AH572" s="1409"/>
      <c r="AI572" s="1475"/>
      <c r="AJ572" s="1476"/>
      <c r="AK572" s="1476"/>
      <c r="AL572" s="1477"/>
      <c r="AM572" s="1418"/>
      <c r="AN572" s="1419"/>
      <c r="AO572" s="1419"/>
      <c r="AP572" s="1419"/>
      <c r="AQ572" s="1419"/>
      <c r="AR572" s="1419"/>
      <c r="AS572" s="1420"/>
      <c r="AT572" s="1142" t="str">
        <f t="shared" si="2"/>
        <v/>
      </c>
      <c r="BB572" s="3"/>
      <c r="BC572" s="3"/>
      <c r="BD572" s="3"/>
      <c r="BE572" s="3"/>
      <c r="BF572" s="3"/>
      <c r="BG572" s="3"/>
      <c r="BH572" s="3"/>
      <c r="BI572" s="3"/>
    </row>
    <row r="573" spans="1:61" ht="12.95" customHeight="1">
      <c r="B573" s="52" t="s">
        <v>363</v>
      </c>
      <c r="C573" s="1491"/>
      <c r="D573" s="1491"/>
      <c r="E573" s="1491"/>
      <c r="F573" s="1491"/>
      <c r="G573" s="1491"/>
      <c r="H573" s="1491"/>
      <c r="I573" s="1491"/>
      <c r="J573" s="1491"/>
      <c r="K573" s="1491"/>
      <c r="L573" s="1491"/>
      <c r="M573" s="1492" t="s">
        <v>1183</v>
      </c>
      <c r="N573" s="1492"/>
      <c r="O573" s="1492"/>
      <c r="P573" s="1492"/>
      <c r="Q573" s="1426"/>
      <c r="R573" s="1427"/>
      <c r="S573" s="1428"/>
      <c r="T573" s="1426"/>
      <c r="U573" s="1427"/>
      <c r="V573" s="1428"/>
      <c r="W573" s="1487"/>
      <c r="X573" s="1488"/>
      <c r="Y573" s="1489"/>
      <c r="Z573" s="1435" t="s">
        <v>1183</v>
      </c>
      <c r="AA573" s="1435"/>
      <c r="AB573" s="1435"/>
      <c r="AC573" s="1435"/>
      <c r="AD573" s="1435"/>
      <c r="AE573" s="1407"/>
      <c r="AF573" s="1408"/>
      <c r="AG573" s="1408"/>
      <c r="AH573" s="1409"/>
      <c r="AI573" s="1475"/>
      <c r="AJ573" s="1476"/>
      <c r="AK573" s="1476"/>
      <c r="AL573" s="1477"/>
      <c r="AM573" s="1418"/>
      <c r="AN573" s="1419"/>
      <c r="AO573" s="1419"/>
      <c r="AP573" s="1419"/>
      <c r="AQ573" s="1419"/>
      <c r="AR573" s="1419"/>
      <c r="AS573" s="1420"/>
      <c r="AT573" s="1142" t="str">
        <f t="shared" si="2"/>
        <v/>
      </c>
      <c r="BB573" s="3"/>
      <c r="BC573" s="3"/>
      <c r="BD573" s="3"/>
      <c r="BE573" s="3"/>
      <c r="BF573" s="3"/>
      <c r="BG573" s="3"/>
      <c r="BH573" s="3"/>
      <c r="BI573" s="3"/>
    </row>
    <row r="574" spans="1:61" ht="12.95" customHeight="1">
      <c r="B574" s="1403" t="s">
        <v>127</v>
      </c>
      <c r="C574" s="1404"/>
      <c r="D574" s="1404"/>
      <c r="E574" s="1404"/>
      <c r="F574" s="1404"/>
      <c r="G574" s="1404"/>
      <c r="H574" s="1404"/>
      <c r="I574" s="1404"/>
      <c r="J574" s="1404"/>
      <c r="K574" s="1404"/>
      <c r="L574" s="1404"/>
      <c r="M574" s="1404"/>
      <c r="N574" s="1404"/>
      <c r="O574" s="1404"/>
      <c r="P574" s="1404"/>
      <c r="Q574" s="1404"/>
      <c r="R574" s="1404"/>
      <c r="S574" s="1404"/>
      <c r="T574" s="1404"/>
      <c r="U574" s="1405"/>
      <c r="V574" s="1404"/>
      <c r="W574" s="1404"/>
      <c r="X574" s="1404"/>
      <c r="Y574" s="1404"/>
      <c r="Z574" s="1404"/>
      <c r="AA574" s="1404"/>
      <c r="AB574" s="1404"/>
      <c r="AC574" s="1404"/>
      <c r="AD574" s="1404"/>
      <c r="AE574" s="1404"/>
      <c r="AF574" s="1404"/>
      <c r="AG574" s="1404"/>
      <c r="AH574" s="1404"/>
      <c r="AI574" s="1404"/>
      <c r="AJ574" s="1404"/>
      <c r="AK574" s="1404"/>
      <c r="AL574" s="1406"/>
      <c r="AM574" s="1479">
        <f>SUM(AM562:AS573)</f>
        <v>26143091</v>
      </c>
      <c r="AN574" s="1480"/>
      <c r="AO574" s="1480"/>
      <c r="AP574" s="1480"/>
      <c r="AQ574" s="1480"/>
      <c r="AR574" s="1480"/>
      <c r="AS574" s="1481"/>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90" t="str">
        <f>C562</f>
        <v>Construction Loan - JPMC</v>
      </c>
      <c r="H576" s="1490"/>
      <c r="I576" s="1490"/>
      <c r="J576" s="1490"/>
      <c r="K576" s="1490"/>
      <c r="L576" s="1490"/>
      <c r="M576" s="1490"/>
      <c r="N576" s="1490"/>
      <c r="O576" s="1490"/>
      <c r="P576" s="1490"/>
      <c r="Q576" s="1490"/>
      <c r="R576" s="1490"/>
      <c r="S576" s="8"/>
      <c r="T576" s="55" t="s">
        <v>113</v>
      </c>
      <c r="U576" t="s">
        <v>462</v>
      </c>
      <c r="Z576" s="1490" t="str">
        <f>C563</f>
        <v>Construction Loan - JPMC</v>
      </c>
      <c r="AA576" s="1490"/>
      <c r="AB576" s="1490"/>
      <c r="AC576" s="1490"/>
      <c r="AD576" s="1490"/>
      <c r="AE576" s="1490"/>
      <c r="AF576" s="1490"/>
      <c r="AG576" s="1490"/>
      <c r="AH576" s="1490"/>
      <c r="AI576" s="1490"/>
      <c r="AJ576" s="1490"/>
      <c r="AK576" s="1490"/>
      <c r="BB576" s="3"/>
      <c r="BC576" s="3"/>
      <c r="BD576" s="3"/>
      <c r="BE576" s="3"/>
      <c r="BF576" s="3"/>
      <c r="BG576" s="3"/>
      <c r="BH576" s="3"/>
      <c r="BI576" s="3"/>
    </row>
    <row r="577" spans="1:61" ht="12.95" customHeight="1">
      <c r="A577" s="22"/>
      <c r="B577" t="s">
        <v>85</v>
      </c>
      <c r="G577" s="1402" t="s">
        <v>2710</v>
      </c>
      <c r="H577" s="1402"/>
      <c r="I577" s="1402"/>
      <c r="J577" s="1402"/>
      <c r="K577" s="1402"/>
      <c r="L577" s="1402"/>
      <c r="M577" s="1402"/>
      <c r="N577" s="1402"/>
      <c r="O577" s="1402"/>
      <c r="P577" s="1402"/>
      <c r="Q577" s="1402"/>
      <c r="R577" s="1402"/>
      <c r="S577" s="8"/>
      <c r="T577" s="22"/>
      <c r="U577" t="s">
        <v>85</v>
      </c>
      <c r="Z577" s="1402" t="s">
        <v>2720</v>
      </c>
      <c r="AA577" s="1402"/>
      <c r="AB577" s="1402"/>
      <c r="AC577" s="1402"/>
      <c r="AD577" s="1402"/>
      <c r="AE577" s="1402"/>
      <c r="AF577" s="1402"/>
      <c r="AG577" s="1402"/>
      <c r="AH577" s="1402"/>
      <c r="AI577" s="1402"/>
      <c r="AJ577" s="1402"/>
      <c r="AK577" s="1402"/>
      <c r="BB577" s="3"/>
      <c r="BC577" s="3"/>
      <c r="BD577" s="3"/>
      <c r="BE577" s="3"/>
      <c r="BF577" s="3"/>
      <c r="BG577" s="3"/>
      <c r="BH577" s="3"/>
      <c r="BI577" s="3"/>
    </row>
    <row r="578" spans="1:61" ht="12.95" customHeight="1">
      <c r="A578" s="22"/>
      <c r="B578" t="s">
        <v>579</v>
      </c>
      <c r="G578" s="1402" t="s">
        <v>729</v>
      </c>
      <c r="H578" s="1402"/>
      <c r="I578" s="1402"/>
      <c r="J578" s="1402"/>
      <c r="K578" s="1402"/>
      <c r="L578" s="1402"/>
      <c r="M578" s="1402"/>
      <c r="N578" s="1402"/>
      <c r="O578" s="1402"/>
      <c r="P578" s="1402"/>
      <c r="Q578" s="1402"/>
      <c r="R578" s="1402"/>
      <c r="T578" s="22"/>
      <c r="U578" t="s">
        <v>579</v>
      </c>
      <c r="Z578" s="1463" t="s">
        <v>68</v>
      </c>
      <c r="AA578" s="1463"/>
      <c r="AB578" s="1463"/>
      <c r="AC578" s="1463"/>
      <c r="AD578" s="1463"/>
      <c r="AE578" s="1463"/>
      <c r="AF578" s="1463"/>
      <c r="AG578" s="1463"/>
      <c r="AH578" s="1463"/>
      <c r="AI578" s="1463"/>
      <c r="AJ578" s="1463"/>
      <c r="AK578" s="1463"/>
      <c r="BB578" s="3"/>
      <c r="BC578" s="3"/>
      <c r="BD578" s="3"/>
      <c r="BE578" s="3"/>
      <c r="BF578" s="3"/>
      <c r="BG578" s="3"/>
      <c r="BH578" s="3"/>
      <c r="BI578" s="3"/>
    </row>
    <row r="579" spans="1:61" ht="12.95" customHeight="1">
      <c r="A579" s="22"/>
      <c r="B579" t="s">
        <v>17</v>
      </c>
      <c r="G579" s="1402" t="s">
        <v>2711</v>
      </c>
      <c r="H579" s="1402"/>
      <c r="I579" s="1402"/>
      <c r="J579" s="1402"/>
      <c r="K579" s="1402"/>
      <c r="L579" s="1402"/>
      <c r="M579" s="1402"/>
      <c r="N579" s="1402"/>
      <c r="O579" s="1402"/>
      <c r="P579" s="1402"/>
      <c r="Q579" s="1402"/>
      <c r="R579" s="1402"/>
      <c r="S579" s="8"/>
      <c r="T579" s="22"/>
      <c r="U579" t="s">
        <v>17</v>
      </c>
      <c r="Z579" s="1463" t="s">
        <v>2721</v>
      </c>
      <c r="AA579" s="1463"/>
      <c r="AB579" s="1463"/>
      <c r="AC579" s="1463"/>
      <c r="AD579" s="1463"/>
      <c r="AE579" s="1463"/>
      <c r="AF579" s="1463"/>
      <c r="AG579" s="1463"/>
      <c r="AH579" s="1463"/>
      <c r="AI579" s="1463"/>
      <c r="AJ579" s="1463"/>
      <c r="AK579" s="1463"/>
      <c r="BB579" s="3"/>
      <c r="BC579" s="3"/>
      <c r="BD579" s="3"/>
      <c r="BE579" s="3"/>
      <c r="BF579" s="3"/>
      <c r="BG579" s="3"/>
      <c r="BH579" s="3"/>
      <c r="BI579" s="3"/>
    </row>
    <row r="580" spans="1:61" ht="12.95" customHeight="1">
      <c r="A580" s="22"/>
      <c r="B580" t="s">
        <v>316</v>
      </c>
      <c r="G580" s="1424" t="s">
        <v>2712</v>
      </c>
      <c r="H580" s="1425"/>
      <c r="I580" s="1425"/>
      <c r="J580" s="1425"/>
      <c r="K580" s="1425"/>
      <c r="L580" s="1425"/>
      <c r="O580" s="33" t="s">
        <v>206</v>
      </c>
      <c r="P580" s="1478"/>
      <c r="Q580" s="1478"/>
      <c r="R580" s="1478"/>
      <c r="S580" s="10"/>
      <c r="T580" s="22"/>
      <c r="U580" t="s">
        <v>316</v>
      </c>
      <c r="Z580" s="1424" t="s">
        <v>2722</v>
      </c>
      <c r="AA580" s="1425"/>
      <c r="AB580" s="1425"/>
      <c r="AC580" s="1425"/>
      <c r="AD580" s="1425"/>
      <c r="AE580" s="1425"/>
      <c r="AH580" s="33" t="s">
        <v>206</v>
      </c>
      <c r="AI580" s="1478"/>
      <c r="AJ580" s="1478"/>
      <c r="AK580" s="1478"/>
      <c r="BB580" s="3"/>
      <c r="BC580" s="3"/>
      <c r="BD580" s="3"/>
      <c r="BE580" s="3"/>
      <c r="BF580" s="3"/>
      <c r="BG580" s="3"/>
      <c r="BH580" s="3"/>
      <c r="BI580" s="3"/>
    </row>
    <row r="581" spans="1:61" ht="12.95" customHeight="1">
      <c r="A581" s="22"/>
      <c r="B581" t="s">
        <v>18</v>
      </c>
      <c r="H581" s="1402" t="s">
        <v>2713</v>
      </c>
      <c r="I581" s="1402"/>
      <c r="J581" s="1402"/>
      <c r="K581" s="1402"/>
      <c r="L581" s="1402"/>
      <c r="M581" s="1402"/>
      <c r="N581" s="1402"/>
      <c r="O581" s="1402"/>
      <c r="P581" s="1402"/>
      <c r="Q581" s="1402"/>
      <c r="R581" s="1402"/>
      <c r="S581" s="8"/>
      <c r="T581" s="22"/>
      <c r="U581" t="s">
        <v>18</v>
      </c>
      <c r="AA581" s="1402" t="s">
        <v>2061</v>
      </c>
      <c r="AB581" s="1402"/>
      <c r="AC581" s="1402"/>
      <c r="AD581" s="1402"/>
      <c r="AE581" s="1402"/>
      <c r="AF581" s="1402"/>
      <c r="AG581" s="1402"/>
      <c r="AH581" s="1402"/>
      <c r="AI581" s="1402"/>
      <c r="AJ581" s="1402"/>
      <c r="AK581" s="1402"/>
      <c r="BB581" s="3"/>
      <c r="BC581" s="3"/>
      <c r="BD581" s="3"/>
      <c r="BE581" s="3"/>
      <c r="BF581" s="3"/>
      <c r="BG581" s="3"/>
      <c r="BH581" s="3"/>
      <c r="BI581" s="3"/>
    </row>
    <row r="582" spans="1:61" ht="12.95" customHeight="1">
      <c r="A582" s="22"/>
      <c r="B582" s="320" t="s">
        <v>1184</v>
      </c>
      <c r="H582" s="8"/>
      <c r="I582" s="8"/>
      <c r="J582" s="8"/>
      <c r="K582" s="8"/>
      <c r="L582" s="8"/>
      <c r="M582" s="1585"/>
      <c r="N582" s="1585"/>
      <c r="O582" s="1585"/>
      <c r="P582" s="1585"/>
      <c r="Q582" s="1585"/>
      <c r="R582" s="1585"/>
      <c r="S582" s="8"/>
      <c r="T582" s="22"/>
      <c r="U582" s="320" t="s">
        <v>1184</v>
      </c>
      <c r="AA582" s="8"/>
      <c r="AB582" s="8"/>
      <c r="AC582" s="8"/>
      <c r="AD582" s="8"/>
      <c r="AE582" s="8"/>
      <c r="AF582" s="1585"/>
      <c r="AG582" s="1585"/>
      <c r="AH582" s="1585"/>
      <c r="AI582" s="1585"/>
      <c r="AJ582" s="1585"/>
      <c r="AK582" s="1585"/>
      <c r="BB582" s="3"/>
      <c r="BC582" s="3"/>
      <c r="BD582" s="3"/>
      <c r="BE582" s="3"/>
      <c r="BF582" s="3"/>
      <c r="BG582" s="3"/>
      <c r="BH582" s="3"/>
      <c r="BI582" s="3"/>
    </row>
    <row r="583" spans="1:61" ht="12.95" customHeight="1">
      <c r="A583" s="22"/>
      <c r="B583" t="s">
        <v>20</v>
      </c>
      <c r="N583" s="1410" t="s">
        <v>544</v>
      </c>
      <c r="O583" s="1410"/>
      <c r="T583" s="22"/>
      <c r="U583" t="s">
        <v>20</v>
      </c>
      <c r="AG583" s="1410" t="s">
        <v>544</v>
      </c>
      <c r="AH583" s="141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90" t="str">
        <f>C564</f>
        <v>HCD Joe Serna Jr, FWHG</v>
      </c>
      <c r="H585" s="1490"/>
      <c r="I585" s="1490"/>
      <c r="J585" s="1490"/>
      <c r="K585" s="1490"/>
      <c r="L585" s="1490"/>
      <c r="M585" s="1490"/>
      <c r="N585" s="1490"/>
      <c r="O585" s="1490"/>
      <c r="P585" s="1490"/>
      <c r="Q585" s="1490"/>
      <c r="R585" s="1490"/>
      <c r="T585" s="55" t="s">
        <v>580</v>
      </c>
      <c r="U585" t="s">
        <v>462</v>
      </c>
      <c r="Z585" s="1490" t="str">
        <f>C565</f>
        <v>SLO County HOME/HOME ARP</v>
      </c>
      <c r="AA585" s="1490"/>
      <c r="AB585" s="1490"/>
      <c r="AC585" s="1490"/>
      <c r="AD585" s="1490"/>
      <c r="AE585" s="1490"/>
      <c r="AF585" s="1490"/>
      <c r="AG585" s="1490"/>
      <c r="AH585" s="1490"/>
      <c r="AI585" s="1490"/>
      <c r="AJ585" s="1490"/>
      <c r="AK585" s="1490"/>
      <c r="BB585" s="3"/>
      <c r="BC585" s="3"/>
    </row>
    <row r="586" spans="1:61" ht="12.95" customHeight="1">
      <c r="A586" s="22"/>
      <c r="B586" t="s">
        <v>85</v>
      </c>
      <c r="G586" s="1402" t="s">
        <v>2714</v>
      </c>
      <c r="H586" s="1402"/>
      <c r="I586" s="1402"/>
      <c r="J586" s="1402"/>
      <c r="K586" s="1402"/>
      <c r="L586" s="1402"/>
      <c r="M586" s="1402"/>
      <c r="N586" s="1402"/>
      <c r="O586" s="1402"/>
      <c r="P586" s="1402"/>
      <c r="Q586" s="1402"/>
      <c r="R586" s="1402"/>
      <c r="T586" s="22"/>
      <c r="U586" t="s">
        <v>85</v>
      </c>
      <c r="Z586" s="1402" t="s">
        <v>2648</v>
      </c>
      <c r="AA586" s="1402"/>
      <c r="AB586" s="1402"/>
      <c r="AC586" s="1402"/>
      <c r="AD586" s="1402"/>
      <c r="AE586" s="1402"/>
      <c r="AF586" s="1402"/>
      <c r="AG586" s="1402"/>
      <c r="AH586" s="1402"/>
      <c r="AI586" s="1402"/>
      <c r="AJ586" s="1402"/>
      <c r="AK586" s="1402"/>
      <c r="BB586" s="3"/>
      <c r="BC586" s="3"/>
    </row>
    <row r="587" spans="1:61" ht="12.95" customHeight="1">
      <c r="A587" s="22"/>
      <c r="B587" t="s">
        <v>579</v>
      </c>
      <c r="G587" s="1463" t="s">
        <v>69</v>
      </c>
      <c r="H587" s="1463"/>
      <c r="I587" s="1463"/>
      <c r="J587" s="1463"/>
      <c r="K587" s="1463"/>
      <c r="L587" s="1463"/>
      <c r="M587" s="1463"/>
      <c r="N587" s="1463"/>
      <c r="O587" s="1463"/>
      <c r="P587" s="1463"/>
      <c r="Q587" s="1463"/>
      <c r="R587" s="1463"/>
      <c r="T587" s="22"/>
      <c r="U587" t="s">
        <v>579</v>
      </c>
      <c r="Z587" s="1463" t="s">
        <v>69</v>
      </c>
      <c r="AA587" s="1463"/>
      <c r="AB587" s="1463"/>
      <c r="AC587" s="1463"/>
      <c r="AD587" s="1463"/>
      <c r="AE587" s="1463"/>
      <c r="AF587" s="1463"/>
      <c r="AG587" s="1463"/>
      <c r="AH587" s="1463"/>
      <c r="AI587" s="1463"/>
      <c r="AJ587" s="1463"/>
      <c r="AK587" s="1463"/>
      <c r="BB587" s="3"/>
      <c r="BC587" s="3"/>
    </row>
    <row r="588" spans="1:61" ht="12.95" customHeight="1">
      <c r="A588" s="22"/>
      <c r="B588" t="s">
        <v>17</v>
      </c>
      <c r="G588" s="1463" t="s">
        <v>2715</v>
      </c>
      <c r="H588" s="1463"/>
      <c r="I588" s="1463"/>
      <c r="J588" s="1463"/>
      <c r="K588" s="1463"/>
      <c r="L588" s="1463"/>
      <c r="M588" s="1463"/>
      <c r="N588" s="1463"/>
      <c r="O588" s="1463"/>
      <c r="P588" s="1463"/>
      <c r="Q588" s="1463"/>
      <c r="R588" s="1463"/>
      <c r="T588" s="22"/>
      <c r="U588" t="s">
        <v>17</v>
      </c>
      <c r="Z588" s="1463" t="s">
        <v>2657</v>
      </c>
      <c r="AA588" s="1463"/>
      <c r="AB588" s="1463"/>
      <c r="AC588" s="1463"/>
      <c r="AD588" s="1463"/>
      <c r="AE588" s="1463"/>
      <c r="AF588" s="1463"/>
      <c r="AG588" s="1463"/>
      <c r="AH588" s="1463"/>
      <c r="AI588" s="1463"/>
      <c r="AJ588" s="1463"/>
      <c r="AK588" s="1463"/>
      <c r="BB588" s="3"/>
      <c r="BC588" s="3"/>
    </row>
    <row r="589" spans="1:61" ht="12.95" customHeight="1">
      <c r="A589" s="22"/>
      <c r="B589" t="s">
        <v>316</v>
      </c>
      <c r="G589" s="1424" t="s">
        <v>2716</v>
      </c>
      <c r="H589" s="1425"/>
      <c r="I589" s="1425"/>
      <c r="J589" s="1425"/>
      <c r="K589" s="1425"/>
      <c r="L589" s="1425"/>
      <c r="O589" s="33" t="s">
        <v>206</v>
      </c>
      <c r="P589" s="1478"/>
      <c r="Q589" s="1478"/>
      <c r="R589" s="1478"/>
      <c r="T589" s="22"/>
      <c r="U589" t="s">
        <v>316</v>
      </c>
      <c r="Z589" s="1424" t="s">
        <v>2658</v>
      </c>
      <c r="AA589" s="1425"/>
      <c r="AB589" s="1425"/>
      <c r="AC589" s="1425"/>
      <c r="AD589" s="1425"/>
      <c r="AE589" s="1425"/>
      <c r="AH589" s="33" t="s">
        <v>206</v>
      </c>
      <c r="AI589" s="1478"/>
      <c r="AJ589" s="1478"/>
      <c r="AK589" s="1478"/>
      <c r="BB589" s="3"/>
      <c r="BC589" s="3"/>
    </row>
    <row r="590" spans="1:61" ht="12.95" customHeight="1">
      <c r="A590" s="22"/>
      <c r="B590" t="s">
        <v>18</v>
      </c>
      <c r="H590" s="1402" t="s">
        <v>2071</v>
      </c>
      <c r="I590" s="1402"/>
      <c r="J590" s="1402"/>
      <c r="K590" s="1402"/>
      <c r="L590" s="1402"/>
      <c r="M590" s="1402"/>
      <c r="N590" s="1402"/>
      <c r="O590" s="1402"/>
      <c r="P590" s="1402"/>
      <c r="Q590" s="1402"/>
      <c r="R590" s="1402"/>
      <c r="T590" s="22"/>
      <c r="U590" t="s">
        <v>18</v>
      </c>
      <c r="AA590" s="1402" t="s">
        <v>2719</v>
      </c>
      <c r="AB590" s="1402"/>
      <c r="AC590" s="1402"/>
      <c r="AD590" s="1402"/>
      <c r="AE590" s="1402"/>
      <c r="AF590" s="1402"/>
      <c r="AG590" s="1402"/>
      <c r="AH590" s="1402"/>
      <c r="AI590" s="1402"/>
      <c r="AJ590" s="1402"/>
      <c r="AK590" s="1402"/>
      <c r="BB590" s="3"/>
      <c r="BC590" s="3"/>
    </row>
    <row r="591" spans="1:61" ht="12.95" customHeight="1">
      <c r="A591" s="22"/>
      <c r="B591" t="s">
        <v>20</v>
      </c>
      <c r="N591" s="1410" t="s">
        <v>544</v>
      </c>
      <c r="O591" s="1410"/>
      <c r="T591" s="22"/>
      <c r="U591" t="s">
        <v>20</v>
      </c>
      <c r="AG591" s="1410" t="s">
        <v>544</v>
      </c>
      <c r="AH591" s="1410"/>
      <c r="BB591" s="3"/>
      <c r="BC591" s="3"/>
    </row>
    <row r="592" spans="1:61" ht="12.95" customHeight="1">
      <c r="A592" s="22"/>
      <c r="T592" s="22"/>
      <c r="BB592" s="3"/>
      <c r="BC592" s="3"/>
    </row>
    <row r="593" spans="1:55" ht="12.95" customHeight="1">
      <c r="A593" s="55" t="s">
        <v>762</v>
      </c>
      <c r="B593" t="s">
        <v>462</v>
      </c>
      <c r="G593" s="1490" t="str">
        <f>C566</f>
        <v>GP Capital - Sponsor People's Self-Help Housing Corp.</v>
      </c>
      <c r="H593" s="1490"/>
      <c r="I593" s="1490"/>
      <c r="J593" s="1490"/>
      <c r="K593" s="1490"/>
      <c r="L593" s="1490"/>
      <c r="M593" s="1490"/>
      <c r="N593" s="1490"/>
      <c r="O593" s="1490"/>
      <c r="P593" s="1490"/>
      <c r="Q593" s="1490"/>
      <c r="R593" s="1490"/>
      <c r="T593" s="55" t="s">
        <v>583</v>
      </c>
      <c r="U593" t="s">
        <v>462</v>
      </c>
      <c r="Z593" s="1490" t="str">
        <f>C567</f>
        <v>Limited Partner Contribution</v>
      </c>
      <c r="AA593" s="1490"/>
      <c r="AB593" s="1490"/>
      <c r="AC593" s="1490"/>
      <c r="AD593" s="1490"/>
      <c r="AE593" s="1490"/>
      <c r="AF593" s="1490"/>
      <c r="AG593" s="1490"/>
      <c r="AH593" s="1490"/>
      <c r="AI593" s="1490"/>
      <c r="AJ593" s="1490"/>
      <c r="AK593" s="1490"/>
      <c r="BB593" s="3"/>
      <c r="BC593" s="3"/>
    </row>
    <row r="594" spans="1:55" ht="12.95" customHeight="1">
      <c r="A594" s="22"/>
      <c r="B594" t="s">
        <v>85</v>
      </c>
      <c r="G594" s="1402" t="s">
        <v>2648</v>
      </c>
      <c r="H594" s="1402"/>
      <c r="I594" s="1402"/>
      <c r="J594" s="1402"/>
      <c r="K594" s="1402"/>
      <c r="L594" s="1402"/>
      <c r="M594" s="1402"/>
      <c r="N594" s="1402"/>
      <c r="O594" s="1402"/>
      <c r="P594" s="1402"/>
      <c r="Q594" s="1402"/>
      <c r="R594" s="1402"/>
      <c r="T594" s="22"/>
      <c r="U594" t="s">
        <v>85</v>
      </c>
      <c r="Z594" s="1402" t="s">
        <v>2648</v>
      </c>
      <c r="AA594" s="1402"/>
      <c r="AB594" s="1402"/>
      <c r="AC594" s="1402"/>
      <c r="AD594" s="1402"/>
      <c r="AE594" s="1402"/>
      <c r="AF594" s="1402"/>
      <c r="AG594" s="1402"/>
      <c r="AH594" s="1402"/>
      <c r="AI594" s="1402"/>
      <c r="AJ594" s="1402"/>
      <c r="AK594" s="1402"/>
      <c r="BB594" s="3"/>
      <c r="BC594" s="3"/>
    </row>
    <row r="595" spans="1:55" ht="12.95" customHeight="1">
      <c r="A595" s="22"/>
      <c r="B595" t="s">
        <v>579</v>
      </c>
      <c r="G595" s="1402" t="s">
        <v>69</v>
      </c>
      <c r="H595" s="1402"/>
      <c r="I595" s="1402"/>
      <c r="J595" s="1402"/>
      <c r="K595" s="1402"/>
      <c r="L595" s="1402"/>
      <c r="M595" s="1402"/>
      <c r="N595" s="1402"/>
      <c r="O595" s="1402"/>
      <c r="P595" s="1402"/>
      <c r="Q595" s="1402"/>
      <c r="R595" s="1402"/>
      <c r="T595" s="22"/>
      <c r="U595" t="s">
        <v>579</v>
      </c>
      <c r="Z595" s="1463" t="s">
        <v>69</v>
      </c>
      <c r="AA595" s="1463"/>
      <c r="AB595" s="1463"/>
      <c r="AC595" s="1463"/>
      <c r="AD595" s="1463"/>
      <c r="AE595" s="1463"/>
      <c r="AF595" s="1463"/>
      <c r="AG595" s="1463"/>
      <c r="AH595" s="1463"/>
      <c r="AI595" s="1463"/>
      <c r="AJ595" s="1463"/>
      <c r="AK595" s="1463"/>
      <c r="BB595" s="3"/>
      <c r="BC595" s="3"/>
    </row>
    <row r="596" spans="1:55" ht="12.95" customHeight="1">
      <c r="A596" s="22"/>
      <c r="B596" t="s">
        <v>17</v>
      </c>
      <c r="G596" s="1402" t="s">
        <v>2657</v>
      </c>
      <c r="H596" s="1402"/>
      <c r="I596" s="1402"/>
      <c r="J596" s="1402"/>
      <c r="K596" s="1402"/>
      <c r="L596" s="1402"/>
      <c r="M596" s="1402"/>
      <c r="N596" s="1402"/>
      <c r="O596" s="1402"/>
      <c r="P596" s="1402"/>
      <c r="Q596" s="1402"/>
      <c r="R596" s="1402"/>
      <c r="T596" s="22"/>
      <c r="U596" t="s">
        <v>17</v>
      </c>
      <c r="Z596" s="1463" t="s">
        <v>2657</v>
      </c>
      <c r="AA596" s="1463"/>
      <c r="AB596" s="1463"/>
      <c r="AC596" s="1463"/>
      <c r="AD596" s="1463"/>
      <c r="AE596" s="1463"/>
      <c r="AF596" s="1463"/>
      <c r="AG596" s="1463"/>
      <c r="AH596" s="1463"/>
      <c r="AI596" s="1463"/>
      <c r="AJ596" s="1463"/>
      <c r="AK596" s="1463"/>
    </row>
    <row r="597" spans="1:55" ht="12.95" customHeight="1">
      <c r="A597" s="22"/>
      <c r="B597" t="s">
        <v>316</v>
      </c>
      <c r="G597" s="1424" t="s">
        <v>2658</v>
      </c>
      <c r="H597" s="1425"/>
      <c r="I597" s="1425"/>
      <c r="J597" s="1425"/>
      <c r="K597" s="1425"/>
      <c r="L597" s="1425"/>
      <c r="O597" s="33" t="s">
        <v>206</v>
      </c>
      <c r="P597" s="1478"/>
      <c r="Q597" s="1478"/>
      <c r="R597" s="1478"/>
      <c r="T597" s="22"/>
      <c r="U597" t="s">
        <v>316</v>
      </c>
      <c r="Z597" s="1424" t="s">
        <v>2658</v>
      </c>
      <c r="AA597" s="1425"/>
      <c r="AB597" s="1425"/>
      <c r="AC597" s="1425"/>
      <c r="AD597" s="1425"/>
      <c r="AE597" s="1425"/>
      <c r="AH597" s="33" t="s">
        <v>206</v>
      </c>
      <c r="AI597" s="1478"/>
      <c r="AJ597" s="1478"/>
      <c r="AK597" s="1478"/>
      <c r="AZ597" s="3"/>
      <c r="BA597" s="3"/>
      <c r="BB597" s="3"/>
      <c r="BC597" s="3"/>
    </row>
    <row r="598" spans="1:55" ht="12.95" customHeight="1">
      <c r="A598" s="22"/>
      <c r="B598" t="s">
        <v>18</v>
      </c>
      <c r="H598" s="1402" t="s">
        <v>2718</v>
      </c>
      <c r="I598" s="1402"/>
      <c r="J598" s="1402"/>
      <c r="K598" s="1402"/>
      <c r="L598" s="1402"/>
      <c r="M598" s="1402"/>
      <c r="N598" s="1402"/>
      <c r="O598" s="1402"/>
      <c r="P598" s="1402"/>
      <c r="Q598" s="1402"/>
      <c r="R598" s="1402"/>
      <c r="T598" s="22"/>
      <c r="U598" t="s">
        <v>18</v>
      </c>
      <c r="AA598" s="1402" t="s">
        <v>2771</v>
      </c>
      <c r="AB598" s="1402"/>
      <c r="AC598" s="1402"/>
      <c r="AD598" s="1402"/>
      <c r="AE598" s="1402"/>
      <c r="AF598" s="1402"/>
      <c r="AG598" s="1402"/>
      <c r="AH598" s="1402"/>
      <c r="AI598" s="1402"/>
      <c r="AJ598" s="1402"/>
      <c r="AK598" s="1402"/>
      <c r="AZ598" s="3"/>
      <c r="BA598" s="3"/>
      <c r="BB598" s="3"/>
      <c r="BC598" s="3"/>
    </row>
    <row r="599" spans="1:55" ht="12.95" customHeight="1">
      <c r="A599" s="22"/>
      <c r="B599" t="s">
        <v>20</v>
      </c>
      <c r="N599" s="1410" t="s">
        <v>544</v>
      </c>
      <c r="O599" s="1410"/>
      <c r="T599" s="22"/>
      <c r="U599" t="s">
        <v>20</v>
      </c>
      <c r="AG599" s="1410" t="s">
        <v>544</v>
      </c>
      <c r="AH599" s="1410"/>
      <c r="AZ599" s="3"/>
      <c r="BA599" s="3"/>
      <c r="BB599" s="3"/>
      <c r="BC599" s="3"/>
    </row>
    <row r="600" spans="1:55" ht="12.95" customHeight="1">
      <c r="A600" s="22"/>
      <c r="T600" s="22"/>
      <c r="AZ600" s="3"/>
      <c r="BA600" s="3"/>
      <c r="BB600" s="3"/>
      <c r="BC600" s="3"/>
    </row>
    <row r="601" spans="1:55" ht="12.95" customHeight="1">
      <c r="A601" s="55" t="s">
        <v>454</v>
      </c>
      <c r="B601" t="s">
        <v>462</v>
      </c>
      <c r="G601" s="1490" t="str">
        <f>C568</f>
        <v>Costs Deferred Until Conversion</v>
      </c>
      <c r="H601" s="1490"/>
      <c r="I601" s="1490"/>
      <c r="J601" s="1490"/>
      <c r="K601" s="1490"/>
      <c r="L601" s="1490"/>
      <c r="M601" s="1490"/>
      <c r="N601" s="1490"/>
      <c r="O601" s="1490"/>
      <c r="P601" s="1490"/>
      <c r="Q601" s="1490"/>
      <c r="R601" s="1490"/>
      <c r="T601" s="55" t="s">
        <v>455</v>
      </c>
      <c r="U601" t="s">
        <v>462</v>
      </c>
      <c r="Z601" s="1490" t="str">
        <f>C569</f>
        <v>Deferred Developer Fee</v>
      </c>
      <c r="AA601" s="1490"/>
      <c r="AB601" s="1490"/>
      <c r="AC601" s="1490"/>
      <c r="AD601" s="1490"/>
      <c r="AE601" s="1490"/>
      <c r="AF601" s="1490"/>
      <c r="AG601" s="1490"/>
      <c r="AH601" s="1490"/>
      <c r="AI601" s="1490"/>
      <c r="AJ601" s="1490"/>
      <c r="AK601" s="1490"/>
      <c r="AZ601" s="3"/>
      <c r="BA601" s="3"/>
      <c r="BB601" s="3"/>
      <c r="BC601" s="3"/>
    </row>
    <row r="602" spans="1:55" s="4" customFormat="1" ht="12.95" customHeight="1">
      <c r="A602" s="22"/>
      <c r="B602" t="s">
        <v>85</v>
      </c>
      <c r="C602"/>
      <c r="D602"/>
      <c r="E602"/>
      <c r="F602"/>
      <c r="G602" s="1402" t="s">
        <v>2648</v>
      </c>
      <c r="H602" s="1402"/>
      <c r="I602" s="1402"/>
      <c r="J602" s="1402"/>
      <c r="K602" s="1402"/>
      <c r="L602" s="1402"/>
      <c r="M602" s="1402"/>
      <c r="N602" s="1402"/>
      <c r="O602" s="1402"/>
      <c r="P602" s="1402"/>
      <c r="Q602" s="1402"/>
      <c r="R602" s="1402"/>
      <c r="S602"/>
      <c r="T602" s="22"/>
      <c r="U602" t="s">
        <v>85</v>
      </c>
      <c r="V602"/>
      <c r="W602"/>
      <c r="X602"/>
      <c r="Y602"/>
      <c r="Z602" s="1402" t="s">
        <v>2648</v>
      </c>
      <c r="AA602" s="1402"/>
      <c r="AB602" s="1402"/>
      <c r="AC602" s="1402"/>
      <c r="AD602" s="1402"/>
      <c r="AE602" s="1402"/>
      <c r="AF602" s="1402"/>
      <c r="AG602" s="1402"/>
      <c r="AH602" s="1402"/>
      <c r="AI602" s="1402"/>
      <c r="AJ602" s="1402"/>
      <c r="AK602" s="1402"/>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02" t="s">
        <v>69</v>
      </c>
      <c r="H603" s="1402"/>
      <c r="I603" s="1402"/>
      <c r="J603" s="1402"/>
      <c r="K603" s="1402"/>
      <c r="L603" s="1402"/>
      <c r="M603" s="1402"/>
      <c r="N603" s="1402"/>
      <c r="O603" s="1402"/>
      <c r="P603" s="1402"/>
      <c r="Q603" s="1402"/>
      <c r="R603" s="1402"/>
      <c r="S603"/>
      <c r="T603" s="22"/>
      <c r="U603" t="s">
        <v>579</v>
      </c>
      <c r="V603"/>
      <c r="W603"/>
      <c r="X603"/>
      <c r="Y603"/>
      <c r="Z603" s="1463" t="s">
        <v>69</v>
      </c>
      <c r="AA603" s="1463"/>
      <c r="AB603" s="1463"/>
      <c r="AC603" s="1463"/>
      <c r="AD603" s="1463"/>
      <c r="AE603" s="1463"/>
      <c r="AF603" s="1463"/>
      <c r="AG603" s="1463"/>
      <c r="AH603" s="1463"/>
      <c r="AI603" s="1463"/>
      <c r="AJ603" s="1463"/>
      <c r="AK603" s="1463"/>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02" t="s">
        <v>2657</v>
      </c>
      <c r="H604" s="1402"/>
      <c r="I604" s="1402"/>
      <c r="J604" s="1402"/>
      <c r="K604" s="1402"/>
      <c r="L604" s="1402"/>
      <c r="M604" s="1402"/>
      <c r="N604" s="1402"/>
      <c r="O604" s="1402"/>
      <c r="P604" s="1402"/>
      <c r="Q604" s="1402"/>
      <c r="R604" s="1402"/>
      <c r="S604"/>
      <c r="T604" s="22"/>
      <c r="U604" t="s">
        <v>17</v>
      </c>
      <c r="V604"/>
      <c r="W604"/>
      <c r="X604"/>
      <c r="Y604"/>
      <c r="Z604" s="1463" t="s">
        <v>2657</v>
      </c>
      <c r="AA604" s="1463"/>
      <c r="AB604" s="1463"/>
      <c r="AC604" s="1463"/>
      <c r="AD604" s="1463"/>
      <c r="AE604" s="1463"/>
      <c r="AF604" s="1463"/>
      <c r="AG604" s="1463"/>
      <c r="AH604" s="1463"/>
      <c r="AI604" s="1463"/>
      <c r="AJ604" s="1463"/>
      <c r="AK604" s="1463"/>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24" t="s">
        <v>2658</v>
      </c>
      <c r="H605" s="1425"/>
      <c r="I605" s="1425"/>
      <c r="J605" s="1425"/>
      <c r="K605" s="1425"/>
      <c r="L605" s="1425"/>
      <c r="M605"/>
      <c r="N605"/>
      <c r="O605" s="33" t="s">
        <v>206</v>
      </c>
      <c r="P605" s="1478"/>
      <c r="Q605" s="1478"/>
      <c r="R605" s="1478"/>
      <c r="S605"/>
      <c r="T605" s="22"/>
      <c r="U605" t="s">
        <v>316</v>
      </c>
      <c r="V605"/>
      <c r="W605"/>
      <c r="X605"/>
      <c r="Y605"/>
      <c r="Z605" s="1424" t="s">
        <v>2658</v>
      </c>
      <c r="AA605" s="1425"/>
      <c r="AB605" s="1425"/>
      <c r="AC605" s="1425"/>
      <c r="AD605" s="1425"/>
      <c r="AE605" s="1425"/>
      <c r="AF605"/>
      <c r="AG605"/>
      <c r="AH605" s="33" t="s">
        <v>206</v>
      </c>
      <c r="AI605" s="1478"/>
      <c r="AJ605" s="1478"/>
      <c r="AK605" s="147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02" t="s">
        <v>2772</v>
      </c>
      <c r="I606" s="1402"/>
      <c r="J606" s="1402"/>
      <c r="K606" s="1402"/>
      <c r="L606" s="1402"/>
      <c r="M606" s="1402"/>
      <c r="N606" s="1402"/>
      <c r="O606" s="1402"/>
      <c r="P606" s="1402"/>
      <c r="Q606" s="1402"/>
      <c r="R606" s="1402"/>
      <c r="S606"/>
      <c r="T606" s="22"/>
      <c r="U606" t="s">
        <v>18</v>
      </c>
      <c r="V606"/>
      <c r="W606"/>
      <c r="X606"/>
      <c r="Y606"/>
      <c r="Z606"/>
      <c r="AA606" s="1402" t="s">
        <v>2263</v>
      </c>
      <c r="AB606" s="1402"/>
      <c r="AC606" s="1402"/>
      <c r="AD606" s="1402"/>
      <c r="AE606" s="1402"/>
      <c r="AF606" s="1402"/>
      <c r="AG606" s="1402"/>
      <c r="AH606" s="1402"/>
      <c r="AI606" s="1402"/>
      <c r="AJ606" s="1402"/>
      <c r="AK606" s="1402"/>
      <c r="AL606"/>
      <c r="AM606"/>
      <c r="AN606"/>
      <c r="AO606"/>
      <c r="AP606"/>
      <c r="AQ606"/>
      <c r="AR606"/>
      <c r="AS606"/>
      <c r="AT606"/>
      <c r="AU606"/>
      <c r="AV606"/>
      <c r="AW606"/>
      <c r="AX606"/>
      <c r="AY606"/>
      <c r="BB606" s="3"/>
      <c r="BC606" s="3"/>
    </row>
    <row r="607" spans="1:55" ht="12.95" customHeight="1">
      <c r="A607" s="22"/>
      <c r="B607" t="s">
        <v>20</v>
      </c>
      <c r="N607" s="1410" t="s">
        <v>544</v>
      </c>
      <c r="O607" s="1410"/>
      <c r="T607" s="22"/>
      <c r="U607" t="s">
        <v>20</v>
      </c>
      <c r="AG607" s="1410" t="s">
        <v>544</v>
      </c>
      <c r="AH607" s="1410"/>
      <c r="BB607" s="3"/>
      <c r="BC607" s="3"/>
    </row>
    <row r="608" spans="1:55" ht="12.95" customHeight="1">
      <c r="A608" s="22"/>
      <c r="T608" s="22"/>
      <c r="BB608" s="3"/>
      <c r="BC608" s="3"/>
    </row>
    <row r="609" spans="1:55" ht="12.95" customHeight="1">
      <c r="A609" s="55" t="s">
        <v>460</v>
      </c>
      <c r="B609" t="s">
        <v>462</v>
      </c>
      <c r="G609" s="1490" t="str">
        <f>C570</f>
        <v>Deferred Interest- Serna/HOME/HOME ARP</v>
      </c>
      <c r="H609" s="1490"/>
      <c r="I609" s="1490"/>
      <c r="J609" s="1490"/>
      <c r="K609" s="1490"/>
      <c r="L609" s="1490"/>
      <c r="M609" s="1490"/>
      <c r="N609" s="1490"/>
      <c r="O609" s="1490"/>
      <c r="P609" s="1490"/>
      <c r="Q609" s="1490"/>
      <c r="R609" s="1490"/>
      <c r="T609" s="55" t="s">
        <v>645</v>
      </c>
      <c r="U609" t="s">
        <v>462</v>
      </c>
      <c r="Z609" s="1490">
        <f>C571</f>
        <v>0</v>
      </c>
      <c r="AA609" s="1490"/>
      <c r="AB609" s="1490"/>
      <c r="AC609" s="1490"/>
      <c r="AD609" s="1490"/>
      <c r="AE609" s="1490"/>
      <c r="AF609" s="1490"/>
      <c r="AG609" s="1490"/>
      <c r="AH609" s="1490"/>
      <c r="AI609" s="1490"/>
      <c r="AJ609" s="1490"/>
      <c r="AK609" s="1490"/>
      <c r="BB609" s="3"/>
      <c r="BC609" s="3"/>
    </row>
    <row r="610" spans="1:55" ht="12.95" customHeight="1">
      <c r="A610" s="22"/>
      <c r="B610" t="s">
        <v>85</v>
      </c>
      <c r="G610" s="1402" t="s">
        <v>2648</v>
      </c>
      <c r="H610" s="1402"/>
      <c r="I610" s="1402"/>
      <c r="J610" s="1402"/>
      <c r="K610" s="1402"/>
      <c r="L610" s="1402"/>
      <c r="M610" s="1402"/>
      <c r="N610" s="1402"/>
      <c r="O610" s="1402"/>
      <c r="P610" s="1402"/>
      <c r="Q610" s="1402"/>
      <c r="R610" s="1402"/>
      <c r="T610" s="22"/>
      <c r="U610" t="s">
        <v>85</v>
      </c>
      <c r="Z610" s="1402"/>
      <c r="AA610" s="1402"/>
      <c r="AB610" s="1402"/>
      <c r="AC610" s="1402"/>
      <c r="AD610" s="1402"/>
      <c r="AE610" s="1402"/>
      <c r="AF610" s="1402"/>
      <c r="AG610" s="1402"/>
      <c r="AH610" s="1402"/>
      <c r="AI610" s="1402"/>
      <c r="AJ610" s="1402"/>
      <c r="AK610" s="1402"/>
      <c r="AZ610" s="3"/>
      <c r="BA610" s="3"/>
      <c r="BB610" s="3"/>
      <c r="BC610" s="3"/>
    </row>
    <row r="611" spans="1:55" ht="12.95" customHeight="1">
      <c r="A611" s="22"/>
      <c r="B611" t="s">
        <v>579</v>
      </c>
      <c r="G611" s="1402" t="s">
        <v>69</v>
      </c>
      <c r="H611" s="1402"/>
      <c r="I611" s="1402"/>
      <c r="J611" s="1402"/>
      <c r="K611" s="1402"/>
      <c r="L611" s="1402"/>
      <c r="M611" s="1402"/>
      <c r="N611" s="1402"/>
      <c r="O611" s="1402"/>
      <c r="P611" s="1402"/>
      <c r="Q611" s="1402"/>
      <c r="R611" s="1402"/>
      <c r="T611" s="22"/>
      <c r="U611" t="s">
        <v>579</v>
      </c>
      <c r="Z611" s="1463"/>
      <c r="AA611" s="1463"/>
      <c r="AB611" s="1463"/>
      <c r="AC611" s="1463"/>
      <c r="AD611" s="1463"/>
      <c r="AE611" s="1463"/>
      <c r="AF611" s="1463"/>
      <c r="AG611" s="1463"/>
      <c r="AH611" s="1463"/>
      <c r="AI611" s="1463"/>
      <c r="AJ611" s="1463"/>
      <c r="AK611" s="1463"/>
      <c r="AZ611" s="3"/>
      <c r="BA611" s="3"/>
      <c r="BB611" s="3"/>
      <c r="BC611" s="3"/>
    </row>
    <row r="612" spans="1:55" ht="12.95" customHeight="1">
      <c r="A612" s="22"/>
      <c r="B612" t="s">
        <v>17</v>
      </c>
      <c r="G612" s="1402" t="s">
        <v>2657</v>
      </c>
      <c r="H612" s="1402"/>
      <c r="I612" s="1402"/>
      <c r="J612" s="1402"/>
      <c r="K612" s="1402"/>
      <c r="L612" s="1402"/>
      <c r="M612" s="1402"/>
      <c r="N612" s="1402"/>
      <c r="O612" s="1402"/>
      <c r="P612" s="1402"/>
      <c r="Q612" s="1402"/>
      <c r="R612" s="1402"/>
      <c r="T612" s="22"/>
      <c r="U612" t="s">
        <v>17</v>
      </c>
      <c r="Z612" s="1463"/>
      <c r="AA612" s="1463"/>
      <c r="AB612" s="1463"/>
      <c r="AC612" s="1463"/>
      <c r="AD612" s="1463"/>
      <c r="AE612" s="1463"/>
      <c r="AF612" s="1463"/>
      <c r="AG612" s="1463"/>
      <c r="AH612" s="1463"/>
      <c r="AI612" s="1463"/>
      <c r="AJ612" s="1463"/>
      <c r="AK612" s="1463"/>
      <c r="AZ612" s="3"/>
      <c r="BA612" s="3"/>
      <c r="BB612" s="3"/>
      <c r="BC612" s="3"/>
    </row>
    <row r="613" spans="1:55" s="4" customFormat="1" ht="12.95" customHeight="1">
      <c r="A613" s="22"/>
      <c r="B613" t="s">
        <v>316</v>
      </c>
      <c r="C613"/>
      <c r="D613"/>
      <c r="E613"/>
      <c r="F613"/>
      <c r="G613" s="1425" t="str">
        <f>G605</f>
        <v>(805) 651-3592</v>
      </c>
      <c r="H613" s="1425"/>
      <c r="I613" s="1425"/>
      <c r="J613" s="1425"/>
      <c r="K613" s="1425"/>
      <c r="L613" s="1425"/>
      <c r="M613"/>
      <c r="N613"/>
      <c r="O613" s="33" t="s">
        <v>206</v>
      </c>
      <c r="P613" s="1478"/>
      <c r="Q613" s="1478"/>
      <c r="R613" s="1478"/>
      <c r="S613"/>
      <c r="T613" s="22"/>
      <c r="U613" t="s">
        <v>316</v>
      </c>
      <c r="V613"/>
      <c r="W613"/>
      <c r="X613"/>
      <c r="Y613"/>
      <c r="Z613" s="1425"/>
      <c r="AA613" s="1425"/>
      <c r="AB613" s="1425"/>
      <c r="AC613" s="1425"/>
      <c r="AD613" s="1425"/>
      <c r="AE613" s="1425"/>
      <c r="AF613"/>
      <c r="AG613"/>
      <c r="AH613" s="33" t="s">
        <v>206</v>
      </c>
      <c r="AI613" s="1478"/>
      <c r="AJ613" s="1478"/>
      <c r="AK613" s="147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02" t="s">
        <v>2060</v>
      </c>
      <c r="I614" s="1402"/>
      <c r="J614" s="1402"/>
      <c r="K614" s="1402"/>
      <c r="L614" s="1402"/>
      <c r="M614" s="1402"/>
      <c r="N614" s="1402"/>
      <c r="O614" s="1402"/>
      <c r="P614" s="1402"/>
      <c r="Q614" s="1402"/>
      <c r="R614" s="1402"/>
      <c r="S614"/>
      <c r="T614" s="22"/>
      <c r="U614" t="s">
        <v>18</v>
      </c>
      <c r="V614"/>
      <c r="W614"/>
      <c r="X614"/>
      <c r="Y614"/>
      <c r="Z614"/>
      <c r="AA614" s="1402"/>
      <c r="AB614" s="1402"/>
      <c r="AC614" s="1402"/>
      <c r="AD614" s="1402"/>
      <c r="AE614" s="1402"/>
      <c r="AF614" s="1402"/>
      <c r="AG614" s="1402"/>
      <c r="AH614" s="1402"/>
      <c r="AI614" s="1402"/>
      <c r="AJ614" s="1402"/>
      <c r="AK614" s="140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10" t="s">
        <v>544</v>
      </c>
      <c r="O615" s="1410"/>
      <c r="P615"/>
      <c r="Q615"/>
      <c r="R615"/>
      <c r="S615"/>
      <c r="T615" s="22"/>
      <c r="U615" t="s">
        <v>20</v>
      </c>
      <c r="V615"/>
      <c r="W615"/>
      <c r="X615"/>
      <c r="Y615"/>
      <c r="Z615"/>
      <c r="AA615"/>
      <c r="AB615"/>
      <c r="AC615"/>
      <c r="AD615"/>
      <c r="AE615"/>
      <c r="AF615"/>
      <c r="AG615" s="1410" t="s">
        <v>668</v>
      </c>
      <c r="AH615" s="141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490">
        <f>C572</f>
        <v>0</v>
      </c>
      <c r="H617" s="1490"/>
      <c r="I617" s="1490"/>
      <c r="J617" s="1490"/>
      <c r="K617" s="1490"/>
      <c r="L617" s="1490"/>
      <c r="M617" s="1490"/>
      <c r="N617" s="1490"/>
      <c r="O617" s="1490"/>
      <c r="P617" s="1490"/>
      <c r="Q617" s="1490"/>
      <c r="R617" s="1490"/>
      <c r="T617" s="55" t="s">
        <v>363</v>
      </c>
      <c r="U617" t="s">
        <v>462</v>
      </c>
      <c r="Z617" s="1490">
        <f>C573</f>
        <v>0</v>
      </c>
      <c r="AA617" s="1490"/>
      <c r="AB617" s="1490"/>
      <c r="AC617" s="1490"/>
      <c r="AD617" s="1490"/>
      <c r="AE617" s="1490"/>
      <c r="AF617" s="1490"/>
      <c r="AG617" s="1490"/>
      <c r="AH617" s="1490"/>
      <c r="AI617" s="1490"/>
      <c r="AJ617" s="1490"/>
      <c r="AK617" s="1490"/>
      <c r="AZ617" s="3"/>
      <c r="BA617" s="3"/>
      <c r="BB617" s="3"/>
      <c r="BC617" s="3"/>
    </row>
    <row r="618" spans="1:55" ht="12.95" customHeight="1">
      <c r="B618" t="s">
        <v>85</v>
      </c>
      <c r="G618" s="1402"/>
      <c r="H618" s="1402"/>
      <c r="I618" s="1402"/>
      <c r="J618" s="1402"/>
      <c r="K618" s="1402"/>
      <c r="L618" s="1402"/>
      <c r="M618" s="1402"/>
      <c r="N618" s="1402"/>
      <c r="O618" s="1402"/>
      <c r="P618" s="1402"/>
      <c r="Q618" s="1402"/>
      <c r="R618" s="1402"/>
      <c r="U618" t="s">
        <v>85</v>
      </c>
      <c r="Z618" s="1402"/>
      <c r="AA618" s="1402"/>
      <c r="AB618" s="1402"/>
      <c r="AC618" s="1402"/>
      <c r="AD618" s="1402"/>
      <c r="AE618" s="1402"/>
      <c r="AF618" s="1402"/>
      <c r="AG618" s="1402"/>
      <c r="AH618" s="1402"/>
      <c r="AI618" s="1402"/>
      <c r="AJ618" s="1402"/>
      <c r="AK618" s="1402"/>
      <c r="AZ618" s="3"/>
      <c r="BA618" s="3"/>
      <c r="BB618" s="3"/>
      <c r="BC618" s="3"/>
    </row>
    <row r="619" spans="1:55" ht="12.95" customHeight="1">
      <c r="B619" t="s">
        <v>579</v>
      </c>
      <c r="G619" s="1402"/>
      <c r="H619" s="1402"/>
      <c r="I619" s="1402"/>
      <c r="J619" s="1402"/>
      <c r="K619" s="1402"/>
      <c r="L619" s="1402"/>
      <c r="M619" s="1402"/>
      <c r="N619" s="1402"/>
      <c r="O619" s="1402"/>
      <c r="P619" s="1402"/>
      <c r="Q619" s="1402"/>
      <c r="R619" s="1402"/>
      <c r="U619" t="s">
        <v>579</v>
      </c>
      <c r="Z619" s="1463"/>
      <c r="AA619" s="1463"/>
      <c r="AB619" s="1463"/>
      <c r="AC619" s="1463"/>
      <c r="AD619" s="1463"/>
      <c r="AE619" s="1463"/>
      <c r="AF619" s="1463"/>
      <c r="AG619" s="1463"/>
      <c r="AH619" s="1463"/>
      <c r="AI619" s="1463"/>
      <c r="AJ619" s="1463"/>
      <c r="AK619" s="1463"/>
      <c r="AZ619" s="3"/>
      <c r="BA619" s="3"/>
      <c r="BB619" s="3"/>
      <c r="BC619" s="3"/>
    </row>
    <row r="620" spans="1:55" ht="12.95" customHeight="1">
      <c r="B620" t="s">
        <v>17</v>
      </c>
      <c r="G620" s="1402"/>
      <c r="H620" s="1402"/>
      <c r="I620" s="1402"/>
      <c r="J620" s="1402"/>
      <c r="K620" s="1402"/>
      <c r="L620" s="1402"/>
      <c r="M620" s="1402"/>
      <c r="N620" s="1402"/>
      <c r="O620" s="1402"/>
      <c r="P620" s="1402"/>
      <c r="Q620" s="1402"/>
      <c r="R620" s="1402"/>
      <c r="U620" t="s">
        <v>17</v>
      </c>
      <c r="Z620" s="1463"/>
      <c r="AA620" s="1463"/>
      <c r="AB620" s="1463"/>
      <c r="AC620" s="1463"/>
      <c r="AD620" s="1463"/>
      <c r="AE620" s="1463"/>
      <c r="AF620" s="1463"/>
      <c r="AG620" s="1463"/>
      <c r="AH620" s="1463"/>
      <c r="AI620" s="1463"/>
      <c r="AJ620" s="1463"/>
      <c r="AK620" s="1463"/>
      <c r="AZ620" s="3"/>
      <c r="BA620" s="3"/>
      <c r="BB620" s="3"/>
      <c r="BC620" s="3"/>
    </row>
    <row r="621" spans="1:55" ht="12.95" customHeight="1">
      <c r="B621" t="s">
        <v>316</v>
      </c>
      <c r="G621" s="1425"/>
      <c r="H621" s="1425"/>
      <c r="I621" s="1425"/>
      <c r="J621" s="1425"/>
      <c r="K621" s="1425"/>
      <c r="L621" s="1425"/>
      <c r="O621" s="33" t="s">
        <v>206</v>
      </c>
      <c r="P621" s="1478"/>
      <c r="Q621" s="1478"/>
      <c r="R621" s="1478"/>
      <c r="U621" t="s">
        <v>316</v>
      </c>
      <c r="Z621" s="1425"/>
      <c r="AA621" s="1425"/>
      <c r="AB621" s="1425"/>
      <c r="AC621" s="1425"/>
      <c r="AD621" s="1425"/>
      <c r="AE621" s="1425"/>
      <c r="AH621" s="33" t="s">
        <v>206</v>
      </c>
      <c r="AI621" s="1478"/>
      <c r="AJ621" s="1478"/>
      <c r="AK621" s="1478"/>
      <c r="AZ621" s="3"/>
      <c r="BA621" s="3"/>
      <c r="BB621" s="3"/>
      <c r="BC621" s="3"/>
    </row>
    <row r="622" spans="1:55" ht="12.95" customHeight="1">
      <c r="B622" t="s">
        <v>18</v>
      </c>
      <c r="H622" s="1402"/>
      <c r="I622" s="1402"/>
      <c r="J622" s="1402"/>
      <c r="K622" s="1402"/>
      <c r="L622" s="1402"/>
      <c r="M622" s="1402"/>
      <c r="N622" s="1402"/>
      <c r="O622" s="1402"/>
      <c r="P622" s="1402"/>
      <c r="Q622" s="1402"/>
      <c r="R622" s="1402"/>
      <c r="U622" t="s">
        <v>18</v>
      </c>
      <c r="AA622" s="1402"/>
      <c r="AB622" s="1402"/>
      <c r="AC622" s="1402"/>
      <c r="AD622" s="1402"/>
      <c r="AE622" s="1402"/>
      <c r="AF622" s="1402"/>
      <c r="AG622" s="1402"/>
      <c r="AH622" s="1402"/>
      <c r="AI622" s="1402"/>
      <c r="AJ622" s="1402"/>
      <c r="AK622" s="1402"/>
      <c r="AU622" s="895"/>
      <c r="AV622" s="895"/>
      <c r="AW622" s="895"/>
      <c r="AX622" s="895"/>
      <c r="AY622" s="895"/>
      <c r="AZ622" s="3"/>
      <c r="BA622" s="3"/>
      <c r="BB622" s="3"/>
      <c r="BC622" s="3"/>
    </row>
    <row r="623" spans="1:55" ht="12.95" customHeight="1">
      <c r="B623" t="s">
        <v>20</v>
      </c>
      <c r="N623" s="1410" t="s">
        <v>668</v>
      </c>
      <c r="O623" s="1410"/>
      <c r="U623" t="s">
        <v>20</v>
      </c>
      <c r="AG623" s="1410" t="s">
        <v>668</v>
      </c>
      <c r="AH623" s="1410"/>
      <c r="AU623" s="895"/>
      <c r="AV623" s="895"/>
      <c r="AW623" s="895"/>
      <c r="AX623" s="895"/>
      <c r="AY623" s="895"/>
      <c r="AZ623" s="3"/>
      <c r="BA623" s="3"/>
      <c r="BB623" s="3"/>
      <c r="BC623" s="3"/>
    </row>
    <row r="624" spans="1:55" ht="12.95" customHeight="1">
      <c r="AZ624" s="3"/>
      <c r="BA624" s="3"/>
      <c r="BB624" s="3"/>
      <c r="BC624" s="3"/>
    </row>
    <row r="625" spans="1:56" ht="12.95"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848" t="s">
        <v>2058</v>
      </c>
      <c r="C632" s="1848"/>
      <c r="D632" s="1848"/>
      <c r="E632" s="1848"/>
      <c r="F632" s="1848"/>
      <c r="G632" s="1848"/>
      <c r="H632" s="1848"/>
      <c r="I632" s="1848"/>
      <c r="J632" s="1848"/>
      <c r="K632" s="1848"/>
      <c r="L632" s="1848"/>
      <c r="M632" s="1683" t="s">
        <v>2059</v>
      </c>
      <c r="N632" s="1683"/>
      <c r="O632" s="1683"/>
      <c r="P632" s="1683"/>
      <c r="Q632" s="1683" t="s">
        <v>1828</v>
      </c>
      <c r="R632" s="1683"/>
      <c r="S632" s="1683"/>
      <c r="T632" s="1683" t="s">
        <v>1826</v>
      </c>
      <c r="U632" s="1683"/>
      <c r="V632" s="1683"/>
      <c r="W632" s="1673" t="s">
        <v>452</v>
      </c>
      <c r="X632" s="1673"/>
      <c r="Y632" s="1673"/>
      <c r="Z632" s="1392" t="s">
        <v>2088</v>
      </c>
      <c r="AA632" s="1392"/>
      <c r="AB632" s="1393"/>
      <c r="AC632" s="1836" t="s">
        <v>1664</v>
      </c>
      <c r="AD632" s="1837"/>
      <c r="AE632" s="1838"/>
      <c r="AF632" s="1391" t="s">
        <v>1903</v>
      </c>
      <c r="AG632" s="1392"/>
      <c r="AH632" s="1392"/>
      <c r="AI632" s="1392"/>
      <c r="AJ632" s="1393"/>
      <c r="AK632" s="1674" t="s">
        <v>1904</v>
      </c>
      <c r="AL632" s="1675"/>
      <c r="AM632" s="1675"/>
      <c r="AN632" s="1676"/>
      <c r="AO632" s="1683" t="s">
        <v>453</v>
      </c>
      <c r="AP632" s="1683"/>
      <c r="AQ632" s="1683"/>
      <c r="AR632" s="1683"/>
      <c r="AS632" s="1683"/>
      <c r="AU632" s="3"/>
      <c r="AZ632" s="3"/>
      <c r="BA632" s="3"/>
      <c r="BB632" s="3"/>
      <c r="BC632" s="3"/>
    </row>
    <row r="633" spans="1:56" ht="12.95" customHeight="1">
      <c r="B633" s="1848"/>
      <c r="C633" s="1848"/>
      <c r="D633" s="1848"/>
      <c r="E633" s="1848"/>
      <c r="F633" s="1848"/>
      <c r="G633" s="1848"/>
      <c r="H633" s="1848"/>
      <c r="I633" s="1848"/>
      <c r="J633" s="1848"/>
      <c r="K633" s="1848"/>
      <c r="L633" s="1848"/>
      <c r="M633" s="1683"/>
      <c r="N633" s="1683"/>
      <c r="O633" s="1683"/>
      <c r="P633" s="1683"/>
      <c r="Q633" s="1683"/>
      <c r="R633" s="1683"/>
      <c r="S633" s="1683"/>
      <c r="T633" s="1683"/>
      <c r="U633" s="1683"/>
      <c r="V633" s="1683"/>
      <c r="W633" s="1673"/>
      <c r="X633" s="1673"/>
      <c r="Y633" s="1673"/>
      <c r="Z633" s="1395"/>
      <c r="AA633" s="1395"/>
      <c r="AB633" s="1396"/>
      <c r="AC633" s="1839"/>
      <c r="AD633" s="1840"/>
      <c r="AE633" s="1841"/>
      <c r="AF633" s="1394"/>
      <c r="AG633" s="1395"/>
      <c r="AH633" s="1395"/>
      <c r="AI633" s="1395"/>
      <c r="AJ633" s="1396"/>
      <c r="AK633" s="1677"/>
      <c r="AL633" s="1678"/>
      <c r="AM633" s="1678"/>
      <c r="AN633" s="1679"/>
      <c r="AO633" s="1683"/>
      <c r="AP633" s="1683"/>
      <c r="AQ633" s="1683"/>
      <c r="AR633" s="1683"/>
      <c r="AS633" s="1683"/>
      <c r="AU633" s="3"/>
      <c r="AZ633" s="3"/>
      <c r="BA633" s="3"/>
      <c r="BB633" s="3"/>
      <c r="BC633" s="3"/>
      <c r="BD633" s="3"/>
    </row>
    <row r="634" spans="1:56" ht="12.95" customHeight="1">
      <c r="B634" s="1848"/>
      <c r="C634" s="1848"/>
      <c r="D634" s="1848"/>
      <c r="E634" s="1848"/>
      <c r="F634" s="1848"/>
      <c r="G634" s="1848"/>
      <c r="H634" s="1848"/>
      <c r="I634" s="1848"/>
      <c r="J634" s="1848"/>
      <c r="K634" s="1848"/>
      <c r="L634" s="1848"/>
      <c r="M634" s="1683"/>
      <c r="N634" s="1683"/>
      <c r="O634" s="1683"/>
      <c r="P634" s="1683"/>
      <c r="Q634" s="1683"/>
      <c r="R634" s="1683"/>
      <c r="S634" s="1683"/>
      <c r="T634" s="1683"/>
      <c r="U634" s="1683"/>
      <c r="V634" s="1683"/>
      <c r="W634" s="1673"/>
      <c r="X634" s="1673"/>
      <c r="Y634" s="1673"/>
      <c r="Z634" s="1398"/>
      <c r="AA634" s="1398"/>
      <c r="AB634" s="1399"/>
      <c r="AC634" s="1842"/>
      <c r="AD634" s="1843"/>
      <c r="AE634" s="1844"/>
      <c r="AF634" s="1397"/>
      <c r="AG634" s="1398"/>
      <c r="AH634" s="1398"/>
      <c r="AI634" s="1398"/>
      <c r="AJ634" s="1399"/>
      <c r="AK634" s="1680"/>
      <c r="AL634" s="1681"/>
      <c r="AM634" s="1681"/>
      <c r="AN634" s="1682"/>
      <c r="AO634" s="1683"/>
      <c r="AP634" s="1683"/>
      <c r="AQ634" s="1683"/>
      <c r="AR634" s="1683"/>
      <c r="AS634" s="1683"/>
      <c r="AT634" s="3"/>
      <c r="AU634" s="3"/>
      <c r="AZ634" s="3"/>
      <c r="BA634" s="3"/>
      <c r="BB634" s="3"/>
      <c r="BC634" s="3"/>
      <c r="BD634" s="3"/>
    </row>
    <row r="635" spans="1:56" ht="12.95" customHeight="1">
      <c r="B635" s="51" t="s">
        <v>112</v>
      </c>
      <c r="C635" s="1504" t="s">
        <v>2725</v>
      </c>
      <c r="D635" s="1504"/>
      <c r="E635" s="1504"/>
      <c r="F635" s="1504"/>
      <c r="G635" s="1504"/>
      <c r="H635" s="1504"/>
      <c r="I635" s="1504"/>
      <c r="J635" s="1504"/>
      <c r="K635" s="1504"/>
      <c r="L635" s="1504"/>
      <c r="M635" s="1592" t="s">
        <v>2071</v>
      </c>
      <c r="N635" s="1592"/>
      <c r="O635" s="1592"/>
      <c r="P635" s="1592"/>
      <c r="Q635" s="1546">
        <v>240</v>
      </c>
      <c r="R635" s="1546"/>
      <c r="S635" s="1603"/>
      <c r="T635" s="1602"/>
      <c r="U635" s="1546"/>
      <c r="V635" s="1603"/>
      <c r="W635" s="1421">
        <v>0.03</v>
      </c>
      <c r="X635" s="1422"/>
      <c r="Y635" s="1423"/>
      <c r="Z635" s="1484" t="s">
        <v>456</v>
      </c>
      <c r="AA635" s="1485"/>
      <c r="AB635" s="1486"/>
      <c r="AC635" s="1471">
        <v>2</v>
      </c>
      <c r="AD635" s="1472"/>
      <c r="AE635" s="1473"/>
      <c r="AF635" s="1589"/>
      <c r="AG635" s="1590"/>
      <c r="AH635" s="1590"/>
      <c r="AI635" s="1590"/>
      <c r="AJ635" s="1591"/>
      <c r="AK635" s="1415"/>
      <c r="AL635" s="1416"/>
      <c r="AM635" s="1416"/>
      <c r="AN635" s="1417"/>
      <c r="AO635" s="1637">
        <v>1144144</v>
      </c>
      <c r="AP635" s="1637"/>
      <c r="AQ635" s="1637"/>
      <c r="AR635" s="1637"/>
      <c r="AS635" s="1637"/>
      <c r="AT635" s="3"/>
      <c r="AU635" s="3"/>
      <c r="AZ635" s="3"/>
      <c r="BA635" s="3"/>
      <c r="BB635" s="3"/>
      <c r="BC635" s="3"/>
      <c r="BD635" s="3"/>
    </row>
    <row r="636" spans="1:56" ht="12.95" customHeight="1">
      <c r="B636" s="52" t="s">
        <v>113</v>
      </c>
      <c r="C636" s="1504" t="s">
        <v>2723</v>
      </c>
      <c r="D636" s="1504"/>
      <c r="E636" s="1504"/>
      <c r="F636" s="1504"/>
      <c r="G636" s="1504"/>
      <c r="H636" s="1504"/>
      <c r="I636" s="1504"/>
      <c r="J636" s="1504"/>
      <c r="K636" s="1504"/>
      <c r="L636" s="1504"/>
      <c r="M636" s="1592" t="s">
        <v>2071</v>
      </c>
      <c r="N636" s="1592"/>
      <c r="O636" s="1592"/>
      <c r="P636" s="1592"/>
      <c r="Q636" s="1602">
        <v>660</v>
      </c>
      <c r="R636" s="1546"/>
      <c r="S636" s="1603"/>
      <c r="T636" s="1602"/>
      <c r="U636" s="1546"/>
      <c r="V636" s="1603"/>
      <c r="W636" s="1421">
        <v>0.03</v>
      </c>
      <c r="X636" s="1422"/>
      <c r="Y636" s="1423"/>
      <c r="Z636" s="1484" t="s">
        <v>456</v>
      </c>
      <c r="AA636" s="1485"/>
      <c r="AB636" s="1486"/>
      <c r="AC636" s="1471">
        <v>1</v>
      </c>
      <c r="AD636" s="1472"/>
      <c r="AE636" s="1473"/>
      <c r="AF636" s="1589">
        <v>31672</v>
      </c>
      <c r="AG636" s="1590"/>
      <c r="AH636" s="1590"/>
      <c r="AI636" s="1590"/>
      <c r="AJ636" s="1591"/>
      <c r="AK636" s="1415"/>
      <c r="AL636" s="1416"/>
      <c r="AM636" s="1416"/>
      <c r="AN636" s="1417"/>
      <c r="AO636" s="1482">
        <v>7540886</v>
      </c>
      <c r="AP636" s="1345"/>
      <c r="AQ636" s="1345"/>
      <c r="AR636" s="1345"/>
      <c r="AS636" s="1346"/>
      <c r="AT636" s="1142" t="str">
        <f>IF(AND(NOT(C635=""),C636="",NOT(C637="")),"!","")</f>
        <v/>
      </c>
      <c r="AU636" s="3"/>
      <c r="AZ636" s="3"/>
      <c r="BA636" s="3"/>
      <c r="BB636" s="3"/>
      <c r="BC636" s="3"/>
      <c r="BD636" s="3"/>
    </row>
    <row r="637" spans="1:56" ht="12.95" customHeight="1">
      <c r="B637" s="52" t="s">
        <v>119</v>
      </c>
      <c r="C637" s="1504" t="s">
        <v>2726</v>
      </c>
      <c r="D637" s="1504"/>
      <c r="E637" s="1504"/>
      <c r="F637" s="1504"/>
      <c r="G637" s="1504"/>
      <c r="H637" s="1504"/>
      <c r="I637" s="1504"/>
      <c r="J637" s="1504"/>
      <c r="K637" s="1504"/>
      <c r="L637" s="1504"/>
      <c r="M637" s="1592" t="s">
        <v>2065</v>
      </c>
      <c r="N637" s="1592"/>
      <c r="O637" s="1592"/>
      <c r="P637" s="1592"/>
      <c r="Q637" s="1602"/>
      <c r="R637" s="1546"/>
      <c r="S637" s="1603"/>
      <c r="T637" s="1602"/>
      <c r="U637" s="1546"/>
      <c r="V637" s="1603"/>
      <c r="W637" s="1421"/>
      <c r="X637" s="1422"/>
      <c r="Y637" s="1423"/>
      <c r="Z637" s="1484" t="s">
        <v>300</v>
      </c>
      <c r="AA637" s="1485"/>
      <c r="AB637" s="1486"/>
      <c r="AC637" s="1471"/>
      <c r="AD637" s="1472"/>
      <c r="AE637" s="1473"/>
      <c r="AF637" s="1589"/>
      <c r="AG637" s="1590"/>
      <c r="AH637" s="1590"/>
      <c r="AI637" s="1590"/>
      <c r="AJ637" s="1591"/>
      <c r="AK637" s="1415"/>
      <c r="AL637" s="1416"/>
      <c r="AM637" s="1416"/>
      <c r="AN637" s="1417"/>
      <c r="AO637" s="1482">
        <v>100</v>
      </c>
      <c r="AP637" s="1345"/>
      <c r="AQ637" s="1345"/>
      <c r="AR637" s="1345"/>
      <c r="AS637" s="1346"/>
      <c r="AT637" s="1142" t="str">
        <f t="shared" ref="AT637:AT646" si="3">IF(AND(NOT(C636=""),C637="",NOT(C638="")),"!","")</f>
        <v/>
      </c>
      <c r="AU637" s="3"/>
      <c r="AZ637" s="3"/>
      <c r="BA637" s="3"/>
      <c r="BB637" s="3"/>
      <c r="BC637" s="3"/>
      <c r="BD637" s="3"/>
    </row>
    <row r="638" spans="1:56" ht="12.95" customHeight="1">
      <c r="B638" s="52" t="s">
        <v>580</v>
      </c>
      <c r="C638" s="1504" t="s">
        <v>2263</v>
      </c>
      <c r="D638" s="1496"/>
      <c r="E638" s="1496"/>
      <c r="F638" s="1496"/>
      <c r="G638" s="1496"/>
      <c r="H638" s="1496"/>
      <c r="I638" s="1496"/>
      <c r="J638" s="1496"/>
      <c r="K638" s="1496"/>
      <c r="L638" s="1496"/>
      <c r="M638" s="1592" t="s">
        <v>2062</v>
      </c>
      <c r="N638" s="1592"/>
      <c r="O638" s="1592"/>
      <c r="P638" s="1592"/>
      <c r="Q638" s="1602"/>
      <c r="R638" s="1546"/>
      <c r="S638" s="1603"/>
      <c r="T638" s="1602"/>
      <c r="U638" s="1546"/>
      <c r="V638" s="1603"/>
      <c r="W638" s="1421"/>
      <c r="X638" s="1422"/>
      <c r="Y638" s="1423"/>
      <c r="Z638" s="1484" t="s">
        <v>457</v>
      </c>
      <c r="AA638" s="1485"/>
      <c r="AB638" s="1486"/>
      <c r="AC638" s="1471"/>
      <c r="AD638" s="1472"/>
      <c r="AE638" s="1473"/>
      <c r="AF638" s="1589"/>
      <c r="AG638" s="1590"/>
      <c r="AH638" s="1590"/>
      <c r="AI638" s="1590"/>
      <c r="AJ638" s="1591"/>
      <c r="AK638" s="1415"/>
      <c r="AL638" s="1416"/>
      <c r="AM638" s="1416"/>
      <c r="AN638" s="1417"/>
      <c r="AO638" s="1482">
        <v>1984406</v>
      </c>
      <c r="AP638" s="1345"/>
      <c r="AQ638" s="1345"/>
      <c r="AR638" s="1345"/>
      <c r="AS638" s="1346"/>
      <c r="AT638" s="1142" t="str">
        <f t="shared" si="3"/>
        <v/>
      </c>
      <c r="AU638" s="3"/>
      <c r="AZ638" s="3"/>
      <c r="BA638" s="3"/>
      <c r="BB638" s="3"/>
      <c r="BC638" s="3"/>
      <c r="BD638" s="3"/>
    </row>
    <row r="639" spans="1:56" ht="12.95" customHeight="1">
      <c r="B639" s="52" t="s">
        <v>762</v>
      </c>
      <c r="C639" s="1504" t="s">
        <v>2746</v>
      </c>
      <c r="D639" s="1496"/>
      <c r="E639" s="1496"/>
      <c r="F639" s="1496"/>
      <c r="G639" s="1496"/>
      <c r="H639" s="1496"/>
      <c r="I639" s="1496"/>
      <c r="J639" s="1496"/>
      <c r="K639" s="1496"/>
      <c r="L639" s="1496"/>
      <c r="M639" s="1592" t="s">
        <v>2060</v>
      </c>
      <c r="N639" s="1592"/>
      <c r="O639" s="1592"/>
      <c r="P639" s="1592"/>
      <c r="Q639" s="1602"/>
      <c r="R639" s="1546"/>
      <c r="S639" s="1603"/>
      <c r="T639" s="1602"/>
      <c r="U639" s="1546"/>
      <c r="V639" s="1603"/>
      <c r="W639" s="1421"/>
      <c r="X639" s="1422"/>
      <c r="Y639" s="1423"/>
      <c r="Z639" s="1484" t="s">
        <v>457</v>
      </c>
      <c r="AA639" s="1485"/>
      <c r="AB639" s="1486"/>
      <c r="AC639" s="1471"/>
      <c r="AD639" s="1472"/>
      <c r="AE639" s="1473"/>
      <c r="AF639" s="1589"/>
      <c r="AG639" s="1590"/>
      <c r="AH639" s="1590"/>
      <c r="AI639" s="1590"/>
      <c r="AJ639" s="1591"/>
      <c r="AK639" s="1415"/>
      <c r="AL639" s="1416"/>
      <c r="AM639" s="1416"/>
      <c r="AN639" s="1417"/>
      <c r="AO639" s="1482">
        <f>318793+1</f>
        <v>318794</v>
      </c>
      <c r="AP639" s="1345"/>
      <c r="AQ639" s="1345"/>
      <c r="AR639" s="1345"/>
      <c r="AS639" s="1346"/>
      <c r="AT639" s="1142" t="str">
        <f t="shared" si="3"/>
        <v/>
      </c>
      <c r="AU639" s="3"/>
      <c r="AZ639" s="3"/>
      <c r="BA639" s="3"/>
      <c r="BB639" s="3"/>
      <c r="BC639" s="3"/>
      <c r="BD639" s="3"/>
    </row>
    <row r="640" spans="1:56" ht="12.95" customHeight="1">
      <c r="B640" s="52" t="s">
        <v>583</v>
      </c>
      <c r="C640" s="1504"/>
      <c r="D640" s="1496"/>
      <c r="E640" s="1496"/>
      <c r="F640" s="1496"/>
      <c r="G640" s="1496"/>
      <c r="H640" s="1496"/>
      <c r="I640" s="1496"/>
      <c r="J640" s="1496"/>
      <c r="K640" s="1496"/>
      <c r="L640" s="1496"/>
      <c r="M640" s="1592" t="s">
        <v>1183</v>
      </c>
      <c r="N640" s="1592"/>
      <c r="O640" s="1592"/>
      <c r="P640" s="1592"/>
      <c r="Q640" s="1602"/>
      <c r="R640" s="1546"/>
      <c r="S640" s="1603"/>
      <c r="T640" s="1602"/>
      <c r="U640" s="1546"/>
      <c r="V640" s="1603"/>
      <c r="W640" s="1421"/>
      <c r="X640" s="1422"/>
      <c r="Y640" s="1423"/>
      <c r="Z640" s="1484" t="s">
        <v>1183</v>
      </c>
      <c r="AA640" s="1485"/>
      <c r="AB640" s="1486"/>
      <c r="AC640" s="1471"/>
      <c r="AD640" s="1472"/>
      <c r="AE640" s="1473"/>
      <c r="AF640" s="1589"/>
      <c r="AG640" s="1590"/>
      <c r="AH640" s="1590"/>
      <c r="AI640" s="1590"/>
      <c r="AJ640" s="1591"/>
      <c r="AK640" s="1415"/>
      <c r="AL640" s="1416"/>
      <c r="AM640" s="1416"/>
      <c r="AN640" s="1417"/>
      <c r="AO640" s="1482"/>
      <c r="AP640" s="1345"/>
      <c r="AQ640" s="1345"/>
      <c r="AR640" s="1345"/>
      <c r="AS640" s="1346"/>
      <c r="AT640" s="1142" t="str">
        <f t="shared" si="3"/>
        <v/>
      </c>
      <c r="AU640" s="3"/>
      <c r="AZ640" s="3"/>
      <c r="BA640" s="3"/>
      <c r="BB640" s="3"/>
      <c r="BC640" s="3"/>
      <c r="BD640" s="3"/>
    </row>
    <row r="641" spans="1:157" ht="12.95" customHeight="1">
      <c r="B641" s="52" t="s">
        <v>454</v>
      </c>
      <c r="C641" s="1496"/>
      <c r="D641" s="1496"/>
      <c r="E641" s="1496"/>
      <c r="F641" s="1496"/>
      <c r="G641" s="1496"/>
      <c r="H641" s="1496"/>
      <c r="I641" s="1496"/>
      <c r="J641" s="1496"/>
      <c r="K641" s="1496"/>
      <c r="L641" s="1496"/>
      <c r="M641" s="1592" t="s">
        <v>1183</v>
      </c>
      <c r="N641" s="1592"/>
      <c r="O641" s="1592"/>
      <c r="P641" s="1592"/>
      <c r="Q641" s="1602"/>
      <c r="R641" s="1546"/>
      <c r="S641" s="1603"/>
      <c r="T641" s="1602"/>
      <c r="U641" s="1546"/>
      <c r="V641" s="1603"/>
      <c r="W641" s="1421"/>
      <c r="X641" s="1422"/>
      <c r="Y641" s="1423"/>
      <c r="Z641" s="1484" t="s">
        <v>1183</v>
      </c>
      <c r="AA641" s="1485"/>
      <c r="AB641" s="1486"/>
      <c r="AC641" s="1471"/>
      <c r="AD641" s="1472"/>
      <c r="AE641" s="1473"/>
      <c r="AF641" s="1589"/>
      <c r="AG641" s="1590"/>
      <c r="AH641" s="1590"/>
      <c r="AI641" s="1590"/>
      <c r="AJ641" s="1591"/>
      <c r="AK641" s="1415"/>
      <c r="AL641" s="1416"/>
      <c r="AM641" s="1416"/>
      <c r="AN641" s="1417"/>
      <c r="AO641" s="1482"/>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455</v>
      </c>
      <c r="C642" s="1496"/>
      <c r="D642" s="1496"/>
      <c r="E642" s="1496"/>
      <c r="F642" s="1496"/>
      <c r="G642" s="1496"/>
      <c r="H642" s="1496"/>
      <c r="I642" s="1496"/>
      <c r="J642" s="1496"/>
      <c r="K642" s="1496"/>
      <c r="L642" s="1496"/>
      <c r="M642" s="1592" t="s">
        <v>1183</v>
      </c>
      <c r="N642" s="1592"/>
      <c r="O642" s="1592"/>
      <c r="P642" s="1592"/>
      <c r="Q642" s="1602"/>
      <c r="R642" s="1546"/>
      <c r="S642" s="1603"/>
      <c r="T642" s="1602"/>
      <c r="U642" s="1546"/>
      <c r="V642" s="1603"/>
      <c r="W642" s="1421"/>
      <c r="X642" s="1422"/>
      <c r="Y642" s="1423"/>
      <c r="Z642" s="1484" t="s">
        <v>1183</v>
      </c>
      <c r="AA642" s="1485"/>
      <c r="AB642" s="1486"/>
      <c r="AC642" s="1471"/>
      <c r="AD642" s="1472"/>
      <c r="AE642" s="1473"/>
      <c r="AF642" s="1589"/>
      <c r="AG642" s="1590"/>
      <c r="AH642" s="1590"/>
      <c r="AI642" s="1590"/>
      <c r="AJ642" s="1591"/>
      <c r="AK642" s="1415"/>
      <c r="AL642" s="1416"/>
      <c r="AM642" s="1416"/>
      <c r="AN642" s="1417"/>
      <c r="AO642" s="1482"/>
      <c r="AP642" s="1345"/>
      <c r="AQ642" s="1345"/>
      <c r="AR642" s="1345"/>
      <c r="AS642" s="1346"/>
      <c r="AT642" s="1142" t="str">
        <f t="shared" si="3"/>
        <v/>
      </c>
      <c r="AU642" s="3"/>
      <c r="AV642" s="3"/>
      <c r="AW642" s="3"/>
      <c r="AX642" s="3"/>
      <c r="AY642" s="3"/>
      <c r="AZ642" s="3"/>
      <c r="BA642" s="3" t="s">
        <v>1183</v>
      </c>
      <c r="BB642" s="3"/>
      <c r="BC642" s="3"/>
      <c r="BD642" s="3"/>
    </row>
    <row r="643" spans="1:157" ht="12.95" customHeight="1">
      <c r="B643" s="52" t="s">
        <v>460</v>
      </c>
      <c r="C643" s="1496"/>
      <c r="D643" s="1496"/>
      <c r="E643" s="1496"/>
      <c r="F643" s="1496"/>
      <c r="G643" s="1496"/>
      <c r="H643" s="1496"/>
      <c r="I643" s="1496"/>
      <c r="J643" s="1496"/>
      <c r="K643" s="1496"/>
      <c r="L643" s="1496"/>
      <c r="M643" s="1592" t="s">
        <v>1183</v>
      </c>
      <c r="N643" s="1592"/>
      <c r="O643" s="1592"/>
      <c r="P643" s="1592"/>
      <c r="Q643" s="1602"/>
      <c r="R643" s="1546"/>
      <c r="S643" s="1603"/>
      <c r="T643" s="1602"/>
      <c r="U643" s="1546"/>
      <c r="V643" s="1603"/>
      <c r="W643" s="1421"/>
      <c r="X643" s="1422"/>
      <c r="Y643" s="1423"/>
      <c r="Z643" s="1484" t="s">
        <v>1183</v>
      </c>
      <c r="AA643" s="1485"/>
      <c r="AB643" s="1486"/>
      <c r="AC643" s="1471"/>
      <c r="AD643" s="1472"/>
      <c r="AE643" s="1473"/>
      <c r="AF643" s="1589"/>
      <c r="AG643" s="1590"/>
      <c r="AH643" s="1590"/>
      <c r="AI643" s="1590"/>
      <c r="AJ643" s="1591"/>
      <c r="AK643" s="1415"/>
      <c r="AL643" s="1416"/>
      <c r="AM643" s="1416"/>
      <c r="AN643" s="1417"/>
      <c r="AO643" s="1482"/>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t="e">
        <f t="shared" ref="DX643:DX677" si="4">EZ726*(CP726/$CP$761)</f>
        <v>#VALUE!</v>
      </c>
      <c r="DY643" s="1383"/>
      <c r="DZ643" s="1383"/>
      <c r="EA643" s="1383"/>
      <c r="EB643" s="1383"/>
      <c r="EC643" s="1383">
        <f t="shared" ref="EC643:EC677" si="5">FE726*(CU726/$CU$761)</f>
        <v>489.99999999999994</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2.95" customHeight="1">
      <c r="B644" s="52" t="s">
        <v>645</v>
      </c>
      <c r="C644" s="1496"/>
      <c r="D644" s="1496"/>
      <c r="E644" s="1496"/>
      <c r="F644" s="1496"/>
      <c r="G644" s="1496"/>
      <c r="H644" s="1496"/>
      <c r="I644" s="1496"/>
      <c r="J644" s="1496"/>
      <c r="K644" s="1496"/>
      <c r="L644" s="1496"/>
      <c r="M644" s="1592" t="s">
        <v>1183</v>
      </c>
      <c r="N644" s="1592"/>
      <c r="O644" s="1592"/>
      <c r="P644" s="1592"/>
      <c r="Q644" s="1602"/>
      <c r="R644" s="1546"/>
      <c r="S644" s="1603"/>
      <c r="T644" s="1602"/>
      <c r="U644" s="1546"/>
      <c r="V644" s="1603"/>
      <c r="W644" s="1421"/>
      <c r="X644" s="1422"/>
      <c r="Y644" s="1423"/>
      <c r="Z644" s="1484" t="s">
        <v>1183</v>
      </c>
      <c r="AA644" s="1485"/>
      <c r="AB644" s="1486"/>
      <c r="AC644" s="1471"/>
      <c r="AD644" s="1472"/>
      <c r="AE644" s="1473"/>
      <c r="AF644" s="1589"/>
      <c r="AG644" s="1590"/>
      <c r="AH644" s="1590"/>
      <c r="AI644" s="1590"/>
      <c r="AJ644" s="1591"/>
      <c r="AK644" s="1415"/>
      <c r="AL644" s="1416"/>
      <c r="AM644" s="1416"/>
      <c r="AN644" s="1417"/>
      <c r="AO644" s="1482"/>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3" t="e">
        <f t="shared" si="4"/>
        <v>#VALUE!</v>
      </c>
      <c r="DY644" s="1383"/>
      <c r="DZ644" s="1383"/>
      <c r="EA644" s="1383"/>
      <c r="EB644" s="1383"/>
      <c r="EC644" s="1383">
        <f t="shared" si="5"/>
        <v>327.3</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2.95" customHeight="1">
      <c r="B645" s="52" t="s">
        <v>362</v>
      </c>
      <c r="C645" s="1496"/>
      <c r="D645" s="1496"/>
      <c r="E645" s="1496"/>
      <c r="F645" s="1496"/>
      <c r="G645" s="1496"/>
      <c r="H645" s="1496"/>
      <c r="I645" s="1496"/>
      <c r="J645" s="1496"/>
      <c r="K645" s="1496"/>
      <c r="L645" s="1496"/>
      <c r="M645" s="1592" t="s">
        <v>1183</v>
      </c>
      <c r="N645" s="1592"/>
      <c r="O645" s="1592"/>
      <c r="P645" s="1592"/>
      <c r="Q645" s="1602"/>
      <c r="R645" s="1546"/>
      <c r="S645" s="1603"/>
      <c r="T645" s="1602"/>
      <c r="U645" s="1546"/>
      <c r="V645" s="1603"/>
      <c r="W645" s="1421"/>
      <c r="X645" s="1422"/>
      <c r="Y645" s="1423"/>
      <c r="Z645" s="1484" t="s">
        <v>1183</v>
      </c>
      <c r="AA645" s="1485"/>
      <c r="AB645" s="1486"/>
      <c r="AC645" s="1471"/>
      <c r="AD645" s="1472"/>
      <c r="AE645" s="1473"/>
      <c r="AF645" s="1589"/>
      <c r="AG645" s="1590"/>
      <c r="AH645" s="1590"/>
      <c r="AI645" s="1590"/>
      <c r="AJ645" s="1591"/>
      <c r="AK645" s="1415"/>
      <c r="AL645" s="1416"/>
      <c r="AM645" s="1416"/>
      <c r="AN645" s="1417"/>
      <c r="AO645" s="1482"/>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3" t="e">
        <f t="shared" si="4"/>
        <v>#VALUE!</v>
      </c>
      <c r="DY645" s="1383"/>
      <c r="DZ645" s="1383"/>
      <c r="EA645" s="1383"/>
      <c r="EB645" s="1383"/>
      <c r="EC645" s="1383" t="e">
        <f t="shared" si="5"/>
        <v>#VALUE!</v>
      </c>
      <c r="ED645" s="1383"/>
      <c r="EE645" s="1383"/>
      <c r="EF645" s="1383"/>
      <c r="EG645" s="1383"/>
      <c r="EH645" s="1383">
        <f t="shared" si="6"/>
        <v>252.29999999999998</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2.95" customHeight="1">
      <c r="B646" s="52" t="s">
        <v>363</v>
      </c>
      <c r="C646" s="1496"/>
      <c r="D646" s="1496"/>
      <c r="E646" s="1496"/>
      <c r="F646" s="1496"/>
      <c r="G646" s="1496"/>
      <c r="H646" s="1496"/>
      <c r="I646" s="1496"/>
      <c r="J646" s="1496"/>
      <c r="K646" s="1496"/>
      <c r="L646" s="1496"/>
      <c r="M646" s="1592" t="s">
        <v>1183</v>
      </c>
      <c r="N646" s="1592"/>
      <c r="O646" s="1592"/>
      <c r="P646" s="1592"/>
      <c r="Q646" s="1602"/>
      <c r="R646" s="1546"/>
      <c r="S646" s="1603"/>
      <c r="T646" s="1602"/>
      <c r="U646" s="1546"/>
      <c r="V646" s="1603"/>
      <c r="W646" s="1421"/>
      <c r="X646" s="1422"/>
      <c r="Y646" s="1423"/>
      <c r="Z646" s="1484" t="s">
        <v>1183</v>
      </c>
      <c r="AA646" s="1485"/>
      <c r="AB646" s="1486"/>
      <c r="AC646" s="1471"/>
      <c r="AD646" s="1472"/>
      <c r="AE646" s="1473"/>
      <c r="AF646" s="1589"/>
      <c r="AG646" s="1590"/>
      <c r="AH646" s="1590"/>
      <c r="AI646" s="1590"/>
      <c r="AJ646" s="1591"/>
      <c r="AK646" s="1415"/>
      <c r="AL646" s="1416"/>
      <c r="AM646" s="1416"/>
      <c r="AN646" s="1417"/>
      <c r="AO646" s="1482"/>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t="e">
        <f t="shared" si="5"/>
        <v>#VALUE!</v>
      </c>
      <c r="ED646" s="1383"/>
      <c r="EE646" s="1383"/>
      <c r="EF646" s="1383"/>
      <c r="EG646" s="1383"/>
      <c r="EH646" s="1383">
        <f t="shared" si="6"/>
        <v>393</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2.95" customHeight="1">
      <c r="B647" s="1403" t="s">
        <v>128</v>
      </c>
      <c r="C647" s="1404"/>
      <c r="D647" s="1404"/>
      <c r="E647" s="1404"/>
      <c r="F647" s="1404"/>
      <c r="G647" s="1404"/>
      <c r="H647" s="1404"/>
      <c r="I647" s="1404"/>
      <c r="J647" s="1404"/>
      <c r="K647" s="1404"/>
      <c r="L647" s="1404"/>
      <c r="M647" s="1404"/>
      <c r="N647" s="1404"/>
      <c r="O647" s="1404"/>
      <c r="P647" s="1404"/>
      <c r="Q647" s="1404"/>
      <c r="R647" s="1404"/>
      <c r="S647" s="1404"/>
      <c r="T647" s="1404"/>
      <c r="U647" s="1404"/>
      <c r="V647" s="1404"/>
      <c r="W647" s="1404"/>
      <c r="X647" s="1404"/>
      <c r="Y647" s="1404"/>
      <c r="Z647" s="1404"/>
      <c r="AA647" s="1404"/>
      <c r="AB647" s="1404"/>
      <c r="AC647" s="1404"/>
      <c r="AD647" s="1404"/>
      <c r="AE647" s="1404"/>
      <c r="AF647" s="1404"/>
      <c r="AG647" s="1404"/>
      <c r="AH647" s="1404"/>
      <c r="AI647" s="1404"/>
      <c r="AJ647" s="1404"/>
      <c r="AK647" s="1404"/>
      <c r="AL647" s="1404"/>
      <c r="AM647" s="1404"/>
      <c r="AN647" s="1406"/>
      <c r="AO647" s="1479">
        <f>SUM(AO635:AR646)</f>
        <v>10988330</v>
      </c>
      <c r="AP647" s="1480"/>
      <c r="AQ647" s="1480"/>
      <c r="AR647" s="1480"/>
      <c r="AS647" s="148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t="e">
        <f t="shared" si="5"/>
        <v>#VALUE!</v>
      </c>
      <c r="ED647" s="1383"/>
      <c r="EE647" s="1383"/>
      <c r="EF647" s="1383"/>
      <c r="EG647" s="1383"/>
      <c r="EH647" s="1383">
        <f t="shared" si="6"/>
        <v>649.20000000000005</v>
      </c>
      <c r="EI647" s="1383"/>
      <c r="EJ647" s="1383"/>
      <c r="EK647" s="1383"/>
      <c r="EL647" s="1383"/>
      <c r="EM647" s="1383" t="e">
        <f t="shared" si="7"/>
        <v>#VALUE!</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2.95" customHeight="1">
      <c r="B648" s="1403" t="s">
        <v>267</v>
      </c>
      <c r="C648" s="1404"/>
      <c r="D648" s="1404"/>
      <c r="E648" s="1404"/>
      <c r="F648" s="1404"/>
      <c r="G648" s="1404"/>
      <c r="H648" s="1404"/>
      <c r="I648" s="1404"/>
      <c r="J648" s="1404"/>
      <c r="K648" s="1404"/>
      <c r="L648" s="1404"/>
      <c r="M648" s="1404"/>
      <c r="N648" s="1404"/>
      <c r="O648" s="1404"/>
      <c r="P648" s="1404"/>
      <c r="Q648" s="1404"/>
      <c r="R648" s="1404"/>
      <c r="S648" s="1404"/>
      <c r="T648" s="1404"/>
      <c r="U648" s="1404"/>
      <c r="V648" s="1404"/>
      <c r="W648" s="1404"/>
      <c r="X648" s="1404"/>
      <c r="Y648" s="1404"/>
      <c r="Z648" s="1404"/>
      <c r="AA648" s="1404"/>
      <c r="AB648" s="1404"/>
      <c r="AC648" s="1404"/>
      <c r="AD648" s="1404"/>
      <c r="AE648" s="1404"/>
      <c r="AF648" s="1404"/>
      <c r="AG648" s="1404"/>
      <c r="AH648" s="1404"/>
      <c r="AI648" s="1404"/>
      <c r="AJ648" s="1404"/>
      <c r="AK648" s="1404"/>
      <c r="AL648" s="1404"/>
      <c r="AM648" s="1404"/>
      <c r="AN648" s="1406"/>
      <c r="AO648" s="1482">
        <v>15154761</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t="e">
        <f t="shared" si="5"/>
        <v>#VALUE!</v>
      </c>
      <c r="ED648" s="1383"/>
      <c r="EE648" s="1383"/>
      <c r="EF648" s="1383"/>
      <c r="EG648" s="1383"/>
      <c r="EH648" s="1383" t="e">
        <f t="shared" si="6"/>
        <v>#VALUE!</v>
      </c>
      <c r="EI648" s="1383"/>
      <c r="EJ648" s="1383"/>
      <c r="EK648" s="1383"/>
      <c r="EL648" s="1383"/>
      <c r="EM648" s="1383">
        <f t="shared" si="7"/>
        <v>241.75</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2.95" customHeight="1">
      <c r="B649" s="1684" t="s">
        <v>268</v>
      </c>
      <c r="C649" s="1405"/>
      <c r="D649" s="1405"/>
      <c r="E649" s="1405"/>
      <c r="F649" s="1405"/>
      <c r="G649" s="1405"/>
      <c r="H649" s="1405"/>
      <c r="I649" s="1405"/>
      <c r="J649" s="1405"/>
      <c r="K649" s="1405"/>
      <c r="L649" s="1405"/>
      <c r="M649" s="1405"/>
      <c r="N649" s="1405"/>
      <c r="O649" s="1405"/>
      <c r="P649" s="1405"/>
      <c r="Q649" s="1405"/>
      <c r="R649" s="1405"/>
      <c r="S649" s="1405"/>
      <c r="T649" s="1405"/>
      <c r="U649" s="1405"/>
      <c r="V649" s="1405"/>
      <c r="W649" s="1405"/>
      <c r="X649" s="1405"/>
      <c r="Y649" s="1405"/>
      <c r="Z649" s="1405"/>
      <c r="AA649" s="1405"/>
      <c r="AB649" s="1405"/>
      <c r="AC649" s="1405"/>
      <c r="AD649" s="1405"/>
      <c r="AE649" s="1405"/>
      <c r="AF649" s="1405"/>
      <c r="AG649" s="1405"/>
      <c r="AH649" s="1405"/>
      <c r="AI649" s="1405"/>
      <c r="AJ649" s="1405"/>
      <c r="AK649" s="1405"/>
      <c r="AL649" s="1405"/>
      <c r="AM649" s="1405"/>
      <c r="AN649" s="1685"/>
      <c r="AO649" s="1479">
        <f>AO647+AO648</f>
        <v>26143091</v>
      </c>
      <c r="AP649" s="1480"/>
      <c r="AQ649" s="1480"/>
      <c r="AR649" s="1480"/>
      <c r="AS649" s="148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t="e">
        <f t="shared" si="5"/>
        <v>#VALUE!</v>
      </c>
      <c r="ED649" s="1383"/>
      <c r="EE649" s="1383"/>
      <c r="EF649" s="1383"/>
      <c r="EG649" s="1383"/>
      <c r="EH649" s="1383" t="e">
        <f t="shared" si="6"/>
        <v>#VALUE!</v>
      </c>
      <c r="EI649" s="1383"/>
      <c r="EJ649" s="1383"/>
      <c r="EK649" s="1383"/>
      <c r="EL649" s="1383"/>
      <c r="EM649" s="1383">
        <f t="shared" si="7"/>
        <v>1402.5</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t="e">
        <f t="shared" si="5"/>
        <v>#VALUE!</v>
      </c>
      <c r="ED650" s="1383"/>
      <c r="EE650" s="1383"/>
      <c r="EF650" s="1383"/>
      <c r="EG650" s="1383"/>
      <c r="EH650" s="1383" t="e">
        <f t="shared" si="6"/>
        <v>#VALUE!</v>
      </c>
      <c r="EI650" s="1383"/>
      <c r="EJ650" s="1383"/>
      <c r="EK650" s="1383"/>
      <c r="EL650" s="1383"/>
      <c r="EM650" s="1383" t="e">
        <f t="shared" si="7"/>
        <v>#VALUE!</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2.95" customHeight="1">
      <c r="A651" s="55" t="s">
        <v>112</v>
      </c>
      <c r="B651" t="s">
        <v>462</v>
      </c>
      <c r="G651" s="1490" t="str">
        <f>C635</f>
        <v>County of San Luis Obispo HOME/HOME ARP</v>
      </c>
      <c r="H651" s="1490"/>
      <c r="I651" s="1490"/>
      <c r="J651" s="1490"/>
      <c r="K651" s="1490"/>
      <c r="L651" s="1490"/>
      <c r="M651" s="1490"/>
      <c r="N651" s="1490"/>
      <c r="O651" s="1490"/>
      <c r="P651" s="1490"/>
      <c r="Q651" s="1490"/>
      <c r="R651" s="1490"/>
      <c r="S651" s="8"/>
      <c r="T651" s="55" t="s">
        <v>113</v>
      </c>
      <c r="U651" t="s">
        <v>462</v>
      </c>
      <c r="Z651" s="1490" t="str">
        <f>C636</f>
        <v>HCD, Joe Serna Jr. FWHG</v>
      </c>
      <c r="AA651" s="1490"/>
      <c r="AB651" s="1490"/>
      <c r="AC651" s="1490"/>
      <c r="AD651" s="1490"/>
      <c r="AE651" s="1490"/>
      <c r="AF651" s="1490"/>
      <c r="AG651" s="1490"/>
      <c r="AH651" s="1490"/>
      <c r="AI651" s="1490"/>
      <c r="AJ651" s="1490"/>
      <c r="AK651" s="149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t="e">
        <f t="shared" si="6"/>
        <v>#VALUE!</v>
      </c>
      <c r="EI651" s="1383"/>
      <c r="EJ651" s="1383"/>
      <c r="EK651" s="1383"/>
      <c r="EL651" s="1383"/>
      <c r="EM651" s="1383" t="e">
        <f t="shared" si="7"/>
        <v>#VALUE!</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2.95" customHeight="1">
      <c r="A652" s="22"/>
      <c r="B652" t="s">
        <v>85</v>
      </c>
      <c r="G652" s="1402" t="s">
        <v>2714</v>
      </c>
      <c r="H652" s="1402"/>
      <c r="I652" s="1402"/>
      <c r="J652" s="1402"/>
      <c r="K652" s="1402"/>
      <c r="L652" s="1402"/>
      <c r="M652" s="1402"/>
      <c r="N652" s="1402"/>
      <c r="O652" s="1402"/>
      <c r="P652" s="1402"/>
      <c r="Q652" s="1402"/>
      <c r="R652" s="1402"/>
      <c r="S652" s="8"/>
      <c r="T652" s="22"/>
      <c r="U652" t="s">
        <v>85</v>
      </c>
      <c r="Z652" s="1402" t="s">
        <v>2720</v>
      </c>
      <c r="AA652" s="1402"/>
      <c r="AB652" s="1402"/>
      <c r="AC652" s="1402"/>
      <c r="AD652" s="1402"/>
      <c r="AE652" s="1402"/>
      <c r="AF652" s="1402"/>
      <c r="AG652" s="1402"/>
      <c r="AH652" s="1402"/>
      <c r="AI652" s="1402"/>
      <c r="AJ652" s="1402"/>
      <c r="AK652" s="1402"/>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t="e">
        <f t="shared" si="5"/>
        <v>#VALUE!</v>
      </c>
      <c r="ED652" s="1383"/>
      <c r="EE652" s="1383"/>
      <c r="EF652" s="1383"/>
      <c r="EG652" s="1383"/>
      <c r="EH652" s="1383" t="e">
        <f t="shared" si="6"/>
        <v>#VALUE!</v>
      </c>
      <c r="EI652" s="1383"/>
      <c r="EJ652" s="1383"/>
      <c r="EK652" s="1383"/>
      <c r="EL652" s="1383"/>
      <c r="EM652" s="1383" t="e">
        <f t="shared" si="7"/>
        <v>#VALUE!</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2.95" customHeight="1">
      <c r="A653" s="22"/>
      <c r="B653" t="s">
        <v>579</v>
      </c>
      <c r="G653" s="1402" t="s">
        <v>69</v>
      </c>
      <c r="H653" s="1402"/>
      <c r="I653" s="1402"/>
      <c r="J653" s="1402"/>
      <c r="K653" s="1402"/>
      <c r="L653" s="1402"/>
      <c r="M653" s="1402"/>
      <c r="N653" s="1402"/>
      <c r="O653" s="1402"/>
      <c r="P653" s="1402"/>
      <c r="Q653" s="1402"/>
      <c r="R653" s="1402"/>
      <c r="T653" s="22"/>
      <c r="U653" t="s">
        <v>579</v>
      </c>
      <c r="Z653" s="1463" t="s">
        <v>68</v>
      </c>
      <c r="AA653" s="1463"/>
      <c r="AB653" s="1463"/>
      <c r="AC653" s="1463"/>
      <c r="AD653" s="1463"/>
      <c r="AE653" s="1463"/>
      <c r="AF653" s="1463"/>
      <c r="AG653" s="1463"/>
      <c r="AH653" s="1463"/>
      <c r="AI653" s="1463"/>
      <c r="AJ653" s="1463"/>
      <c r="AK653" s="1463"/>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t="e">
        <f t="shared" si="6"/>
        <v>#VALUE!</v>
      </c>
      <c r="EI653" s="1383"/>
      <c r="EJ653" s="1383"/>
      <c r="EK653" s="1383"/>
      <c r="EL653" s="1383"/>
      <c r="EM653" s="1383" t="e">
        <f t="shared" si="7"/>
        <v>#VALUE!</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2.95" customHeight="1">
      <c r="A654" s="22"/>
      <c r="B654" t="s">
        <v>17</v>
      </c>
      <c r="G654" s="1463" t="s">
        <v>2715</v>
      </c>
      <c r="H654" s="1463"/>
      <c r="I654" s="1463"/>
      <c r="J654" s="1463"/>
      <c r="K654" s="1463"/>
      <c r="L654" s="1463"/>
      <c r="M654" s="1463"/>
      <c r="N654" s="1463"/>
      <c r="O654" s="1463"/>
      <c r="P654" s="1463"/>
      <c r="Q654" s="1463"/>
      <c r="R654" s="1463"/>
      <c r="S654" s="8"/>
      <c r="T654" s="22"/>
      <c r="U654" t="s">
        <v>17</v>
      </c>
      <c r="Z654" s="1463" t="s">
        <v>2721</v>
      </c>
      <c r="AA654" s="1463"/>
      <c r="AB654" s="1463"/>
      <c r="AC654" s="1463"/>
      <c r="AD654" s="1463"/>
      <c r="AE654" s="1463"/>
      <c r="AF654" s="1463"/>
      <c r="AG654" s="1463"/>
      <c r="AH654" s="1463"/>
      <c r="AI654" s="1463"/>
      <c r="AJ654" s="1463"/>
      <c r="AK654" s="1463"/>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t="e">
        <f t="shared" si="6"/>
        <v>#VALUE!</v>
      </c>
      <c r="EI654" s="1383"/>
      <c r="EJ654" s="1383"/>
      <c r="EK654" s="1383"/>
      <c r="EL654" s="1383"/>
      <c r="EM654" s="1383" t="e">
        <f t="shared" si="7"/>
        <v>#VALUE!</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2.95" customHeight="1">
      <c r="A655" s="22"/>
      <c r="B655" t="s">
        <v>316</v>
      </c>
      <c r="G655" s="1424" t="s">
        <v>2716</v>
      </c>
      <c r="H655" s="1425"/>
      <c r="I655" s="1425"/>
      <c r="J655" s="1425"/>
      <c r="K655" s="1425"/>
      <c r="L655" s="1425"/>
      <c r="O655" s="33" t="s">
        <v>206</v>
      </c>
      <c r="P655" s="1478"/>
      <c r="Q655" s="1478"/>
      <c r="R655" s="1478"/>
      <c r="S655" s="10"/>
      <c r="T655" s="22"/>
      <c r="U655" t="s">
        <v>316</v>
      </c>
      <c r="Z655" s="1424" t="s">
        <v>2722</v>
      </c>
      <c r="AA655" s="1425"/>
      <c r="AB655" s="1425"/>
      <c r="AC655" s="1425"/>
      <c r="AD655" s="1425"/>
      <c r="AE655" s="1425"/>
      <c r="AH655" s="33" t="s">
        <v>206</v>
      </c>
      <c r="AI655" s="1478"/>
      <c r="AJ655" s="1478"/>
      <c r="AK655" s="1478"/>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2.95" customHeight="1">
      <c r="A656" s="22"/>
      <c r="B656" t="s">
        <v>18</v>
      </c>
      <c r="H656" s="1402" t="s">
        <v>2071</v>
      </c>
      <c r="I656" s="1402"/>
      <c r="J656" s="1402"/>
      <c r="K656" s="1402"/>
      <c r="L656" s="1402"/>
      <c r="M656" s="1402"/>
      <c r="N656" s="1402"/>
      <c r="O656" s="1402"/>
      <c r="P656" s="1402"/>
      <c r="Q656" s="1402"/>
      <c r="R656" s="1402"/>
      <c r="S656" s="8"/>
      <c r="T656" s="22"/>
      <c r="U656" t="s">
        <v>18</v>
      </c>
      <c r="AA656" s="1402" t="s">
        <v>2727</v>
      </c>
      <c r="AB656" s="1402"/>
      <c r="AC656" s="1402"/>
      <c r="AD656" s="1402"/>
      <c r="AE656" s="1402"/>
      <c r="AF656" s="1402"/>
      <c r="AG656" s="1402"/>
      <c r="AH656" s="1402"/>
      <c r="AI656" s="1402"/>
      <c r="AJ656" s="1402"/>
      <c r="AK656" s="1402"/>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t="e">
        <f t="shared" si="5"/>
        <v>#VALUE!</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2.95" customHeight="1">
      <c r="A657" s="22"/>
      <c r="B657" t="s">
        <v>20</v>
      </c>
      <c r="N657" s="1410" t="s">
        <v>544</v>
      </c>
      <c r="O657" s="1410"/>
      <c r="T657" s="22"/>
      <c r="U657" t="s">
        <v>20</v>
      </c>
      <c r="AG657" s="1410" t="s">
        <v>544</v>
      </c>
      <c r="AH657" s="1410"/>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t="e">
        <f t="shared" si="6"/>
        <v>#VALUE!</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2.95"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2.95" customHeight="1">
      <c r="A659" s="55" t="s">
        <v>119</v>
      </c>
      <c r="B659" t="s">
        <v>462</v>
      </c>
      <c r="G659" s="1490" t="str">
        <f>C637</f>
        <v xml:space="preserve">GP Captial - Sponsor People's Self-Help Housing Corp. </v>
      </c>
      <c r="H659" s="1490"/>
      <c r="I659" s="1490"/>
      <c r="J659" s="1490"/>
      <c r="K659" s="1490"/>
      <c r="L659" s="1490"/>
      <c r="M659" s="1490"/>
      <c r="N659" s="1490"/>
      <c r="O659" s="1490"/>
      <c r="P659" s="1490"/>
      <c r="Q659" s="1490"/>
      <c r="R659" s="1490"/>
      <c r="T659" s="55" t="s">
        <v>580</v>
      </c>
      <c r="U659" t="s">
        <v>462</v>
      </c>
      <c r="Z659" s="1490" t="str">
        <f>C638</f>
        <v>Deferred Developer Fee</v>
      </c>
      <c r="AA659" s="1490"/>
      <c r="AB659" s="1490"/>
      <c r="AC659" s="1490"/>
      <c r="AD659" s="1490"/>
      <c r="AE659" s="1490"/>
      <c r="AF659" s="1490"/>
      <c r="AG659" s="1490"/>
      <c r="AH659" s="1490"/>
      <c r="AI659" s="1490"/>
      <c r="AJ659" s="1490"/>
      <c r="AK659" s="1490"/>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2.95" customHeight="1">
      <c r="A660" s="22"/>
      <c r="B660" t="s">
        <v>85</v>
      </c>
      <c r="G660" s="1402" t="s">
        <v>2728</v>
      </c>
      <c r="H660" s="1402"/>
      <c r="I660" s="1402"/>
      <c r="J660" s="1402"/>
      <c r="K660" s="1402"/>
      <c r="L660" s="1402"/>
      <c r="M660" s="1402"/>
      <c r="N660" s="1402"/>
      <c r="O660" s="1402"/>
      <c r="P660" s="1402"/>
      <c r="Q660" s="1402"/>
      <c r="R660" s="1402"/>
      <c r="T660" s="22"/>
      <c r="U660" t="s">
        <v>85</v>
      </c>
      <c r="Z660" s="1402" t="s">
        <v>2728</v>
      </c>
      <c r="AA660" s="1402"/>
      <c r="AB660" s="1402"/>
      <c r="AC660" s="1402"/>
      <c r="AD660" s="1402"/>
      <c r="AE660" s="1402"/>
      <c r="AF660" s="1402"/>
      <c r="AG660" s="1402"/>
      <c r="AH660" s="1402"/>
      <c r="AI660" s="1402"/>
      <c r="AJ660" s="1402"/>
      <c r="AK660" s="1402"/>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2.95" customHeight="1">
      <c r="A661" s="22"/>
      <c r="B661" t="s">
        <v>579</v>
      </c>
      <c r="G661" s="1463" t="s">
        <v>69</v>
      </c>
      <c r="H661" s="1463"/>
      <c r="I661" s="1463"/>
      <c r="J661" s="1463"/>
      <c r="K661" s="1463"/>
      <c r="L661" s="1463"/>
      <c r="M661" s="1463"/>
      <c r="N661" s="1463"/>
      <c r="O661" s="1463"/>
      <c r="P661" s="1463"/>
      <c r="Q661" s="1463"/>
      <c r="R661" s="1463"/>
      <c r="T661" s="22"/>
      <c r="U661" t="s">
        <v>579</v>
      </c>
      <c r="Z661" s="1463" t="s">
        <v>69</v>
      </c>
      <c r="AA661" s="1463"/>
      <c r="AB661" s="1463"/>
      <c r="AC661" s="1463"/>
      <c r="AD661" s="1463"/>
      <c r="AE661" s="1463"/>
      <c r="AF661" s="1463"/>
      <c r="AG661" s="1463"/>
      <c r="AH661" s="1463"/>
      <c r="AI661" s="1463"/>
      <c r="AJ661" s="1463"/>
      <c r="AK661" s="1463"/>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2.95" customHeight="1">
      <c r="A662" s="22"/>
      <c r="B662" t="s">
        <v>17</v>
      </c>
      <c r="G662" s="1463" t="s">
        <v>2657</v>
      </c>
      <c r="H662" s="1463"/>
      <c r="I662" s="1463"/>
      <c r="J662" s="1463"/>
      <c r="K662" s="1463"/>
      <c r="L662" s="1463"/>
      <c r="M662" s="1463"/>
      <c r="N662" s="1463"/>
      <c r="O662" s="1463"/>
      <c r="P662" s="1463"/>
      <c r="Q662" s="1463"/>
      <c r="R662" s="1463"/>
      <c r="T662" s="22"/>
      <c r="U662" t="s">
        <v>17</v>
      </c>
      <c r="Z662" s="1463" t="s">
        <v>2657</v>
      </c>
      <c r="AA662" s="1463"/>
      <c r="AB662" s="1463"/>
      <c r="AC662" s="1463"/>
      <c r="AD662" s="1463"/>
      <c r="AE662" s="1463"/>
      <c r="AF662" s="1463"/>
      <c r="AG662" s="1463"/>
      <c r="AH662" s="1463"/>
      <c r="AI662" s="1463"/>
      <c r="AJ662" s="1463"/>
      <c r="AK662" s="1463"/>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2.95" customHeight="1">
      <c r="A663" s="22"/>
      <c r="B663" t="s">
        <v>316</v>
      </c>
      <c r="G663" s="1424" t="s">
        <v>2658</v>
      </c>
      <c r="H663" s="1425"/>
      <c r="I663" s="1425"/>
      <c r="J663" s="1425"/>
      <c r="K663" s="1425"/>
      <c r="L663" s="1425"/>
      <c r="O663" s="33" t="s">
        <v>206</v>
      </c>
      <c r="P663" s="1478"/>
      <c r="Q663" s="1478"/>
      <c r="R663" s="1478"/>
      <c r="T663" s="22"/>
      <c r="U663" t="s">
        <v>316</v>
      </c>
      <c r="Z663" s="1424" t="s">
        <v>2658</v>
      </c>
      <c r="AA663" s="1425"/>
      <c r="AB663" s="1425"/>
      <c r="AC663" s="1425"/>
      <c r="AD663" s="1425"/>
      <c r="AE663" s="1425"/>
      <c r="AH663" s="33" t="s">
        <v>206</v>
      </c>
      <c r="AI663" s="1478"/>
      <c r="AJ663" s="1478"/>
      <c r="AK663" s="1478"/>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2.95" customHeight="1">
      <c r="A664" s="22"/>
      <c r="B664" t="s">
        <v>18</v>
      </c>
      <c r="H664" s="1402" t="s">
        <v>2719</v>
      </c>
      <c r="I664" s="1402"/>
      <c r="J664" s="1402"/>
      <c r="K664" s="1402"/>
      <c r="L664" s="1402"/>
      <c r="M664" s="1402"/>
      <c r="N664" s="1402"/>
      <c r="O664" s="1402"/>
      <c r="P664" s="1402"/>
      <c r="Q664" s="1402"/>
      <c r="R664" s="1402"/>
      <c r="T664" s="22"/>
      <c r="U664" t="s">
        <v>18</v>
      </c>
      <c r="AA664" s="1402" t="s">
        <v>2729</v>
      </c>
      <c r="AB664" s="1402"/>
      <c r="AC664" s="1402"/>
      <c r="AD664" s="1402"/>
      <c r="AE664" s="1402"/>
      <c r="AF664" s="1402"/>
      <c r="AG664" s="1402"/>
      <c r="AH664" s="1402"/>
      <c r="AI664" s="1402"/>
      <c r="AJ664" s="1402"/>
      <c r="AK664" s="1402"/>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2.95" customHeight="1">
      <c r="A665" s="22"/>
      <c r="B665" t="s">
        <v>20</v>
      </c>
      <c r="N665" s="1410" t="s">
        <v>544</v>
      </c>
      <c r="O665" s="1410"/>
      <c r="T665" s="22"/>
      <c r="U665" t="s">
        <v>20</v>
      </c>
      <c r="AG665" s="1410" t="s">
        <v>544</v>
      </c>
      <c r="AH665" s="1410"/>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2.95"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2.95" customHeight="1">
      <c r="A667" s="55" t="s">
        <v>762</v>
      </c>
      <c r="B667" t="s">
        <v>462</v>
      </c>
      <c r="G667" s="1490" t="str">
        <f>C639</f>
        <v>Deferred Interest - Serna/HOME/HOME ARP</v>
      </c>
      <c r="H667" s="1490"/>
      <c r="I667" s="1490"/>
      <c r="J667" s="1490"/>
      <c r="K667" s="1490"/>
      <c r="L667" s="1490"/>
      <c r="M667" s="1490"/>
      <c r="N667" s="1490"/>
      <c r="O667" s="1490"/>
      <c r="P667" s="1490"/>
      <c r="Q667" s="1490"/>
      <c r="R667" s="1490"/>
      <c r="T667" s="55" t="s">
        <v>583</v>
      </c>
      <c r="U667" t="s">
        <v>462</v>
      </c>
      <c r="Z667" s="1490">
        <f>C640</f>
        <v>0</v>
      </c>
      <c r="AA667" s="1490"/>
      <c r="AB667" s="1490"/>
      <c r="AC667" s="1490"/>
      <c r="AD667" s="1490"/>
      <c r="AE667" s="1490"/>
      <c r="AF667" s="1490"/>
      <c r="AG667" s="1490"/>
      <c r="AH667" s="1490"/>
      <c r="AI667" s="1490"/>
      <c r="AJ667" s="1490"/>
      <c r="AK667" s="1490"/>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2.95" customHeight="1">
      <c r="A668" s="22"/>
      <c r="B668" t="s">
        <v>85</v>
      </c>
      <c r="G668" s="1402" t="s">
        <v>2728</v>
      </c>
      <c r="H668" s="1402"/>
      <c r="I668" s="1402"/>
      <c r="J668" s="1402"/>
      <c r="K668" s="1402"/>
      <c r="L668" s="1402"/>
      <c r="M668" s="1402"/>
      <c r="N668" s="1402"/>
      <c r="O668" s="1402"/>
      <c r="P668" s="1402"/>
      <c r="Q668" s="1402"/>
      <c r="R668" s="1402"/>
      <c r="T668" s="22"/>
      <c r="U668" t="s">
        <v>85</v>
      </c>
      <c r="Z668" s="1402"/>
      <c r="AA668" s="1402"/>
      <c r="AB668" s="1402"/>
      <c r="AC668" s="1402"/>
      <c r="AD668" s="1402"/>
      <c r="AE668" s="1402"/>
      <c r="AF668" s="1402"/>
      <c r="AG668" s="1402"/>
      <c r="AH668" s="1402"/>
      <c r="AI668" s="1402"/>
      <c r="AJ668" s="1402"/>
      <c r="AK668" s="1402"/>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2.95" customHeight="1">
      <c r="A669" s="22"/>
      <c r="B669" t="s">
        <v>579</v>
      </c>
      <c r="G669" s="1402" t="s">
        <v>69</v>
      </c>
      <c r="H669" s="1402"/>
      <c r="I669" s="1402"/>
      <c r="J669" s="1402"/>
      <c r="K669" s="1402"/>
      <c r="L669" s="1402"/>
      <c r="M669" s="1402"/>
      <c r="N669" s="1402"/>
      <c r="O669" s="1402"/>
      <c r="P669" s="1402"/>
      <c r="Q669" s="1402"/>
      <c r="R669" s="1402"/>
      <c r="T669" s="22"/>
      <c r="U669" t="s">
        <v>579</v>
      </c>
      <c r="Z669" s="1463"/>
      <c r="AA669" s="1463"/>
      <c r="AB669" s="1463"/>
      <c r="AC669" s="1463"/>
      <c r="AD669" s="1463"/>
      <c r="AE669" s="1463"/>
      <c r="AF669" s="1463"/>
      <c r="AG669" s="1463"/>
      <c r="AH669" s="1463"/>
      <c r="AI669" s="1463"/>
      <c r="AJ669" s="1463"/>
      <c r="AK669" s="1463"/>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2.95" customHeight="1">
      <c r="A670" s="22"/>
      <c r="B670" t="s">
        <v>17</v>
      </c>
      <c r="G670" s="1402" t="s">
        <v>2657</v>
      </c>
      <c r="H670" s="1402"/>
      <c r="I670" s="1402"/>
      <c r="J670" s="1402"/>
      <c r="K670" s="1402"/>
      <c r="L670" s="1402"/>
      <c r="M670" s="1402"/>
      <c r="N670" s="1402"/>
      <c r="O670" s="1402"/>
      <c r="P670" s="1402"/>
      <c r="Q670" s="1402"/>
      <c r="R670" s="1402"/>
      <c r="T670" s="22"/>
      <c r="U670" t="s">
        <v>17</v>
      </c>
      <c r="Z670" s="1463"/>
      <c r="AA670" s="1463"/>
      <c r="AB670" s="1463"/>
      <c r="AC670" s="1463"/>
      <c r="AD670" s="1463"/>
      <c r="AE670" s="1463"/>
      <c r="AF670" s="1463"/>
      <c r="AG670" s="1463"/>
      <c r="AH670" s="1463"/>
      <c r="AI670" s="1463"/>
      <c r="AJ670" s="1463"/>
      <c r="AK670" s="146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2.95" customHeight="1">
      <c r="A671" s="22"/>
      <c r="B671" t="s">
        <v>316</v>
      </c>
      <c r="G671" s="1424" t="s">
        <v>2658</v>
      </c>
      <c r="H671" s="1425"/>
      <c r="I671" s="1425"/>
      <c r="J671" s="1425"/>
      <c r="K671" s="1425"/>
      <c r="L671" s="1425"/>
      <c r="O671" s="33" t="s">
        <v>206</v>
      </c>
      <c r="P671" s="1478"/>
      <c r="Q671" s="1478"/>
      <c r="R671" s="1478"/>
      <c r="T671" s="22"/>
      <c r="U671" t="s">
        <v>316</v>
      </c>
      <c r="Z671" s="1425"/>
      <c r="AA671" s="1425"/>
      <c r="AB671" s="1425"/>
      <c r="AC671" s="1425"/>
      <c r="AD671" s="1425"/>
      <c r="AE671" s="1425"/>
      <c r="AH671" s="33" t="s">
        <v>206</v>
      </c>
      <c r="AI671" s="1478"/>
      <c r="AJ671" s="1478"/>
      <c r="AK671" s="147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2.95" customHeight="1">
      <c r="A672" s="22"/>
      <c r="B672" t="s">
        <v>18</v>
      </c>
      <c r="H672" s="1402" t="s">
        <v>2060</v>
      </c>
      <c r="I672" s="1402"/>
      <c r="J672" s="1402"/>
      <c r="K672" s="1402"/>
      <c r="L672" s="1402"/>
      <c r="M672" s="1402"/>
      <c r="N672" s="1402"/>
      <c r="O672" s="1402"/>
      <c r="P672" s="1402"/>
      <c r="Q672" s="1402"/>
      <c r="R672" s="1402"/>
      <c r="T672" s="22"/>
      <c r="U672" t="s">
        <v>18</v>
      </c>
      <c r="AA672" s="1402"/>
      <c r="AB672" s="1402"/>
      <c r="AC672" s="1402"/>
      <c r="AD672" s="1402"/>
      <c r="AE672" s="1402"/>
      <c r="AF672" s="1402"/>
      <c r="AG672" s="1402"/>
      <c r="AH672" s="1402"/>
      <c r="AI672" s="1402"/>
      <c r="AJ672" s="1402"/>
      <c r="AK672" s="140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2.95" customHeight="1">
      <c r="A673" s="22"/>
      <c r="B673" t="s">
        <v>20</v>
      </c>
      <c r="N673" s="1410" t="s">
        <v>668</v>
      </c>
      <c r="O673" s="1410"/>
      <c r="T673" s="22"/>
      <c r="U673" t="s">
        <v>20</v>
      </c>
      <c r="AG673" s="1410" t="s">
        <v>668</v>
      </c>
      <c r="AH673" s="141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2.95" customHeight="1">
      <c r="A675" s="55" t="s">
        <v>454</v>
      </c>
      <c r="B675" t="s">
        <v>462</v>
      </c>
      <c r="G675" s="1490">
        <f>C641</f>
        <v>0</v>
      </c>
      <c r="H675" s="1490"/>
      <c r="I675" s="1490"/>
      <c r="J675" s="1490"/>
      <c r="K675" s="1490"/>
      <c r="L675" s="1490"/>
      <c r="M675" s="1490"/>
      <c r="N675" s="1490"/>
      <c r="O675" s="1490"/>
      <c r="P675" s="1490"/>
      <c r="Q675" s="1490"/>
      <c r="R675" s="1490"/>
      <c r="T675" s="55" t="s">
        <v>455</v>
      </c>
      <c r="U675" t="s">
        <v>462</v>
      </c>
      <c r="Z675" s="1490">
        <f>C642</f>
        <v>0</v>
      </c>
      <c r="AA675" s="1490"/>
      <c r="AB675" s="1490"/>
      <c r="AC675" s="1490"/>
      <c r="AD675" s="1490"/>
      <c r="AE675" s="1490"/>
      <c r="AF675" s="1490"/>
      <c r="AG675" s="1490"/>
      <c r="AH675" s="1490"/>
      <c r="AI675" s="1490"/>
      <c r="AJ675" s="1490"/>
      <c r="AK675" s="149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2.95" customHeight="1">
      <c r="A676" s="22"/>
      <c r="B676" t="s">
        <v>85</v>
      </c>
      <c r="G676" s="1402"/>
      <c r="H676" s="1402"/>
      <c r="I676" s="1402"/>
      <c r="J676" s="1402"/>
      <c r="K676" s="1402"/>
      <c r="L676" s="1402"/>
      <c r="M676" s="1402"/>
      <c r="N676" s="1402"/>
      <c r="O676" s="1402"/>
      <c r="P676" s="1402"/>
      <c r="Q676" s="1402"/>
      <c r="R676" s="1402"/>
      <c r="T676" s="22"/>
      <c r="U676" t="s">
        <v>85</v>
      </c>
      <c r="Z676" s="1402"/>
      <c r="AA676" s="1402"/>
      <c r="AB676" s="1402"/>
      <c r="AC676" s="1402"/>
      <c r="AD676" s="1402"/>
      <c r="AE676" s="1402"/>
      <c r="AF676" s="1402"/>
      <c r="AG676" s="1402"/>
      <c r="AH676" s="1402"/>
      <c r="AI676" s="1402"/>
      <c r="AJ676" s="1402"/>
      <c r="AK676" s="140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2.95" customHeight="1">
      <c r="A677" s="22"/>
      <c r="B677" t="s">
        <v>579</v>
      </c>
      <c r="G677" s="1402"/>
      <c r="H677" s="1402"/>
      <c r="I677" s="1402"/>
      <c r="J677" s="1402"/>
      <c r="K677" s="1402"/>
      <c r="L677" s="1402"/>
      <c r="M677" s="1402"/>
      <c r="N677" s="1402"/>
      <c r="O677" s="1402"/>
      <c r="P677" s="1402"/>
      <c r="Q677" s="1402"/>
      <c r="R677" s="1402"/>
      <c r="T677" s="22"/>
      <c r="U677" t="s">
        <v>579</v>
      </c>
      <c r="Z677" s="1463"/>
      <c r="AA677" s="1463"/>
      <c r="AB677" s="1463"/>
      <c r="AC677" s="1463"/>
      <c r="AD677" s="1463"/>
      <c r="AE677" s="1463"/>
      <c r="AF677" s="1463"/>
      <c r="AG677" s="1463"/>
      <c r="AH677" s="1463"/>
      <c r="AI677" s="1463"/>
      <c r="AJ677" s="1463"/>
      <c r="AK677" s="146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2.95" customHeight="1">
      <c r="A678" s="22"/>
      <c r="B678" t="s">
        <v>17</v>
      </c>
      <c r="G678" s="1402"/>
      <c r="H678" s="1402"/>
      <c r="I678" s="1402"/>
      <c r="J678" s="1402"/>
      <c r="K678" s="1402"/>
      <c r="L678" s="1402"/>
      <c r="M678" s="1402"/>
      <c r="N678" s="1402"/>
      <c r="O678" s="1402"/>
      <c r="P678" s="1402"/>
      <c r="Q678" s="1402"/>
      <c r="R678" s="1402"/>
      <c r="T678" s="22"/>
      <c r="U678" t="s">
        <v>17</v>
      </c>
      <c r="Z678" s="1463"/>
      <c r="AA678" s="1463"/>
      <c r="AB678" s="1463"/>
      <c r="AC678" s="1463"/>
      <c r="AD678" s="1463"/>
      <c r="AE678" s="1463"/>
      <c r="AF678" s="1463"/>
      <c r="AG678" s="1463"/>
      <c r="AH678" s="1463"/>
      <c r="AI678" s="1463"/>
      <c r="AJ678" s="1463"/>
      <c r="AK678" s="146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0</v>
      </c>
      <c r="DY678" s="1383"/>
      <c r="DZ678" s="1383"/>
      <c r="EA678" s="1383"/>
      <c r="EB678" s="1383"/>
      <c r="EC678" s="1383">
        <f>SUMIF(EC643:EG677,"&gt;0")</f>
        <v>817.3</v>
      </c>
      <c r="ED678" s="1383"/>
      <c r="EE678" s="1383"/>
      <c r="EF678" s="1383"/>
      <c r="EG678" s="1383"/>
      <c r="EH678" s="1383">
        <f>SUMIF(EH643:EL677,"&gt;0")</f>
        <v>1294.5</v>
      </c>
      <c r="EI678" s="1383"/>
      <c r="EJ678" s="1383"/>
      <c r="EK678" s="1383"/>
      <c r="EL678" s="1383"/>
      <c r="EM678" s="1383">
        <f>SUMIF(EM643:EQ677,"&gt;0")</f>
        <v>1644.25</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2.95" customHeight="1">
      <c r="A679" s="22"/>
      <c r="B679" t="s">
        <v>316</v>
      </c>
      <c r="G679" s="1425"/>
      <c r="H679" s="1425"/>
      <c r="I679" s="1425"/>
      <c r="J679" s="1425"/>
      <c r="K679" s="1425"/>
      <c r="L679" s="1425"/>
      <c r="O679" s="33" t="s">
        <v>206</v>
      </c>
      <c r="P679" s="1478"/>
      <c r="Q679" s="1478"/>
      <c r="R679" s="1478"/>
      <c r="T679" s="22"/>
      <c r="U679" t="s">
        <v>316</v>
      </c>
      <c r="Z679" s="1425"/>
      <c r="AA679" s="1425"/>
      <c r="AB679" s="1425"/>
      <c r="AC679" s="1425"/>
      <c r="AD679" s="1425"/>
      <c r="AE679" s="1425"/>
      <c r="AH679" s="33" t="s">
        <v>206</v>
      </c>
      <c r="AI679" s="1478"/>
      <c r="AJ679" s="1478"/>
      <c r="AK679" s="147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02"/>
      <c r="I680" s="1402"/>
      <c r="J680" s="1402"/>
      <c r="K680" s="1402"/>
      <c r="L680" s="1402"/>
      <c r="M680" s="1402"/>
      <c r="N680" s="1402"/>
      <c r="O680" s="1402"/>
      <c r="P680" s="1402"/>
      <c r="Q680" s="1402"/>
      <c r="R680" s="1402"/>
      <c r="T680" s="22"/>
      <c r="U680" t="s">
        <v>18</v>
      </c>
      <c r="AA680" s="1402"/>
      <c r="AB680" s="1402"/>
      <c r="AC680" s="1402"/>
      <c r="AD680" s="1402"/>
      <c r="AE680" s="1402"/>
      <c r="AF680" s="1402"/>
      <c r="AG680" s="1402"/>
      <c r="AH680" s="1402"/>
      <c r="AI680" s="1402"/>
      <c r="AJ680" s="1402"/>
      <c r="AK680" s="140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10" t="s">
        <v>668</v>
      </c>
      <c r="O681" s="1410"/>
      <c r="T681" s="22"/>
      <c r="U681" t="s">
        <v>20</v>
      </c>
      <c r="AG681" s="1410" t="s">
        <v>668</v>
      </c>
      <c r="AH681" s="1410"/>
      <c r="AZ681" s="3"/>
    </row>
    <row r="682" spans="1:157" ht="12.95" customHeight="1">
      <c r="A682" s="22"/>
      <c r="T682" s="22"/>
      <c r="AZ682" s="3"/>
    </row>
    <row r="683" spans="1:157" ht="12.95" customHeight="1">
      <c r="A683" s="55" t="s">
        <v>460</v>
      </c>
      <c r="B683" t="s">
        <v>462</v>
      </c>
      <c r="G683" s="1490">
        <f>C643</f>
        <v>0</v>
      </c>
      <c r="H683" s="1490"/>
      <c r="I683" s="1490"/>
      <c r="J683" s="1490"/>
      <c r="K683" s="1490"/>
      <c r="L683" s="1490"/>
      <c r="M683" s="1490"/>
      <c r="N683" s="1490"/>
      <c r="O683" s="1490"/>
      <c r="P683" s="1490"/>
      <c r="Q683" s="1490"/>
      <c r="R683" s="1490"/>
      <c r="T683" s="55" t="s">
        <v>645</v>
      </c>
      <c r="U683" t="s">
        <v>462</v>
      </c>
      <c r="Z683" s="1490">
        <f>C644</f>
        <v>0</v>
      </c>
      <c r="AA683" s="1490"/>
      <c r="AB683" s="1490"/>
      <c r="AC683" s="1490"/>
      <c r="AD683" s="1490"/>
      <c r="AE683" s="1490"/>
      <c r="AF683" s="1490"/>
      <c r="AG683" s="1490"/>
      <c r="AH683" s="1490"/>
      <c r="AI683" s="1490"/>
      <c r="AJ683" s="1490"/>
      <c r="AK683" s="1490"/>
      <c r="AZ683" s="3"/>
    </row>
    <row r="684" spans="1:157" ht="12.95" customHeight="1">
      <c r="A684" s="22"/>
      <c r="B684" t="s">
        <v>85</v>
      </c>
      <c r="G684" s="1402"/>
      <c r="H684" s="1402"/>
      <c r="I684" s="1402"/>
      <c r="J684" s="1402"/>
      <c r="K684" s="1402"/>
      <c r="L684" s="1402"/>
      <c r="M684" s="1402"/>
      <c r="N684" s="1402"/>
      <c r="O684" s="1402"/>
      <c r="P684" s="1402"/>
      <c r="Q684" s="1402"/>
      <c r="R684" s="1402"/>
      <c r="T684" s="22"/>
      <c r="U684" t="s">
        <v>85</v>
      </c>
      <c r="Z684" s="1402"/>
      <c r="AA684" s="1402"/>
      <c r="AB684" s="1402"/>
      <c r="AC684" s="1402"/>
      <c r="AD684" s="1402"/>
      <c r="AE684" s="1402"/>
      <c r="AF684" s="1402"/>
      <c r="AG684" s="1402"/>
      <c r="AH684" s="1402"/>
      <c r="AI684" s="1402"/>
      <c r="AJ684" s="1402"/>
      <c r="AK684" s="1402"/>
      <c r="AZ684" s="3"/>
    </row>
    <row r="685" spans="1:157" ht="12.95" customHeight="1">
      <c r="A685" s="22"/>
      <c r="B685" t="s">
        <v>579</v>
      </c>
      <c r="G685" s="1402"/>
      <c r="H685" s="1402"/>
      <c r="I685" s="1402"/>
      <c r="J685" s="1402"/>
      <c r="K685" s="1402"/>
      <c r="L685" s="1402"/>
      <c r="M685" s="1402"/>
      <c r="N685" s="1402"/>
      <c r="O685" s="1402"/>
      <c r="P685" s="1402"/>
      <c r="Q685" s="1402"/>
      <c r="R685" s="1402"/>
      <c r="T685" s="22"/>
      <c r="U685" t="s">
        <v>579</v>
      </c>
      <c r="Z685" s="1463"/>
      <c r="AA685" s="1463"/>
      <c r="AB685" s="1463"/>
      <c r="AC685" s="1463"/>
      <c r="AD685" s="1463"/>
      <c r="AE685" s="1463"/>
      <c r="AF685" s="1463"/>
      <c r="AG685" s="1463"/>
      <c r="AH685" s="1463"/>
      <c r="AI685" s="1463"/>
      <c r="AJ685" s="1463"/>
      <c r="AK685" s="1463"/>
      <c r="AZ685" s="3"/>
    </row>
    <row r="686" spans="1:157" ht="12.95" customHeight="1">
      <c r="A686" s="22"/>
      <c r="B686" t="s">
        <v>17</v>
      </c>
      <c r="G686" s="1402"/>
      <c r="H686" s="1402"/>
      <c r="I686" s="1402"/>
      <c r="J686" s="1402"/>
      <c r="K686" s="1402"/>
      <c r="L686" s="1402"/>
      <c r="M686" s="1402"/>
      <c r="N686" s="1402"/>
      <c r="O686" s="1402"/>
      <c r="P686" s="1402"/>
      <c r="Q686" s="1402"/>
      <c r="R686" s="1402"/>
      <c r="T686" s="22"/>
      <c r="U686" t="s">
        <v>17</v>
      </c>
      <c r="Z686" s="1463"/>
      <c r="AA686" s="1463"/>
      <c r="AB686" s="1463"/>
      <c r="AC686" s="1463"/>
      <c r="AD686" s="1463"/>
      <c r="AE686" s="1463"/>
      <c r="AF686" s="1463"/>
      <c r="AG686" s="1463"/>
      <c r="AH686" s="1463"/>
      <c r="AI686" s="1463"/>
      <c r="AJ686" s="1463"/>
      <c r="AK686" s="1463"/>
      <c r="AZ686" s="3"/>
    </row>
    <row r="687" spans="1:157" ht="12.95" customHeight="1">
      <c r="A687" s="22"/>
      <c r="B687" t="s">
        <v>316</v>
      </c>
      <c r="G687" s="1425"/>
      <c r="H687" s="1425"/>
      <c r="I687" s="1425"/>
      <c r="J687" s="1425"/>
      <c r="K687" s="1425"/>
      <c r="L687" s="1425"/>
      <c r="O687" s="33" t="s">
        <v>206</v>
      </c>
      <c r="P687" s="1478"/>
      <c r="Q687" s="1478"/>
      <c r="R687" s="1478"/>
      <c r="T687" s="22"/>
      <c r="U687" t="s">
        <v>316</v>
      </c>
      <c r="Z687" s="1425"/>
      <c r="AA687" s="1425"/>
      <c r="AB687" s="1425"/>
      <c r="AC687" s="1425"/>
      <c r="AD687" s="1425"/>
      <c r="AE687" s="1425"/>
      <c r="AH687" s="33" t="s">
        <v>206</v>
      </c>
      <c r="AI687" s="1478"/>
      <c r="AJ687" s="1478"/>
      <c r="AK687" s="1478"/>
      <c r="AZ687" s="3"/>
    </row>
    <row r="688" spans="1:157" ht="12.95" customHeight="1">
      <c r="A688" s="22"/>
      <c r="B688" t="s">
        <v>18</v>
      </c>
      <c r="H688" s="1402"/>
      <c r="I688" s="1402"/>
      <c r="J688" s="1402"/>
      <c r="K688" s="1402"/>
      <c r="L688" s="1402"/>
      <c r="M688" s="1402"/>
      <c r="N688" s="1402"/>
      <c r="O688" s="1402"/>
      <c r="P688" s="1402"/>
      <c r="Q688" s="1402"/>
      <c r="R688" s="1402"/>
      <c r="T688" s="22"/>
      <c r="U688" t="s">
        <v>18</v>
      </c>
      <c r="AA688" s="1402"/>
      <c r="AB688" s="1402"/>
      <c r="AC688" s="1402"/>
      <c r="AD688" s="1402"/>
      <c r="AE688" s="1402"/>
      <c r="AF688" s="1402"/>
      <c r="AG688" s="1402"/>
      <c r="AH688" s="1402"/>
      <c r="AI688" s="1402"/>
      <c r="AJ688" s="1402"/>
      <c r="AK688" s="1402"/>
      <c r="AZ688" s="3"/>
    </row>
    <row r="689" spans="1:52" ht="12.95" customHeight="1">
      <c r="A689" s="22"/>
      <c r="B689" t="s">
        <v>20</v>
      </c>
      <c r="N689" s="1410" t="s">
        <v>668</v>
      </c>
      <c r="O689" s="1410"/>
      <c r="T689" s="22"/>
      <c r="U689" t="s">
        <v>20</v>
      </c>
      <c r="AG689" s="1410" t="s">
        <v>668</v>
      </c>
      <c r="AH689" s="1410"/>
      <c r="AZ689" s="3"/>
    </row>
    <row r="690" spans="1:52" ht="12.95" customHeight="1">
      <c r="A690" s="22"/>
      <c r="T690" s="22"/>
      <c r="AZ690" s="3"/>
    </row>
    <row r="691" spans="1:52" ht="12.95" customHeight="1">
      <c r="A691" s="55" t="s">
        <v>362</v>
      </c>
      <c r="B691" t="s">
        <v>462</v>
      </c>
      <c r="G691" s="1490">
        <f>C645</f>
        <v>0</v>
      </c>
      <c r="H691" s="1490"/>
      <c r="I691" s="1490"/>
      <c r="J691" s="1490"/>
      <c r="K691" s="1490"/>
      <c r="L691" s="1490"/>
      <c r="M691" s="1490"/>
      <c r="N691" s="1490"/>
      <c r="O691" s="1490"/>
      <c r="P691" s="1490"/>
      <c r="Q691" s="1490"/>
      <c r="R691" s="1490"/>
      <c r="T691" s="55" t="s">
        <v>363</v>
      </c>
      <c r="U691" t="s">
        <v>462</v>
      </c>
      <c r="Z691" s="1490">
        <f>C646</f>
        <v>0</v>
      </c>
      <c r="AA691" s="1490"/>
      <c r="AB691" s="1490"/>
      <c r="AC691" s="1490"/>
      <c r="AD691" s="1490"/>
      <c r="AE691" s="1490"/>
      <c r="AF691" s="1490"/>
      <c r="AG691" s="1490"/>
      <c r="AH691" s="1490"/>
      <c r="AI691" s="1490"/>
      <c r="AJ691" s="1490"/>
      <c r="AK691" s="1490"/>
      <c r="AZ691" s="3"/>
    </row>
    <row r="692" spans="1:52" ht="12.95" customHeight="1">
      <c r="B692" t="s">
        <v>85</v>
      </c>
      <c r="G692" s="1402"/>
      <c r="H692" s="1402"/>
      <c r="I692" s="1402"/>
      <c r="J692" s="1402"/>
      <c r="K692" s="1402"/>
      <c r="L692" s="1402"/>
      <c r="M692" s="1402"/>
      <c r="N692" s="1402"/>
      <c r="O692" s="1402"/>
      <c r="P692" s="1402"/>
      <c r="Q692" s="1402"/>
      <c r="R692" s="1402"/>
      <c r="T692" s="22"/>
      <c r="U692" t="s">
        <v>85</v>
      </c>
      <c r="Z692" s="1402"/>
      <c r="AA692" s="1402"/>
      <c r="AB692" s="1402"/>
      <c r="AC692" s="1402"/>
      <c r="AD692" s="1402"/>
      <c r="AE692" s="1402"/>
      <c r="AF692" s="1402"/>
      <c r="AG692" s="1402"/>
      <c r="AH692" s="1402"/>
      <c r="AI692" s="1402"/>
      <c r="AJ692" s="1402"/>
      <c r="AK692" s="1402"/>
      <c r="AZ692" s="3"/>
    </row>
    <row r="693" spans="1:52" ht="12.95" customHeight="1">
      <c r="B693" t="s">
        <v>579</v>
      </c>
      <c r="G693" s="1402"/>
      <c r="H693" s="1402"/>
      <c r="I693" s="1402"/>
      <c r="J693" s="1402"/>
      <c r="K693" s="1402"/>
      <c r="L693" s="1402"/>
      <c r="M693" s="1402"/>
      <c r="N693" s="1402"/>
      <c r="O693" s="1402"/>
      <c r="P693" s="1402"/>
      <c r="Q693" s="1402"/>
      <c r="R693" s="1402"/>
      <c r="U693" t="s">
        <v>579</v>
      </c>
      <c r="Z693" s="1463"/>
      <c r="AA693" s="1463"/>
      <c r="AB693" s="1463"/>
      <c r="AC693" s="1463"/>
      <c r="AD693" s="1463"/>
      <c r="AE693" s="1463"/>
      <c r="AF693" s="1463"/>
      <c r="AG693" s="1463"/>
      <c r="AH693" s="1463"/>
      <c r="AI693" s="1463"/>
      <c r="AJ693" s="1463"/>
      <c r="AK693" s="1463"/>
      <c r="AZ693" s="3"/>
    </row>
    <row r="694" spans="1:52" ht="12.95" customHeight="1">
      <c r="B694" t="s">
        <v>17</v>
      </c>
      <c r="G694" s="1402"/>
      <c r="H694" s="1402"/>
      <c r="I694" s="1402"/>
      <c r="J694" s="1402"/>
      <c r="K694" s="1402"/>
      <c r="L694" s="1402"/>
      <c r="M694" s="1402"/>
      <c r="N694" s="1402"/>
      <c r="O694" s="1402"/>
      <c r="P694" s="1402"/>
      <c r="Q694" s="1402"/>
      <c r="R694" s="1402"/>
      <c r="U694" t="s">
        <v>17</v>
      </c>
      <c r="Z694" s="1463"/>
      <c r="AA694" s="1463"/>
      <c r="AB694" s="1463"/>
      <c r="AC694" s="1463"/>
      <c r="AD694" s="1463"/>
      <c r="AE694" s="1463"/>
      <c r="AF694" s="1463"/>
      <c r="AG694" s="1463"/>
      <c r="AH694" s="1463"/>
      <c r="AI694" s="1463"/>
      <c r="AJ694" s="1463"/>
      <c r="AK694" s="1463"/>
      <c r="AZ694" s="3"/>
    </row>
    <row r="695" spans="1:52" ht="12.95" customHeight="1">
      <c r="B695" t="s">
        <v>316</v>
      </c>
      <c r="G695" s="1425"/>
      <c r="H695" s="1425"/>
      <c r="I695" s="1425"/>
      <c r="J695" s="1425"/>
      <c r="K695" s="1425"/>
      <c r="L695" s="1425"/>
      <c r="O695" s="33" t="s">
        <v>206</v>
      </c>
      <c r="P695" s="1478"/>
      <c r="Q695" s="1478"/>
      <c r="R695" s="1478"/>
      <c r="U695" t="s">
        <v>316</v>
      </c>
      <c r="Z695" s="1425"/>
      <c r="AA695" s="1425"/>
      <c r="AB695" s="1425"/>
      <c r="AC695" s="1425"/>
      <c r="AD695" s="1425"/>
      <c r="AE695" s="1425"/>
      <c r="AH695" s="33" t="s">
        <v>206</v>
      </c>
      <c r="AI695" s="1478"/>
      <c r="AJ695" s="1478"/>
      <c r="AK695" s="1478"/>
      <c r="AZ695" s="3"/>
    </row>
    <row r="696" spans="1:52" ht="12.95" customHeight="1">
      <c r="B696" t="s">
        <v>18</v>
      </c>
      <c r="H696" s="1402"/>
      <c r="I696" s="1402"/>
      <c r="J696" s="1402"/>
      <c r="K696" s="1402"/>
      <c r="L696" s="1402"/>
      <c r="M696" s="1402"/>
      <c r="N696" s="1402"/>
      <c r="O696" s="1402"/>
      <c r="P696" s="1402"/>
      <c r="Q696" s="1402"/>
      <c r="R696" s="1402"/>
      <c r="U696" t="s">
        <v>18</v>
      </c>
      <c r="AA696" s="1402"/>
      <c r="AB696" s="1402"/>
      <c r="AC696" s="1402"/>
      <c r="AD696" s="1402"/>
      <c r="AE696" s="1402"/>
      <c r="AF696" s="1402"/>
      <c r="AG696" s="1402"/>
      <c r="AH696" s="1402"/>
      <c r="AI696" s="1402"/>
      <c r="AJ696" s="1402"/>
      <c r="AK696" s="1402"/>
      <c r="AZ696" s="3"/>
    </row>
    <row r="697" spans="1:52" ht="12.95" customHeight="1">
      <c r="B697" t="s">
        <v>20</v>
      </c>
      <c r="N697" s="1410" t="s">
        <v>668</v>
      </c>
      <c r="O697" s="1410"/>
      <c r="U697" t="s">
        <v>20</v>
      </c>
      <c r="AG697" s="1410" t="s">
        <v>668</v>
      </c>
      <c r="AH697" s="1410"/>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434</v>
      </c>
      <c r="F701" s="135"/>
      <c r="G701" s="135"/>
      <c r="H701" s="135"/>
      <c r="AE701" s="1410" t="s">
        <v>544</v>
      </c>
      <c r="AF701" s="1410"/>
      <c r="AZ701" s="3"/>
    </row>
    <row r="702" spans="1:52" ht="12.95" customHeight="1">
      <c r="B702" s="135"/>
      <c r="C702" s="135"/>
      <c r="D702" s="136" t="s">
        <v>437</v>
      </c>
      <c r="E702" s="135"/>
      <c r="F702" s="135"/>
      <c r="G702" s="135"/>
      <c r="H702" s="135"/>
      <c r="AE702" s="1410" t="s">
        <v>544</v>
      </c>
      <c r="AF702" s="1410"/>
      <c r="AZ702" s="3"/>
    </row>
    <row r="703" spans="1:52" ht="12.95" customHeight="1">
      <c r="B703" s="135"/>
      <c r="C703" s="135"/>
      <c r="D703" s="136" t="s">
        <v>919</v>
      </c>
      <c r="E703" s="135"/>
      <c r="F703" s="135"/>
      <c r="G703" s="135"/>
      <c r="H703" s="135"/>
      <c r="AE703" s="1531">
        <v>46056</v>
      </c>
      <c r="AF703" s="1531"/>
      <c r="AG703" s="1531"/>
      <c r="AH703" s="1531"/>
      <c r="AI703" s="1531"/>
    </row>
    <row r="704" spans="1:52" ht="12.95" customHeight="1">
      <c r="B704" s="135"/>
      <c r="C704" s="135"/>
      <c r="D704" s="317" t="s">
        <v>982</v>
      </c>
      <c r="E704" s="135"/>
      <c r="F704" s="135"/>
      <c r="G704" s="135"/>
      <c r="H704" s="135"/>
      <c r="AE704" s="1672">
        <v>46154</v>
      </c>
      <c r="AF704" s="1672"/>
      <c r="AG704" s="1672"/>
      <c r="AH704" s="1672"/>
      <c r="AI704" s="1672"/>
    </row>
    <row r="705" spans="1:110" ht="12.95" customHeight="1">
      <c r="B705" s="135"/>
      <c r="C705" s="135"/>
    </row>
    <row r="706" spans="1:110" ht="12.95" customHeight="1">
      <c r="B706" s="135"/>
      <c r="C706" s="135"/>
      <c r="D706" s="136" t="s">
        <v>815</v>
      </c>
      <c r="E706" s="135"/>
      <c r="F706" s="135"/>
      <c r="G706" s="135"/>
      <c r="H706" s="135"/>
      <c r="AE706" s="1531">
        <v>46327</v>
      </c>
      <c r="AF706" s="1531"/>
      <c r="AG706" s="1531"/>
      <c r="AH706" s="1531"/>
      <c r="AI706" s="1531"/>
    </row>
    <row r="707" spans="1:110" ht="12.95" customHeight="1">
      <c r="B707" s="135"/>
      <c r="C707" s="135"/>
      <c r="D707" s="136" t="s">
        <v>435</v>
      </c>
      <c r="E707" s="135"/>
      <c r="F707" s="135"/>
      <c r="G707" s="135"/>
      <c r="H707" s="135"/>
      <c r="AE707" s="1850">
        <v>0.27500000000000002</v>
      </c>
      <c r="AF707" s="1850"/>
      <c r="AG707" s="1850"/>
      <c r="AH707" s="1850"/>
      <c r="AI707" s="1850"/>
    </row>
    <row r="708" spans="1:110" ht="12.95" customHeight="1">
      <c r="B708" s="135"/>
      <c r="C708" s="135"/>
      <c r="D708" s="136" t="s">
        <v>436</v>
      </c>
      <c r="E708" s="135"/>
      <c r="F708" s="135"/>
      <c r="G708" s="135"/>
      <c r="H708" s="135"/>
      <c r="W708" s="1490" t="str">
        <f>H344</f>
        <v>California Municipal Finance Authority</v>
      </c>
      <c r="X708" s="1490"/>
      <c r="Y708" s="1490"/>
      <c r="Z708" s="1490"/>
      <c r="AA708" s="1490"/>
      <c r="AB708" s="1490"/>
      <c r="AC708" s="1490"/>
      <c r="AD708" s="1490"/>
      <c r="AE708" s="1490"/>
      <c r="AF708" s="1490"/>
      <c r="AG708" s="1490"/>
      <c r="AH708" s="1490"/>
      <c r="AI708" s="1490"/>
      <c r="AJ708" s="1490"/>
      <c r="AK708" s="1490"/>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10" t="s">
        <v>668</v>
      </c>
      <c r="AF710" s="1410"/>
    </row>
    <row r="711" spans="1:110" ht="12.95" customHeight="1">
      <c r="B711" s="135"/>
      <c r="C711" s="135"/>
      <c r="D711" s="136" t="s">
        <v>441</v>
      </c>
      <c r="E711" s="135"/>
      <c r="F711" s="135"/>
      <c r="G711" s="135"/>
      <c r="H711" s="135"/>
      <c r="W711" s="1402" t="s">
        <v>590</v>
      </c>
      <c r="X711" s="1402"/>
      <c r="Y711" s="1402"/>
      <c r="Z711" s="1402"/>
      <c r="AA711" s="1402"/>
      <c r="AB711" s="1402"/>
      <c r="AC711" s="1402"/>
      <c r="AD711" s="1402"/>
      <c r="AE711" s="1402"/>
      <c r="AF711" s="1402"/>
      <c r="AG711" s="1402"/>
      <c r="AH711" s="1402"/>
      <c r="AI711" s="1402"/>
      <c r="AJ711" s="1402"/>
      <c r="AK711" s="1402"/>
    </row>
    <row r="712" spans="1:110" ht="12.95" customHeight="1">
      <c r="B712" s="135"/>
      <c r="C712" s="135"/>
      <c r="D712" s="136" t="s">
        <v>87</v>
      </c>
      <c r="E712" s="135"/>
      <c r="F712" s="135"/>
      <c r="G712" s="135"/>
      <c r="H712" s="135"/>
      <c r="J712" s="1402"/>
      <c r="K712" s="1402"/>
      <c r="L712" s="1402"/>
      <c r="M712" s="1402"/>
      <c r="N712" s="1402"/>
      <c r="O712" s="1402"/>
      <c r="P712" s="1402"/>
      <c r="Q712" s="1402"/>
      <c r="R712" s="1402"/>
      <c r="S712" s="1402"/>
      <c r="T712" s="1402"/>
      <c r="U712" s="1402"/>
      <c r="V712" s="1402"/>
      <c r="W712" s="1402"/>
      <c r="X712" s="1402"/>
      <c r="BB712" s="34"/>
      <c r="BC712" s="34"/>
      <c r="BD712" s="34"/>
      <c r="BE712" s="3"/>
      <c r="BF712" s="3"/>
      <c r="BJ712" s="3"/>
      <c r="BK712" s="3"/>
      <c r="BL712" s="3"/>
      <c r="BM712" s="3"/>
      <c r="BN712" s="34"/>
      <c r="BO712" s="34"/>
    </row>
    <row r="713" spans="1:110" ht="12.95" customHeight="1">
      <c r="B713" s="135"/>
      <c r="C713" s="135"/>
      <c r="D713" s="136" t="s">
        <v>88</v>
      </c>
      <c r="J713" s="1425"/>
      <c r="K713" s="1425"/>
      <c r="L713" s="1425"/>
      <c r="M713" s="1425"/>
      <c r="N713" s="1425"/>
      <c r="O713" s="1425"/>
      <c r="P713" s="4" t="s">
        <v>206</v>
      </c>
      <c r="Q713" s="4"/>
      <c r="R713" s="1478"/>
      <c r="S713" s="1478"/>
      <c r="T713" s="147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02" t="s">
        <v>307</v>
      </c>
      <c r="X714" s="1402"/>
      <c r="Y714" s="1402"/>
      <c r="Z714" s="1402"/>
      <c r="AA714" s="1402"/>
      <c r="AB714" s="1402"/>
      <c r="AC714" s="1402"/>
      <c r="AD714" s="1402"/>
      <c r="AE714" s="1402"/>
      <c r="AF714" s="1402"/>
      <c r="AG714" s="1402"/>
      <c r="AH714" s="1402"/>
      <c r="AI714" s="1402"/>
      <c r="AJ714" s="1402"/>
      <c r="AK714" s="140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02" t="s">
        <v>334</v>
      </c>
      <c r="F715" s="1402"/>
      <c r="G715" s="1402"/>
      <c r="H715" s="1402"/>
      <c r="I715" s="1402"/>
      <c r="J715" s="1402"/>
      <c r="K715" s="1402"/>
      <c r="L715" s="1402"/>
      <c r="M715" s="1402"/>
      <c r="N715" s="1402"/>
      <c r="O715" s="1402"/>
      <c r="P715" s="1402"/>
      <c r="Q715" s="1402"/>
      <c r="R715" s="1402"/>
      <c r="S715" s="1402"/>
      <c r="T715" s="1402"/>
      <c r="U715" s="1402"/>
      <c r="V715" s="1402"/>
      <c r="W715" s="1402"/>
      <c r="X715" s="1402"/>
      <c r="Y715" s="1402"/>
      <c r="Z715" s="1402"/>
      <c r="AA715" s="1402"/>
      <c r="AB715" s="1402"/>
      <c r="AC715" s="1402"/>
      <c r="AD715" s="1402"/>
      <c r="AE715" s="1402"/>
      <c r="AF715" s="1402"/>
      <c r="AG715" s="1402"/>
      <c r="AH715" s="1402"/>
      <c r="AI715" s="1402"/>
      <c r="AJ715" s="1402"/>
      <c r="AK715" s="140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4" t="s">
        <v>389</v>
      </c>
      <c r="C722" s="1594"/>
      <c r="D722" s="1594"/>
      <c r="E722" s="1594"/>
      <c r="F722" s="1595"/>
      <c r="G722" s="1604" t="s">
        <v>285</v>
      </c>
      <c r="H722" s="1594"/>
      <c r="I722" s="1594"/>
      <c r="J722" s="1595"/>
      <c r="K722" s="1607" t="s">
        <v>1667</v>
      </c>
      <c r="L722" s="1608"/>
      <c r="M722" s="1608"/>
      <c r="N722" s="1609"/>
      <c r="O722" s="1604" t="s">
        <v>446</v>
      </c>
      <c r="P722" s="1594"/>
      <c r="Q722" s="1594"/>
      <c r="R722" s="1594"/>
      <c r="S722" s="1595"/>
      <c r="T722" s="1593" t="s">
        <v>1922</v>
      </c>
      <c r="U722" s="1594"/>
      <c r="V722" s="1594"/>
      <c r="W722" s="1595"/>
      <c r="X722" s="1593" t="s">
        <v>1924</v>
      </c>
      <c r="Y722" s="1594"/>
      <c r="Z722" s="1594"/>
      <c r="AA722" s="1594"/>
      <c r="AB722" s="1595"/>
      <c r="AC722" s="1593" t="s">
        <v>1923</v>
      </c>
      <c r="AD722" s="1594"/>
      <c r="AE722" s="1594"/>
      <c r="AF722" s="1594"/>
      <c r="AG722" s="1595"/>
      <c r="AH722" s="1593" t="s">
        <v>1925</v>
      </c>
      <c r="AI722" s="1594"/>
      <c r="AJ722" s="1595"/>
      <c r="AK722" s="1593" t="s">
        <v>1952</v>
      </c>
      <c r="AL722" s="1594"/>
      <c r="AM722" s="1594"/>
      <c r="AN722" s="1594"/>
      <c r="AO722" s="159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96"/>
      <c r="C723" s="1597"/>
      <c r="D723" s="1597"/>
      <c r="E723" s="1597"/>
      <c r="F723" s="1598"/>
      <c r="G723" s="1596"/>
      <c r="H723" s="1597"/>
      <c r="I723" s="1597"/>
      <c r="J723" s="1598"/>
      <c r="K723" s="1610"/>
      <c r="L723" s="1611"/>
      <c r="M723" s="1611"/>
      <c r="N723" s="1612"/>
      <c r="O723" s="1596"/>
      <c r="P723" s="1597"/>
      <c r="Q723" s="1597"/>
      <c r="R723" s="1597"/>
      <c r="S723" s="1598"/>
      <c r="T723" s="1596"/>
      <c r="U723" s="1597"/>
      <c r="V723" s="1597"/>
      <c r="W723" s="1598"/>
      <c r="X723" s="1596"/>
      <c r="Y723" s="1597"/>
      <c r="Z723" s="1597"/>
      <c r="AA723" s="1597"/>
      <c r="AB723" s="1598"/>
      <c r="AC723" s="1596"/>
      <c r="AD723" s="1597"/>
      <c r="AE723" s="1597"/>
      <c r="AF723" s="1597"/>
      <c r="AG723" s="1598"/>
      <c r="AH723" s="1596"/>
      <c r="AI723" s="1597"/>
      <c r="AJ723" s="1598"/>
      <c r="AK723" s="1596"/>
      <c r="AL723" s="1597"/>
      <c r="AM723" s="1597"/>
      <c r="AN723" s="1597"/>
      <c r="AO723" s="159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96"/>
      <c r="C724" s="1597"/>
      <c r="D724" s="1597"/>
      <c r="E724" s="1597"/>
      <c r="F724" s="1598"/>
      <c r="G724" s="1596"/>
      <c r="H724" s="1597"/>
      <c r="I724" s="1597"/>
      <c r="J724" s="1598"/>
      <c r="K724" s="1610"/>
      <c r="L724" s="1611"/>
      <c r="M724" s="1611"/>
      <c r="N724" s="1612"/>
      <c r="O724" s="1596"/>
      <c r="P724" s="1597"/>
      <c r="Q724" s="1597"/>
      <c r="R724" s="1597"/>
      <c r="S724" s="1598"/>
      <c r="T724" s="1596"/>
      <c r="U724" s="1597"/>
      <c r="V724" s="1597"/>
      <c r="W724" s="1598"/>
      <c r="X724" s="1596"/>
      <c r="Y724" s="1597"/>
      <c r="Z724" s="1597"/>
      <c r="AA724" s="1597"/>
      <c r="AB724" s="1598"/>
      <c r="AC724" s="1596"/>
      <c r="AD724" s="1597"/>
      <c r="AE724" s="1597"/>
      <c r="AF724" s="1597"/>
      <c r="AG724" s="1598"/>
      <c r="AH724" s="1596"/>
      <c r="AI724" s="1597"/>
      <c r="AJ724" s="1598"/>
      <c r="AK724" s="1596"/>
      <c r="AL724" s="1597"/>
      <c r="AM724" s="1597"/>
      <c r="AN724" s="1597"/>
      <c r="AO724" s="1598"/>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99"/>
      <c r="C725" s="1600"/>
      <c r="D725" s="1600"/>
      <c r="E725" s="1600"/>
      <c r="F725" s="1601"/>
      <c r="G725" s="1599"/>
      <c r="H725" s="1600"/>
      <c r="I725" s="1600"/>
      <c r="J725" s="1601"/>
      <c r="K725" s="1610"/>
      <c r="L725" s="1611"/>
      <c r="M725" s="1611"/>
      <c r="N725" s="1612"/>
      <c r="O725" s="1599"/>
      <c r="P725" s="1600"/>
      <c r="Q725" s="1600"/>
      <c r="R725" s="1600"/>
      <c r="S725" s="1601"/>
      <c r="T725" s="1599"/>
      <c r="U725" s="1600"/>
      <c r="V725" s="1600"/>
      <c r="W725" s="1601"/>
      <c r="X725" s="1599"/>
      <c r="Y725" s="1600"/>
      <c r="Z725" s="1600"/>
      <c r="AA725" s="1600"/>
      <c r="AB725" s="1601"/>
      <c r="AC725" s="1599"/>
      <c r="AD725" s="1600"/>
      <c r="AE725" s="1600"/>
      <c r="AF725" s="1600"/>
      <c r="AG725" s="1601"/>
      <c r="AH725" s="1599"/>
      <c r="AI725" s="1600"/>
      <c r="AJ725" s="1601"/>
      <c r="AK725" s="1599"/>
      <c r="AL725" s="1600"/>
      <c r="AM725" s="1600"/>
      <c r="AN725" s="1600"/>
      <c r="AO725" s="1601"/>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86" t="s">
        <v>632</v>
      </c>
      <c r="CQ725" s="1687"/>
      <c r="CR725" s="1687"/>
      <c r="CS725" s="1687"/>
      <c r="CT725" s="1688"/>
      <c r="CU725" s="1384" t="s">
        <v>325</v>
      </c>
      <c r="CV725" s="1384"/>
      <c r="CW725" s="1384"/>
      <c r="CX725" s="1384"/>
      <c r="CY725" s="1384"/>
      <c r="CZ725" s="1384" t="s">
        <v>163</v>
      </c>
      <c r="DA725" s="1384"/>
      <c r="DB725" s="1384"/>
      <c r="DC725" s="1384"/>
      <c r="DD725" s="1384"/>
      <c r="DE725" s="1384" t="s">
        <v>164</v>
      </c>
      <c r="DF725" s="1384"/>
      <c r="DG725" s="1384"/>
      <c r="DH725" s="1384"/>
      <c r="DI725" s="1384"/>
      <c r="DJ725" s="1384" t="s">
        <v>459</v>
      </c>
      <c r="DK725" s="1384"/>
      <c r="DL725" s="1384"/>
      <c r="DM725" s="1384"/>
      <c r="DN725" s="1384"/>
      <c r="DO725" s="1384" t="s">
        <v>30</v>
      </c>
      <c r="DP725" s="1384"/>
      <c r="DQ725" s="1384"/>
      <c r="DR725" s="1384"/>
      <c r="DS725" s="1384"/>
      <c r="DT725" s="89"/>
      <c r="DU725" s="1384" t="s">
        <v>632</v>
      </c>
      <c r="DV725" s="1384"/>
      <c r="DW725" s="1384"/>
      <c r="DX725" s="1384"/>
      <c r="DY725" s="1384"/>
      <c r="DZ725" s="1384" t="s">
        <v>325</v>
      </c>
      <c r="EA725" s="1384"/>
      <c r="EB725" s="1384"/>
      <c r="EC725" s="1384"/>
      <c r="ED725" s="1384"/>
      <c r="EE725" s="1384" t="s">
        <v>163</v>
      </c>
      <c r="EF725" s="1384"/>
      <c r="EG725" s="1384"/>
      <c r="EH725" s="1384"/>
      <c r="EI725" s="1384"/>
      <c r="EJ725" s="1384" t="s">
        <v>164</v>
      </c>
      <c r="EK725" s="1384"/>
      <c r="EL725" s="1384"/>
      <c r="EM725" s="1384"/>
      <c r="EN725" s="1384"/>
      <c r="EO725" s="1384" t="s">
        <v>459</v>
      </c>
      <c r="EP725" s="1384"/>
      <c r="EQ725" s="1384"/>
      <c r="ER725" s="1384"/>
      <c r="ES725" s="1384"/>
      <c r="ET725" s="1384" t="s">
        <v>30</v>
      </c>
      <c r="EU725" s="1384"/>
      <c r="EV725" s="1384"/>
      <c r="EW725" s="1384"/>
      <c r="EX725" s="1384"/>
      <c r="EY725" s="4"/>
      <c r="EZ725" s="1384" t="s">
        <v>632</v>
      </c>
      <c r="FA725" s="1384"/>
      <c r="FB725" s="1384"/>
      <c r="FC725" s="1384"/>
      <c r="FD725" s="1384"/>
      <c r="FE725" s="1384" t="s">
        <v>325</v>
      </c>
      <c r="FF725" s="1384"/>
      <c r="FG725" s="1384"/>
      <c r="FH725" s="1384"/>
      <c r="FI725" s="1384"/>
      <c r="FJ725" s="1384" t="s">
        <v>163</v>
      </c>
      <c r="FK725" s="1384"/>
      <c r="FL725" s="1384"/>
      <c r="FM725" s="1384"/>
      <c r="FN725" s="1384"/>
      <c r="FO725" s="1384" t="s">
        <v>164</v>
      </c>
      <c r="FP725" s="1384"/>
      <c r="FQ725" s="1384"/>
      <c r="FR725" s="1384"/>
      <c r="FS725" s="1384"/>
      <c r="FT725" s="1384" t="s">
        <v>459</v>
      </c>
      <c r="FU725" s="1384"/>
      <c r="FV725" s="1384"/>
      <c r="FW725" s="1384"/>
      <c r="FX725" s="1384"/>
      <c r="FY725" s="1384" t="s">
        <v>30</v>
      </c>
      <c r="FZ725" s="1384"/>
      <c r="GA725" s="1384"/>
      <c r="GB725" s="1384"/>
      <c r="GC725" s="1384"/>
    </row>
    <row r="726" spans="1:185" ht="12.95" customHeight="1">
      <c r="A726" s="4"/>
      <c r="B726" s="1362" t="s">
        <v>325</v>
      </c>
      <c r="C726" s="1363"/>
      <c r="D726" s="1363"/>
      <c r="E726" s="1363"/>
      <c r="F726" s="1364"/>
      <c r="G726" s="1371">
        <v>7</v>
      </c>
      <c r="H726" s="1372"/>
      <c r="I726" s="1372"/>
      <c r="J726" s="1373"/>
      <c r="K726" s="1586">
        <v>589</v>
      </c>
      <c r="L726" s="1587"/>
      <c r="M726" s="1587"/>
      <c r="N726" s="1588"/>
      <c r="O726" s="1378">
        <v>700</v>
      </c>
      <c r="P726" s="1379"/>
      <c r="Q726" s="1379"/>
      <c r="R726" s="1379"/>
      <c r="S726" s="1380"/>
      <c r="T726" s="1378">
        <v>81</v>
      </c>
      <c r="U726" s="1379"/>
      <c r="V726" s="1379"/>
      <c r="W726" s="1380"/>
      <c r="X726" s="1365">
        <f t="shared" ref="X726:X749" si="10">O726+T726</f>
        <v>781</v>
      </c>
      <c r="Y726" s="1366"/>
      <c r="Z726" s="1366"/>
      <c r="AA726" s="1366"/>
      <c r="AB726" s="1367"/>
      <c r="AC726" s="1375">
        <v>0.3</v>
      </c>
      <c r="AD726" s="1376"/>
      <c r="AE726" s="1376"/>
      <c r="AF726" s="1376"/>
      <c r="AG726" s="1377"/>
      <c r="AH726" s="1368">
        <f>IF($AC726&gt;0,($X726/$AZ726), "")</f>
        <v>0.29969301611665389</v>
      </c>
      <c r="AI726" s="1369"/>
      <c r="AJ726" s="1370"/>
      <c r="AK726" s="1362" t="s">
        <v>1042</v>
      </c>
      <c r="AL726" s="1363"/>
      <c r="AM726" s="1363"/>
      <c r="AN726" s="1363"/>
      <c r="AO726" s="1364"/>
      <c r="AP726" s="3"/>
      <c r="AQ726" s="3"/>
      <c r="AR726" s="3"/>
      <c r="AS726" s="3"/>
      <c r="AZ726" s="118">
        <f t="shared" ref="AZ726:AZ760" si="11">IF($G726=0,"N/A",VLOOKUP($T$189,TC_Rent,(MATCH($B726,bedrooms,FALSE)),FALSE))</f>
        <v>2606</v>
      </c>
      <c r="BA726" s="3"/>
      <c r="BB726" s="3"/>
      <c r="BC726" s="3"/>
      <c r="BD726" s="3"/>
      <c r="BE726" s="204"/>
      <c r="BF726" s="293">
        <f t="shared" ref="BF726:BF760" si="12">G726</f>
        <v>7</v>
      </c>
      <c r="BG726" s="297">
        <f t="shared" ref="BG726:BG760" si="13">IF($BF$761=0,0,BF726/$BF$761)</f>
        <v>0.25</v>
      </c>
      <c r="BH726" s="298">
        <f t="shared" ref="BH726:BH760" si="14">IF(BG726=0,"",BG726*AC726)</f>
        <v>7.4999999999999997E-2</v>
      </c>
      <c r="BI726" s="3"/>
      <c r="BJ726" s="3"/>
      <c r="BK726" s="3"/>
      <c r="BL726" s="3"/>
      <c r="BM726" s="3"/>
      <c r="BN726" s="3"/>
      <c r="BS726" s="293">
        <f t="shared" ref="BS726:BS760" si="15">G726</f>
        <v>7</v>
      </c>
      <c r="BT726" s="297">
        <f t="shared" ref="BT726:BT760" si="16">IF($BS$761=0,0,BS726/$BS$761)</f>
        <v>0.25</v>
      </c>
      <c r="BU726" s="298">
        <f t="shared" ref="BU726:BU760" si="17">IF(BT726=0,"",BT726*AH726)</f>
        <v>7.4923254029163472E-2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7</v>
      </c>
      <c r="CN726" s="1344"/>
      <c r="CO726" s="3"/>
      <c r="CP726" s="1339">
        <f t="shared" ref="CP726:CP760" si="20">IF(B726="SRO/Studio",G726,0)</f>
        <v>0</v>
      </c>
      <c r="CQ726" s="1340"/>
      <c r="CR726" s="1340"/>
      <c r="CS726" s="1340"/>
      <c r="CT726" s="1341"/>
      <c r="CU726" s="1361">
        <f t="shared" ref="CU726:CU760" si="21">IF(B726="1 Bedroom",G726,0)</f>
        <v>7</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2">
        <f t="shared" ref="DU726:DU760" si="26">IF(AND(B726="SRO/Studio",AC726&lt;=0.3),G726,0)</f>
        <v>0</v>
      </c>
      <c r="DV726" s="1382"/>
      <c r="DW726" s="1382"/>
      <c r="DX726" s="1382"/>
      <c r="DY726" s="1382"/>
      <c r="DZ726" s="1382">
        <f t="shared" ref="DZ726:DZ760" si="27">IF(AND(B726="1 Bedroom",AC726&lt;=0.3),G726,0)</f>
        <v>7</v>
      </c>
      <c r="EA726" s="1382"/>
      <c r="EB726" s="1382"/>
      <c r="EC726" s="1382"/>
      <c r="ED726" s="1382"/>
      <c r="EE726" s="1382">
        <f t="shared" ref="EE726:EE760" si="28">IF(AND(B726="2 Bedrooms",AC726&lt;=0.3),G726,0)</f>
        <v>0</v>
      </c>
      <c r="EF726" s="1382"/>
      <c r="EG726" s="1382"/>
      <c r="EH726" s="1382"/>
      <c r="EI726" s="1382"/>
      <c r="EJ726" s="1382">
        <f t="shared" ref="EJ726:EJ760" si="29">IF(AND(B726="3 Bedrooms",AC726&lt;=0.3),G726,0)</f>
        <v>0</v>
      </c>
      <c r="EK726" s="1382"/>
      <c r="EL726" s="1382"/>
      <c r="EM726" s="1382"/>
      <c r="EN726" s="1382"/>
      <c r="EO726" s="1382">
        <f t="shared" ref="EO726:EO760" si="30">IF(AND(B726="4 Bedrooms",AC726&lt;=0.3),G726,0)</f>
        <v>0</v>
      </c>
      <c r="EP726" s="1382"/>
      <c r="EQ726" s="1382"/>
      <c r="ER726" s="1382"/>
      <c r="ES726" s="1382"/>
      <c r="ET726" s="1382">
        <f t="shared" ref="ET726:ET760" si="31">IF(AND(B726="5 Bedrooms",AC726&lt;=0.3),G726,0)</f>
        <v>0</v>
      </c>
      <c r="EU726" s="1382"/>
      <c r="EV726" s="1382"/>
      <c r="EW726" s="1382"/>
      <c r="EX726" s="1382"/>
      <c r="EY726" s="4"/>
      <c r="EZ726" s="1358" t="str">
        <f t="shared" ref="EZ726:EZ760" si="32">IF(CP726&gt;0,O726,"")</f>
        <v/>
      </c>
      <c r="FA726" s="1359"/>
      <c r="FB726" s="1359"/>
      <c r="FC726" s="1359"/>
      <c r="FD726" s="1360"/>
      <c r="FE726" s="1358">
        <f t="shared" ref="FE726:FE760" si="33">IF(CU726&gt;0,O726,"")</f>
        <v>700</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62" t="s">
        <v>325</v>
      </c>
      <c r="C727" s="1363"/>
      <c r="D727" s="1363"/>
      <c r="E727" s="1363"/>
      <c r="F727" s="1364"/>
      <c r="G727" s="1371">
        <v>3</v>
      </c>
      <c r="H727" s="1372"/>
      <c r="I727" s="1372"/>
      <c r="J727" s="1373"/>
      <c r="K727" s="1586">
        <v>589</v>
      </c>
      <c r="L727" s="1587"/>
      <c r="M727" s="1587"/>
      <c r="N727" s="1588"/>
      <c r="O727" s="1378">
        <v>1091</v>
      </c>
      <c r="P727" s="1379"/>
      <c r="Q727" s="1379"/>
      <c r="R727" s="1379"/>
      <c r="S727" s="1380"/>
      <c r="T727" s="1378">
        <v>81</v>
      </c>
      <c r="U727" s="1379"/>
      <c r="V727" s="1379"/>
      <c r="W727" s="1380"/>
      <c r="X727" s="1365">
        <f t="shared" si="10"/>
        <v>1172</v>
      </c>
      <c r="Y727" s="1366"/>
      <c r="Z727" s="1366"/>
      <c r="AA727" s="1366"/>
      <c r="AB727" s="1367"/>
      <c r="AC727" s="1375">
        <v>0.45</v>
      </c>
      <c r="AD727" s="1376"/>
      <c r="AE727" s="1376"/>
      <c r="AF727" s="1376"/>
      <c r="AG727" s="1377"/>
      <c r="AH727" s="1368">
        <f t="shared" ref="AH727:AH760" si="38">IF($AC727&gt;0,($X727/$AZ727), "")</f>
        <v>0.44973138910207217</v>
      </c>
      <c r="AI727" s="1369"/>
      <c r="AJ727" s="1370"/>
      <c r="AK727" s="1362" t="s">
        <v>590</v>
      </c>
      <c r="AL727" s="1363"/>
      <c r="AM727" s="1363"/>
      <c r="AN727" s="1363"/>
      <c r="AO727" s="1364"/>
      <c r="AP727" s="3"/>
      <c r="AQ727" s="3"/>
      <c r="AR727" s="3"/>
      <c r="AS727" s="3"/>
      <c r="AZ727" s="118">
        <f t="shared" si="11"/>
        <v>2606</v>
      </c>
      <c r="BA727" s="3"/>
      <c r="BB727" s="3"/>
      <c r="BC727" s="3"/>
      <c r="BD727" s="3"/>
      <c r="BE727" s="204"/>
      <c r="BF727" s="294">
        <f t="shared" si="12"/>
        <v>3</v>
      </c>
      <c r="BG727" s="297">
        <f t="shared" si="13"/>
        <v>0.10714285714285714</v>
      </c>
      <c r="BH727" s="298">
        <f t="shared" si="14"/>
        <v>4.821428571428571E-2</v>
      </c>
      <c r="BI727" s="3"/>
      <c r="BJ727" s="3"/>
      <c r="BK727" s="3"/>
      <c r="BL727" s="3"/>
      <c r="BM727" s="3"/>
      <c r="BN727" s="3"/>
      <c r="BS727" s="294">
        <f t="shared" si="15"/>
        <v>3</v>
      </c>
      <c r="BT727" s="297">
        <f t="shared" si="16"/>
        <v>0.10714285714285714</v>
      </c>
      <c r="BU727" s="298">
        <f t="shared" si="17"/>
        <v>4.8185505975222018E-2</v>
      </c>
      <c r="CC727" s="3"/>
      <c r="CD727" s="3"/>
      <c r="CE727" s="3"/>
      <c r="CF727" s="3"/>
      <c r="CG727" s="1358">
        <f t="shared" ref="CG727:CG760" si="39">IF(AND(AC727&lt;=0.5,AC727&gt;=0.36),1,0)</f>
        <v>1</v>
      </c>
      <c r="CH727" s="1360"/>
      <c r="CI727" s="1342">
        <f t="shared" ref="CI727:CI760" si="40">IF(CG727=1,G727,0)</f>
        <v>3</v>
      </c>
      <c r="CJ727" s="1344"/>
      <c r="CK727" s="1358">
        <f t="shared" si="18"/>
        <v>0</v>
      </c>
      <c r="CL727" s="1360"/>
      <c r="CM727" s="1342">
        <f t="shared" si="19"/>
        <v>0</v>
      </c>
      <c r="CN727" s="1344"/>
      <c r="CO727" s="3"/>
      <c r="CP727" s="1339">
        <f t="shared" si="20"/>
        <v>0</v>
      </c>
      <c r="CQ727" s="1340"/>
      <c r="CR727" s="1340"/>
      <c r="CS727" s="1340"/>
      <c r="CT727" s="1341"/>
      <c r="CU727" s="1361">
        <f t="shared" si="21"/>
        <v>3</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2">
        <f t="shared" si="26"/>
        <v>0</v>
      </c>
      <c r="DV727" s="1382"/>
      <c r="DW727" s="1382"/>
      <c r="DX727" s="1382"/>
      <c r="DY727" s="1382"/>
      <c r="DZ727" s="1382">
        <f t="shared" si="27"/>
        <v>0</v>
      </c>
      <c r="EA727" s="1382"/>
      <c r="EB727" s="1382"/>
      <c r="EC727" s="1382"/>
      <c r="ED727" s="1382"/>
      <c r="EE727" s="1382">
        <f t="shared" si="28"/>
        <v>0</v>
      </c>
      <c r="EF727" s="1382"/>
      <c r="EG727" s="1382"/>
      <c r="EH727" s="1382"/>
      <c r="EI727" s="1382"/>
      <c r="EJ727" s="1382">
        <f t="shared" si="29"/>
        <v>0</v>
      </c>
      <c r="EK727" s="1382"/>
      <c r="EL727" s="1382"/>
      <c r="EM727" s="1382"/>
      <c r="EN727" s="1382"/>
      <c r="EO727" s="1382">
        <f t="shared" si="30"/>
        <v>0</v>
      </c>
      <c r="EP727" s="1382"/>
      <c r="EQ727" s="1382"/>
      <c r="ER727" s="1382"/>
      <c r="ES727" s="1382"/>
      <c r="ET727" s="1382">
        <f t="shared" si="31"/>
        <v>0</v>
      </c>
      <c r="EU727" s="1382"/>
      <c r="EV727" s="1382"/>
      <c r="EW727" s="1382"/>
      <c r="EX727" s="1382"/>
      <c r="EY727" s="4"/>
      <c r="EZ727" s="1358" t="str">
        <f t="shared" si="32"/>
        <v/>
      </c>
      <c r="FA727" s="1359"/>
      <c r="FB727" s="1359"/>
      <c r="FC727" s="1359"/>
      <c r="FD727" s="1360"/>
      <c r="FE727" s="1358">
        <f t="shared" si="33"/>
        <v>1091</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62" t="s">
        <v>163</v>
      </c>
      <c r="C728" s="1363"/>
      <c r="D728" s="1363"/>
      <c r="E728" s="1363"/>
      <c r="F728" s="1364"/>
      <c r="G728" s="1371">
        <v>3</v>
      </c>
      <c r="H728" s="1372"/>
      <c r="I728" s="1372"/>
      <c r="J728" s="1373"/>
      <c r="K728" s="1586">
        <v>821</v>
      </c>
      <c r="L728" s="1587"/>
      <c r="M728" s="1587"/>
      <c r="N728" s="1588"/>
      <c r="O728" s="1378">
        <v>841</v>
      </c>
      <c r="P728" s="1379"/>
      <c r="Q728" s="1379"/>
      <c r="R728" s="1379"/>
      <c r="S728" s="1380"/>
      <c r="T728" s="1378">
        <v>97</v>
      </c>
      <c r="U728" s="1379"/>
      <c r="V728" s="1379"/>
      <c r="W728" s="1380"/>
      <c r="X728" s="1365">
        <f t="shared" si="10"/>
        <v>938</v>
      </c>
      <c r="Y728" s="1366"/>
      <c r="Z728" s="1366"/>
      <c r="AA728" s="1366"/>
      <c r="AB728" s="1367"/>
      <c r="AC728" s="1375">
        <v>0.3</v>
      </c>
      <c r="AD728" s="1376"/>
      <c r="AE728" s="1376"/>
      <c r="AF728" s="1376"/>
      <c r="AG728" s="1377"/>
      <c r="AH728" s="1368">
        <f t="shared" si="38"/>
        <v>0.30006397952655151</v>
      </c>
      <c r="AI728" s="1369"/>
      <c r="AJ728" s="1370"/>
      <c r="AK728" s="1362" t="s">
        <v>590</v>
      </c>
      <c r="AL728" s="1363"/>
      <c r="AM728" s="1363"/>
      <c r="AN728" s="1363"/>
      <c r="AO728" s="1364"/>
      <c r="AP728" s="3"/>
      <c r="AQ728" s="3"/>
      <c r="AR728" s="3"/>
      <c r="AS728" s="3"/>
      <c r="AZ728" s="118">
        <f t="shared" si="11"/>
        <v>3126</v>
      </c>
      <c r="BA728" s="3"/>
      <c r="BB728" s="3"/>
      <c r="BC728" s="3"/>
      <c r="BD728" s="3"/>
      <c r="BE728" s="204"/>
      <c r="BF728" s="294">
        <f t="shared" si="12"/>
        <v>3</v>
      </c>
      <c r="BG728" s="297">
        <f t="shared" si="13"/>
        <v>0.10714285714285714</v>
      </c>
      <c r="BH728" s="298">
        <f t="shared" si="14"/>
        <v>3.214285714285714E-2</v>
      </c>
      <c r="BI728" s="3"/>
      <c r="BJ728" s="3"/>
      <c r="BK728" s="3"/>
      <c r="BL728" s="3"/>
      <c r="BM728" s="3"/>
      <c r="BN728" s="3"/>
      <c r="BS728" s="294">
        <f t="shared" si="15"/>
        <v>3</v>
      </c>
      <c r="BT728" s="297">
        <f t="shared" si="16"/>
        <v>0.10714285714285714</v>
      </c>
      <c r="BU728" s="298">
        <f t="shared" si="17"/>
        <v>3.2149712092130515E-2</v>
      </c>
      <c r="CC728" s="3"/>
      <c r="CD728" s="3"/>
      <c r="CE728" s="3"/>
      <c r="CF728" s="3"/>
      <c r="CG728" s="1358">
        <f t="shared" si="39"/>
        <v>0</v>
      </c>
      <c r="CH728" s="1360"/>
      <c r="CI728" s="1342">
        <f t="shared" si="40"/>
        <v>0</v>
      </c>
      <c r="CJ728" s="1344"/>
      <c r="CK728" s="1358">
        <f t="shared" si="18"/>
        <v>1</v>
      </c>
      <c r="CL728" s="1360"/>
      <c r="CM728" s="1342">
        <f t="shared" si="19"/>
        <v>3</v>
      </c>
      <c r="CN728" s="1344"/>
      <c r="CO728" s="3"/>
      <c r="CP728" s="1339">
        <f t="shared" si="20"/>
        <v>0</v>
      </c>
      <c r="CQ728" s="1340"/>
      <c r="CR728" s="1340"/>
      <c r="CS728" s="1340"/>
      <c r="CT728" s="1341"/>
      <c r="CU728" s="1361">
        <f t="shared" si="21"/>
        <v>0</v>
      </c>
      <c r="CV728" s="1361"/>
      <c r="CW728" s="1361"/>
      <c r="CX728" s="1361"/>
      <c r="CY728" s="1361"/>
      <c r="CZ728" s="1361">
        <f t="shared" si="22"/>
        <v>3</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2">
        <f t="shared" si="26"/>
        <v>0</v>
      </c>
      <c r="DV728" s="1382"/>
      <c r="DW728" s="1382"/>
      <c r="DX728" s="1382"/>
      <c r="DY728" s="1382"/>
      <c r="DZ728" s="1382">
        <f t="shared" si="27"/>
        <v>0</v>
      </c>
      <c r="EA728" s="1382"/>
      <c r="EB728" s="1382"/>
      <c r="EC728" s="1382"/>
      <c r="ED728" s="1382"/>
      <c r="EE728" s="1382">
        <f t="shared" si="28"/>
        <v>3</v>
      </c>
      <c r="EF728" s="1382"/>
      <c r="EG728" s="1382"/>
      <c r="EH728" s="1382"/>
      <c r="EI728" s="1382"/>
      <c r="EJ728" s="1382">
        <f t="shared" si="29"/>
        <v>0</v>
      </c>
      <c r="EK728" s="1382"/>
      <c r="EL728" s="1382"/>
      <c r="EM728" s="1382"/>
      <c r="EN728" s="1382"/>
      <c r="EO728" s="1382">
        <f t="shared" si="30"/>
        <v>0</v>
      </c>
      <c r="EP728" s="1382"/>
      <c r="EQ728" s="1382"/>
      <c r="ER728" s="1382"/>
      <c r="ES728" s="1382"/>
      <c r="ET728" s="1382">
        <f t="shared" si="31"/>
        <v>0</v>
      </c>
      <c r="EU728" s="1382"/>
      <c r="EV728" s="1382"/>
      <c r="EW728" s="1382"/>
      <c r="EX728" s="1382"/>
      <c r="EZ728" s="1358" t="str">
        <f t="shared" si="32"/>
        <v/>
      </c>
      <c r="FA728" s="1359"/>
      <c r="FB728" s="1359"/>
      <c r="FC728" s="1359"/>
      <c r="FD728" s="1360"/>
      <c r="FE728" s="1358" t="str">
        <f t="shared" si="33"/>
        <v/>
      </c>
      <c r="FF728" s="1359"/>
      <c r="FG728" s="1359"/>
      <c r="FH728" s="1359"/>
      <c r="FI728" s="1360"/>
      <c r="FJ728" s="1358">
        <f t="shared" si="34"/>
        <v>841</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62" t="s">
        <v>163</v>
      </c>
      <c r="C729" s="1363"/>
      <c r="D729" s="1363"/>
      <c r="E729" s="1363"/>
      <c r="F729" s="1364"/>
      <c r="G729" s="1371">
        <v>3</v>
      </c>
      <c r="H729" s="1372"/>
      <c r="I729" s="1372"/>
      <c r="J729" s="1373"/>
      <c r="K729" s="1586">
        <v>821</v>
      </c>
      <c r="L729" s="1587"/>
      <c r="M729" s="1587"/>
      <c r="N729" s="1588"/>
      <c r="O729" s="1378">
        <v>1310</v>
      </c>
      <c r="P729" s="1379"/>
      <c r="Q729" s="1379"/>
      <c r="R729" s="1379"/>
      <c r="S729" s="1380"/>
      <c r="T729" s="1378">
        <v>97</v>
      </c>
      <c r="U729" s="1379"/>
      <c r="V729" s="1379"/>
      <c r="W729" s="1380"/>
      <c r="X729" s="1365">
        <f t="shared" si="10"/>
        <v>1407</v>
      </c>
      <c r="Y729" s="1366"/>
      <c r="Z729" s="1366"/>
      <c r="AA729" s="1366"/>
      <c r="AB729" s="1367"/>
      <c r="AC729" s="1375">
        <v>0.45</v>
      </c>
      <c r="AD729" s="1376"/>
      <c r="AE729" s="1376"/>
      <c r="AF729" s="1376"/>
      <c r="AG729" s="1377"/>
      <c r="AH729" s="1368">
        <f t="shared" si="38"/>
        <v>0.45009596928982726</v>
      </c>
      <c r="AI729" s="1369"/>
      <c r="AJ729" s="1370"/>
      <c r="AK729" s="1362" t="s">
        <v>590</v>
      </c>
      <c r="AL729" s="1363"/>
      <c r="AM729" s="1363"/>
      <c r="AN729" s="1363"/>
      <c r="AO729" s="1364"/>
      <c r="AP729" s="3"/>
      <c r="AQ729" s="3"/>
      <c r="AR729" s="3"/>
      <c r="AS729" s="3"/>
      <c r="AY729" s="116"/>
      <c r="AZ729" s="118">
        <f t="shared" si="11"/>
        <v>3126</v>
      </c>
      <c r="BA729" s="3"/>
      <c r="BB729" s="3"/>
      <c r="BC729" s="3"/>
      <c r="BD729" s="3"/>
      <c r="BE729" s="204"/>
      <c r="BF729" s="294">
        <f t="shared" si="12"/>
        <v>3</v>
      </c>
      <c r="BG729" s="297">
        <f t="shared" si="13"/>
        <v>0.10714285714285714</v>
      </c>
      <c r="BH729" s="298">
        <f t="shared" si="14"/>
        <v>4.821428571428571E-2</v>
      </c>
      <c r="BI729" s="3"/>
      <c r="BJ729" s="3"/>
      <c r="BK729" s="3"/>
      <c r="BL729" s="3"/>
      <c r="BM729" s="3"/>
      <c r="BN729" s="3"/>
      <c r="BS729" s="294">
        <f t="shared" si="15"/>
        <v>3</v>
      </c>
      <c r="BT729" s="297">
        <f t="shared" si="16"/>
        <v>0.10714285714285714</v>
      </c>
      <c r="BU729" s="298">
        <f t="shared" si="17"/>
        <v>4.8224568138195777E-2</v>
      </c>
      <c r="CC729" s="3"/>
      <c r="CD729" s="3"/>
      <c r="CE729" s="3"/>
      <c r="CF729" s="3"/>
      <c r="CG729" s="1358">
        <f t="shared" si="39"/>
        <v>1</v>
      </c>
      <c r="CH729" s="1360"/>
      <c r="CI729" s="1342">
        <f t="shared" si="40"/>
        <v>3</v>
      </c>
      <c r="CJ729" s="1344"/>
      <c r="CK729" s="1358">
        <f t="shared" si="18"/>
        <v>0</v>
      </c>
      <c r="CL729" s="1360"/>
      <c r="CM729" s="1342">
        <f t="shared" si="19"/>
        <v>0</v>
      </c>
      <c r="CN729" s="1344"/>
      <c r="CO729" s="3"/>
      <c r="CP729" s="1339">
        <f t="shared" si="20"/>
        <v>0</v>
      </c>
      <c r="CQ729" s="1340"/>
      <c r="CR729" s="1340"/>
      <c r="CS729" s="1340"/>
      <c r="CT729" s="1341"/>
      <c r="CU729" s="1361">
        <f t="shared" si="21"/>
        <v>0</v>
      </c>
      <c r="CV729" s="1361"/>
      <c r="CW729" s="1361"/>
      <c r="CX729" s="1361"/>
      <c r="CY729" s="1361"/>
      <c r="CZ729" s="1361">
        <f t="shared" si="22"/>
        <v>3</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2">
        <f t="shared" si="26"/>
        <v>0</v>
      </c>
      <c r="DV729" s="1382"/>
      <c r="DW729" s="1382"/>
      <c r="DX729" s="1382"/>
      <c r="DY729" s="1382"/>
      <c r="DZ729" s="1382">
        <f t="shared" si="27"/>
        <v>0</v>
      </c>
      <c r="EA729" s="1382"/>
      <c r="EB729" s="1382"/>
      <c r="EC729" s="1382"/>
      <c r="ED729" s="1382"/>
      <c r="EE729" s="1382">
        <f t="shared" si="28"/>
        <v>0</v>
      </c>
      <c r="EF729" s="1382"/>
      <c r="EG729" s="1382"/>
      <c r="EH729" s="1382"/>
      <c r="EI729" s="1382"/>
      <c r="EJ729" s="1382">
        <f t="shared" si="29"/>
        <v>0</v>
      </c>
      <c r="EK729" s="1382"/>
      <c r="EL729" s="1382"/>
      <c r="EM729" s="1382"/>
      <c r="EN729" s="1382"/>
      <c r="EO729" s="1382">
        <f t="shared" si="30"/>
        <v>0</v>
      </c>
      <c r="EP729" s="1382"/>
      <c r="EQ729" s="1382"/>
      <c r="ER729" s="1382"/>
      <c r="ES729" s="1382"/>
      <c r="ET729" s="1382">
        <f t="shared" si="31"/>
        <v>0</v>
      </c>
      <c r="EU729" s="1382"/>
      <c r="EV729" s="1382"/>
      <c r="EW729" s="1382"/>
      <c r="EX729" s="1382"/>
      <c r="EZ729" s="1358" t="str">
        <f t="shared" si="32"/>
        <v/>
      </c>
      <c r="FA729" s="1359"/>
      <c r="FB729" s="1359"/>
      <c r="FC729" s="1359"/>
      <c r="FD729" s="1360"/>
      <c r="FE729" s="1358" t="str">
        <f t="shared" si="33"/>
        <v/>
      </c>
      <c r="FF729" s="1359"/>
      <c r="FG729" s="1359"/>
      <c r="FH729" s="1359"/>
      <c r="FI729" s="1360"/>
      <c r="FJ729" s="1358">
        <f t="shared" si="34"/>
        <v>1310</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62" t="s">
        <v>163</v>
      </c>
      <c r="C730" s="1363"/>
      <c r="D730" s="1363"/>
      <c r="E730" s="1363"/>
      <c r="F730" s="1364"/>
      <c r="G730" s="1371">
        <v>4</v>
      </c>
      <c r="H730" s="1372"/>
      <c r="I730" s="1372"/>
      <c r="J730" s="1373"/>
      <c r="K730" s="1586">
        <v>821</v>
      </c>
      <c r="L730" s="1587"/>
      <c r="M730" s="1587"/>
      <c r="N730" s="1588"/>
      <c r="O730" s="1378">
        <v>1623</v>
      </c>
      <c r="P730" s="1379"/>
      <c r="Q730" s="1379"/>
      <c r="R730" s="1379"/>
      <c r="S730" s="1380"/>
      <c r="T730" s="1378">
        <v>97</v>
      </c>
      <c r="U730" s="1379"/>
      <c r="V730" s="1379"/>
      <c r="W730" s="1380"/>
      <c r="X730" s="1365">
        <f t="shared" si="10"/>
        <v>1720</v>
      </c>
      <c r="Y730" s="1366"/>
      <c r="Z730" s="1366"/>
      <c r="AA730" s="1366"/>
      <c r="AB730" s="1367"/>
      <c r="AC730" s="1375">
        <v>0.55000000000000004</v>
      </c>
      <c r="AD730" s="1376"/>
      <c r="AE730" s="1376"/>
      <c r="AF730" s="1376"/>
      <c r="AG730" s="1377"/>
      <c r="AH730" s="1368">
        <f t="shared" si="38"/>
        <v>0.55022392834293021</v>
      </c>
      <c r="AI730" s="1369"/>
      <c r="AJ730" s="1370"/>
      <c r="AK730" s="1362" t="s">
        <v>590</v>
      </c>
      <c r="AL730" s="1363"/>
      <c r="AM730" s="1363"/>
      <c r="AN730" s="1363"/>
      <c r="AO730" s="1364"/>
      <c r="AP730" s="3"/>
      <c r="AQ730" s="3"/>
      <c r="AR730" s="3"/>
      <c r="AS730" s="3"/>
      <c r="AY730" s="116"/>
      <c r="AZ730" s="118">
        <f t="shared" si="11"/>
        <v>3126</v>
      </c>
      <c r="BA730" s="3"/>
      <c r="BB730" s="3"/>
      <c r="BC730" s="3"/>
      <c r="BD730" s="3"/>
      <c r="BE730" s="204"/>
      <c r="BF730" s="294">
        <f t="shared" si="12"/>
        <v>4</v>
      </c>
      <c r="BG730" s="297">
        <f t="shared" si="13"/>
        <v>0.14285714285714285</v>
      </c>
      <c r="BH730" s="298">
        <f t="shared" si="14"/>
        <v>7.857142857142857E-2</v>
      </c>
      <c r="BI730" s="3"/>
      <c r="BJ730" s="3"/>
      <c r="BK730" s="3"/>
      <c r="BL730" s="3"/>
      <c r="BM730" s="3"/>
      <c r="BN730" s="3"/>
      <c r="BS730" s="294">
        <f t="shared" si="15"/>
        <v>4</v>
      </c>
      <c r="BT730" s="297">
        <f t="shared" si="16"/>
        <v>0.14285714285714285</v>
      </c>
      <c r="BU730" s="298">
        <f t="shared" si="17"/>
        <v>7.8603418334704314E-2</v>
      </c>
      <c r="CC730" s="3"/>
      <c r="CD730" s="3"/>
      <c r="CE730" s="3"/>
      <c r="CF730" s="3"/>
      <c r="CG730" s="1358">
        <f t="shared" si="39"/>
        <v>0</v>
      </c>
      <c r="CH730" s="1360"/>
      <c r="CI730" s="1342">
        <f t="shared" si="40"/>
        <v>0</v>
      </c>
      <c r="CJ730" s="1344"/>
      <c r="CK730" s="1358">
        <f t="shared" si="18"/>
        <v>0</v>
      </c>
      <c r="CL730" s="1360"/>
      <c r="CM730" s="1342">
        <f t="shared" si="19"/>
        <v>0</v>
      </c>
      <c r="CN730" s="1344"/>
      <c r="CO730" s="3"/>
      <c r="CP730" s="1339">
        <f t="shared" si="20"/>
        <v>0</v>
      </c>
      <c r="CQ730" s="1340"/>
      <c r="CR730" s="1340"/>
      <c r="CS730" s="1340"/>
      <c r="CT730" s="1341"/>
      <c r="CU730" s="1361">
        <f t="shared" si="21"/>
        <v>0</v>
      </c>
      <c r="CV730" s="1361"/>
      <c r="CW730" s="1361"/>
      <c r="CX730" s="1361"/>
      <c r="CY730" s="1361"/>
      <c r="CZ730" s="1361">
        <f t="shared" si="22"/>
        <v>4</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2">
        <f t="shared" si="26"/>
        <v>0</v>
      </c>
      <c r="DV730" s="1382"/>
      <c r="DW730" s="1382"/>
      <c r="DX730" s="1382"/>
      <c r="DY730" s="1382"/>
      <c r="DZ730" s="1382">
        <f t="shared" si="27"/>
        <v>0</v>
      </c>
      <c r="EA730" s="1382"/>
      <c r="EB730" s="1382"/>
      <c r="EC730" s="1382"/>
      <c r="ED730" s="1382"/>
      <c r="EE730" s="1382">
        <f t="shared" si="28"/>
        <v>0</v>
      </c>
      <c r="EF730" s="1382"/>
      <c r="EG730" s="1382"/>
      <c r="EH730" s="1382"/>
      <c r="EI730" s="1382"/>
      <c r="EJ730" s="1382">
        <f t="shared" si="29"/>
        <v>0</v>
      </c>
      <c r="EK730" s="1382"/>
      <c r="EL730" s="1382"/>
      <c r="EM730" s="1382"/>
      <c r="EN730" s="1382"/>
      <c r="EO730" s="1382">
        <f t="shared" si="30"/>
        <v>0</v>
      </c>
      <c r="EP730" s="1382"/>
      <c r="EQ730" s="1382"/>
      <c r="ER730" s="1382"/>
      <c r="ES730" s="1382"/>
      <c r="ET730" s="1382">
        <f t="shared" si="31"/>
        <v>0</v>
      </c>
      <c r="EU730" s="1382"/>
      <c r="EV730" s="1382"/>
      <c r="EW730" s="1382"/>
      <c r="EX730" s="1382"/>
      <c r="EZ730" s="1358" t="str">
        <f t="shared" si="32"/>
        <v/>
      </c>
      <c r="FA730" s="1359"/>
      <c r="FB730" s="1359"/>
      <c r="FC730" s="1359"/>
      <c r="FD730" s="1360"/>
      <c r="FE730" s="1358" t="str">
        <f t="shared" si="33"/>
        <v/>
      </c>
      <c r="FF730" s="1359"/>
      <c r="FG730" s="1359"/>
      <c r="FH730" s="1359"/>
      <c r="FI730" s="1360"/>
      <c r="FJ730" s="1358">
        <f t="shared" si="34"/>
        <v>1623</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62" t="s">
        <v>164</v>
      </c>
      <c r="C731" s="1363"/>
      <c r="D731" s="1363"/>
      <c r="E731" s="1363"/>
      <c r="F731" s="1364"/>
      <c r="G731" s="1371">
        <v>2</v>
      </c>
      <c r="H731" s="1372"/>
      <c r="I731" s="1372"/>
      <c r="J731" s="1373"/>
      <c r="K731" s="1586">
        <v>1049</v>
      </c>
      <c r="L731" s="1587"/>
      <c r="M731" s="1587"/>
      <c r="N731" s="1588"/>
      <c r="O731" s="1378">
        <v>967</v>
      </c>
      <c r="P731" s="1379"/>
      <c r="Q731" s="1379"/>
      <c r="R731" s="1379"/>
      <c r="S731" s="1380"/>
      <c r="T731" s="1378">
        <v>117</v>
      </c>
      <c r="U731" s="1379"/>
      <c r="V731" s="1379"/>
      <c r="W731" s="1380"/>
      <c r="X731" s="1365">
        <f t="shared" si="10"/>
        <v>1084</v>
      </c>
      <c r="Y731" s="1366"/>
      <c r="Z731" s="1366"/>
      <c r="AA731" s="1366"/>
      <c r="AB731" s="1367"/>
      <c r="AC731" s="1375">
        <v>0.3</v>
      </c>
      <c r="AD731" s="1376"/>
      <c r="AE731" s="1376"/>
      <c r="AF731" s="1376"/>
      <c r="AG731" s="1377"/>
      <c r="AH731" s="1368">
        <f t="shared" si="38"/>
        <v>0.30011074197120707</v>
      </c>
      <c r="AI731" s="1369"/>
      <c r="AJ731" s="1370"/>
      <c r="AK731" s="1362" t="s">
        <v>590</v>
      </c>
      <c r="AL731" s="1363"/>
      <c r="AM731" s="1363"/>
      <c r="AN731" s="1363"/>
      <c r="AO731" s="1364"/>
      <c r="AP731" s="3"/>
      <c r="AQ731" s="3"/>
      <c r="AR731" s="3"/>
      <c r="AS731" s="3"/>
      <c r="AY731" s="116"/>
      <c r="AZ731" s="118">
        <f t="shared" si="11"/>
        <v>3612</v>
      </c>
      <c r="BA731" s="3"/>
      <c r="BB731" s="3"/>
      <c r="BC731" s="3"/>
      <c r="BD731" s="3"/>
      <c r="BE731" s="204"/>
      <c r="BF731" s="294">
        <f t="shared" si="12"/>
        <v>2</v>
      </c>
      <c r="BG731" s="297">
        <f t="shared" si="13"/>
        <v>7.1428571428571425E-2</v>
      </c>
      <c r="BH731" s="298">
        <f t="shared" si="14"/>
        <v>2.1428571428571425E-2</v>
      </c>
      <c r="BI731" s="3"/>
      <c r="BJ731" s="3"/>
      <c r="BK731" s="3"/>
      <c r="BL731" s="3"/>
      <c r="BM731" s="3"/>
      <c r="BN731" s="3"/>
      <c r="BS731" s="294">
        <f t="shared" si="15"/>
        <v>2</v>
      </c>
      <c r="BT731" s="297">
        <f t="shared" si="16"/>
        <v>7.1428571428571425E-2</v>
      </c>
      <c r="BU731" s="298">
        <f t="shared" si="17"/>
        <v>2.1436481569371932E-2</v>
      </c>
      <c r="CC731" s="3"/>
      <c r="CD731" s="3"/>
      <c r="CE731" s="3"/>
      <c r="CF731" s="3"/>
      <c r="CG731" s="1358">
        <f t="shared" si="39"/>
        <v>0</v>
      </c>
      <c r="CH731" s="1360"/>
      <c r="CI731" s="1342">
        <f t="shared" si="40"/>
        <v>0</v>
      </c>
      <c r="CJ731" s="1344"/>
      <c r="CK731" s="1358">
        <f t="shared" si="18"/>
        <v>1</v>
      </c>
      <c r="CL731" s="1360"/>
      <c r="CM731" s="1342">
        <f t="shared" si="19"/>
        <v>2</v>
      </c>
      <c r="CN731" s="1344"/>
      <c r="CO731" s="3"/>
      <c r="CP731" s="1339">
        <f t="shared" si="20"/>
        <v>0</v>
      </c>
      <c r="CQ731" s="1340"/>
      <c r="CR731" s="1340"/>
      <c r="CS731" s="1340"/>
      <c r="CT731" s="1341"/>
      <c r="CU731" s="1361">
        <f t="shared" si="21"/>
        <v>0</v>
      </c>
      <c r="CV731" s="1361"/>
      <c r="CW731" s="1361"/>
      <c r="CX731" s="1361"/>
      <c r="CY731" s="1361"/>
      <c r="CZ731" s="1361">
        <f t="shared" si="22"/>
        <v>0</v>
      </c>
      <c r="DA731" s="1361"/>
      <c r="DB731" s="1361"/>
      <c r="DC731" s="1361"/>
      <c r="DD731" s="1361"/>
      <c r="DE731" s="1361">
        <f t="shared" si="23"/>
        <v>2</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2">
        <f t="shared" si="26"/>
        <v>0</v>
      </c>
      <c r="DV731" s="1382"/>
      <c r="DW731" s="1382"/>
      <c r="DX731" s="1382"/>
      <c r="DY731" s="1382"/>
      <c r="DZ731" s="1382">
        <f t="shared" si="27"/>
        <v>0</v>
      </c>
      <c r="EA731" s="1382"/>
      <c r="EB731" s="1382"/>
      <c r="EC731" s="1382"/>
      <c r="ED731" s="1382"/>
      <c r="EE731" s="1382">
        <f t="shared" si="28"/>
        <v>0</v>
      </c>
      <c r="EF731" s="1382"/>
      <c r="EG731" s="1382"/>
      <c r="EH731" s="1382"/>
      <c r="EI731" s="1382"/>
      <c r="EJ731" s="1382">
        <f t="shared" si="29"/>
        <v>2</v>
      </c>
      <c r="EK731" s="1382"/>
      <c r="EL731" s="1382"/>
      <c r="EM731" s="1382"/>
      <c r="EN731" s="1382"/>
      <c r="EO731" s="1382">
        <f t="shared" si="30"/>
        <v>0</v>
      </c>
      <c r="EP731" s="1382"/>
      <c r="EQ731" s="1382"/>
      <c r="ER731" s="1382"/>
      <c r="ES731" s="1382"/>
      <c r="ET731" s="1382">
        <f t="shared" si="31"/>
        <v>0</v>
      </c>
      <c r="EU731" s="1382"/>
      <c r="EV731" s="1382"/>
      <c r="EW731" s="1382"/>
      <c r="EX731" s="1382"/>
      <c r="EZ731" s="1358" t="str">
        <f t="shared" si="32"/>
        <v/>
      </c>
      <c r="FA731" s="1359"/>
      <c r="FB731" s="1359"/>
      <c r="FC731" s="1359"/>
      <c r="FD731" s="1360"/>
      <c r="FE731" s="1358" t="str">
        <f t="shared" si="33"/>
        <v/>
      </c>
      <c r="FF731" s="1359"/>
      <c r="FG731" s="1359"/>
      <c r="FH731" s="1359"/>
      <c r="FI731" s="1360"/>
      <c r="FJ731" s="1358" t="str">
        <f t="shared" si="34"/>
        <v/>
      </c>
      <c r="FK731" s="1359"/>
      <c r="FL731" s="1359"/>
      <c r="FM731" s="1359"/>
      <c r="FN731" s="1360"/>
      <c r="FO731" s="1358">
        <f t="shared" si="35"/>
        <v>967</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62" t="s">
        <v>164</v>
      </c>
      <c r="C732" s="1363"/>
      <c r="D732" s="1363"/>
      <c r="E732" s="1363"/>
      <c r="F732" s="1364"/>
      <c r="G732" s="1371">
        <v>6</v>
      </c>
      <c r="H732" s="1372"/>
      <c r="I732" s="1372"/>
      <c r="J732" s="1373"/>
      <c r="K732" s="1586">
        <v>1049</v>
      </c>
      <c r="L732" s="1587"/>
      <c r="M732" s="1587"/>
      <c r="N732" s="1588"/>
      <c r="O732" s="1378">
        <v>1870</v>
      </c>
      <c r="P732" s="1379"/>
      <c r="Q732" s="1379"/>
      <c r="R732" s="1379"/>
      <c r="S732" s="1380"/>
      <c r="T732" s="1378">
        <v>117</v>
      </c>
      <c r="U732" s="1379"/>
      <c r="V732" s="1379"/>
      <c r="W732" s="1380"/>
      <c r="X732" s="1365">
        <f t="shared" si="10"/>
        <v>1987</v>
      </c>
      <c r="Y732" s="1366"/>
      <c r="Z732" s="1366"/>
      <c r="AA732" s="1366"/>
      <c r="AB732" s="1367"/>
      <c r="AC732" s="1375">
        <v>0.55000000000000004</v>
      </c>
      <c r="AD732" s="1376"/>
      <c r="AE732" s="1376"/>
      <c r="AF732" s="1376"/>
      <c r="AG732" s="1377"/>
      <c r="AH732" s="1368">
        <f t="shared" si="38"/>
        <v>0.55011074197120713</v>
      </c>
      <c r="AI732" s="1369"/>
      <c r="AJ732" s="1370"/>
      <c r="AK732" s="1362" t="s">
        <v>590</v>
      </c>
      <c r="AL732" s="1363"/>
      <c r="AM732" s="1363"/>
      <c r="AN732" s="1363"/>
      <c r="AO732" s="1364"/>
      <c r="AP732" s="3"/>
      <c r="AQ732" s="3"/>
      <c r="AR732" s="3"/>
      <c r="AS732" s="3"/>
      <c r="AY732" s="116"/>
      <c r="AZ732" s="118">
        <f t="shared" si="11"/>
        <v>3612</v>
      </c>
      <c r="BA732" s="3"/>
      <c r="BB732" s="3"/>
      <c r="BC732" s="3"/>
      <c r="BD732" s="3"/>
      <c r="BE732" s="204"/>
      <c r="BF732" s="294">
        <f t="shared" si="12"/>
        <v>6</v>
      </c>
      <c r="BG732" s="297">
        <f t="shared" si="13"/>
        <v>0.21428571428571427</v>
      </c>
      <c r="BH732" s="298">
        <f t="shared" si="14"/>
        <v>0.11785714285714285</v>
      </c>
      <c r="BI732" s="3"/>
      <c r="BJ732" s="3"/>
      <c r="BK732" s="3"/>
      <c r="BL732" s="3"/>
      <c r="BM732" s="3"/>
      <c r="BN732" s="3"/>
      <c r="BS732" s="294">
        <f t="shared" si="15"/>
        <v>6</v>
      </c>
      <c r="BT732" s="297">
        <f t="shared" si="16"/>
        <v>0.21428571428571427</v>
      </c>
      <c r="BU732" s="298">
        <f t="shared" si="17"/>
        <v>0.11788087327954438</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6</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2">
        <f t="shared" si="26"/>
        <v>0</v>
      </c>
      <c r="DV732" s="1382"/>
      <c r="DW732" s="1382"/>
      <c r="DX732" s="1382"/>
      <c r="DY732" s="1382"/>
      <c r="DZ732" s="1382">
        <f t="shared" si="27"/>
        <v>0</v>
      </c>
      <c r="EA732" s="1382"/>
      <c r="EB732" s="1382"/>
      <c r="EC732" s="1382"/>
      <c r="ED732" s="1382"/>
      <c r="EE732" s="1382">
        <f t="shared" si="28"/>
        <v>0</v>
      </c>
      <c r="EF732" s="1382"/>
      <c r="EG732" s="1382"/>
      <c r="EH732" s="1382"/>
      <c r="EI732" s="1382"/>
      <c r="EJ732" s="1382">
        <f t="shared" si="29"/>
        <v>0</v>
      </c>
      <c r="EK732" s="1382"/>
      <c r="EL732" s="1382"/>
      <c r="EM732" s="1382"/>
      <c r="EN732" s="1382"/>
      <c r="EO732" s="1382">
        <f t="shared" si="30"/>
        <v>0</v>
      </c>
      <c r="EP732" s="1382"/>
      <c r="EQ732" s="1382"/>
      <c r="ER732" s="1382"/>
      <c r="ES732" s="1382"/>
      <c r="ET732" s="1382">
        <f t="shared" si="31"/>
        <v>0</v>
      </c>
      <c r="EU732" s="1382"/>
      <c r="EV732" s="1382"/>
      <c r="EW732" s="1382"/>
      <c r="EX732" s="1382"/>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f t="shared" si="35"/>
        <v>1870</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62"/>
      <c r="C733" s="1363"/>
      <c r="D733" s="1363"/>
      <c r="E733" s="1363"/>
      <c r="F733" s="1364"/>
      <c r="G733" s="1371"/>
      <c r="H733" s="1372"/>
      <c r="I733" s="1372"/>
      <c r="J733" s="1373"/>
      <c r="K733" s="1586"/>
      <c r="L733" s="1587"/>
      <c r="M733" s="1587"/>
      <c r="N733" s="1588"/>
      <c r="O733" s="1378"/>
      <c r="P733" s="1379"/>
      <c r="Q733" s="1379"/>
      <c r="R733" s="1379"/>
      <c r="S733" s="1380"/>
      <c r="T733" s="1378"/>
      <c r="U733" s="1379"/>
      <c r="V733" s="1379"/>
      <c r="W733" s="1380"/>
      <c r="X733" s="1365">
        <f t="shared" si="10"/>
        <v>0</v>
      </c>
      <c r="Y733" s="1366"/>
      <c r="Z733" s="1366"/>
      <c r="AA733" s="1366"/>
      <c r="AB733" s="1367"/>
      <c r="AC733" s="1375"/>
      <c r="AD733" s="1376"/>
      <c r="AE733" s="1376"/>
      <c r="AF733" s="1376"/>
      <c r="AG733" s="1377"/>
      <c r="AH733" s="1368" t="str">
        <f t="shared" si="38"/>
        <v/>
      </c>
      <c r="AI733" s="1369"/>
      <c r="AJ733" s="1370"/>
      <c r="AK733" s="1362" t="s">
        <v>590</v>
      </c>
      <c r="AL733" s="1363"/>
      <c r="AM733" s="1363"/>
      <c r="AN733" s="1363"/>
      <c r="AO733" s="1364"/>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8">
        <f t="shared" si="39"/>
        <v>0</v>
      </c>
      <c r="CH733" s="1360"/>
      <c r="CI733" s="1342">
        <f t="shared" si="40"/>
        <v>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2">
        <f t="shared" si="26"/>
        <v>0</v>
      </c>
      <c r="DV733" s="1382"/>
      <c r="DW733" s="1382"/>
      <c r="DX733" s="1382"/>
      <c r="DY733" s="1382"/>
      <c r="DZ733" s="1382">
        <f t="shared" si="27"/>
        <v>0</v>
      </c>
      <c r="EA733" s="1382"/>
      <c r="EB733" s="1382"/>
      <c r="EC733" s="1382"/>
      <c r="ED733" s="1382"/>
      <c r="EE733" s="1382">
        <f t="shared" si="28"/>
        <v>0</v>
      </c>
      <c r="EF733" s="1382"/>
      <c r="EG733" s="1382"/>
      <c r="EH733" s="1382"/>
      <c r="EI733" s="1382"/>
      <c r="EJ733" s="1382">
        <f t="shared" si="29"/>
        <v>0</v>
      </c>
      <c r="EK733" s="1382"/>
      <c r="EL733" s="1382"/>
      <c r="EM733" s="1382"/>
      <c r="EN733" s="1382"/>
      <c r="EO733" s="1382">
        <f t="shared" si="30"/>
        <v>0</v>
      </c>
      <c r="EP733" s="1382"/>
      <c r="EQ733" s="1382"/>
      <c r="ER733" s="1382"/>
      <c r="ES733" s="1382"/>
      <c r="ET733" s="1382">
        <f t="shared" si="31"/>
        <v>0</v>
      </c>
      <c r="EU733" s="1382"/>
      <c r="EV733" s="1382"/>
      <c r="EW733" s="1382"/>
      <c r="EX733" s="1382"/>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62"/>
      <c r="C734" s="1363"/>
      <c r="D734" s="1363"/>
      <c r="E734" s="1363"/>
      <c r="F734" s="1364"/>
      <c r="G734" s="1371"/>
      <c r="H734" s="1372"/>
      <c r="I734" s="1372"/>
      <c r="J734" s="1373"/>
      <c r="K734" s="1586"/>
      <c r="L734" s="1587"/>
      <c r="M734" s="1587"/>
      <c r="N734" s="1588"/>
      <c r="O734" s="1378"/>
      <c r="P734" s="1379"/>
      <c r="Q734" s="1379"/>
      <c r="R734" s="1379"/>
      <c r="S734" s="1380"/>
      <c r="T734" s="1378"/>
      <c r="U734" s="1379"/>
      <c r="V734" s="1379"/>
      <c r="W734" s="1380"/>
      <c r="X734" s="1365">
        <f t="shared" si="10"/>
        <v>0</v>
      </c>
      <c r="Y734" s="1366"/>
      <c r="Z734" s="1366"/>
      <c r="AA734" s="1366"/>
      <c r="AB734" s="1367"/>
      <c r="AC734" s="1375"/>
      <c r="AD734" s="1376"/>
      <c r="AE734" s="1376"/>
      <c r="AF734" s="1376"/>
      <c r="AG734" s="1377"/>
      <c r="AH734" s="1368" t="str">
        <f t="shared" si="38"/>
        <v/>
      </c>
      <c r="AI734" s="1369"/>
      <c r="AJ734" s="1370"/>
      <c r="AK734" s="1362" t="s">
        <v>590</v>
      </c>
      <c r="AL734" s="1363"/>
      <c r="AM734" s="1363"/>
      <c r="AN734" s="1363"/>
      <c r="AO734" s="136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2">
        <f t="shared" si="26"/>
        <v>0</v>
      </c>
      <c r="DV734" s="1382"/>
      <c r="DW734" s="1382"/>
      <c r="DX734" s="1382"/>
      <c r="DY734" s="1382"/>
      <c r="DZ734" s="1382">
        <f t="shared" si="27"/>
        <v>0</v>
      </c>
      <c r="EA734" s="1382"/>
      <c r="EB734" s="1382"/>
      <c r="EC734" s="1382"/>
      <c r="ED734" s="1382"/>
      <c r="EE734" s="1382">
        <f t="shared" si="28"/>
        <v>0</v>
      </c>
      <c r="EF734" s="1382"/>
      <c r="EG734" s="1382"/>
      <c r="EH734" s="1382"/>
      <c r="EI734" s="1382"/>
      <c r="EJ734" s="1382">
        <f t="shared" si="29"/>
        <v>0</v>
      </c>
      <c r="EK734" s="1382"/>
      <c r="EL734" s="1382"/>
      <c r="EM734" s="1382"/>
      <c r="EN734" s="1382"/>
      <c r="EO734" s="1382">
        <f t="shared" si="30"/>
        <v>0</v>
      </c>
      <c r="EP734" s="1382"/>
      <c r="EQ734" s="1382"/>
      <c r="ER734" s="1382"/>
      <c r="ES734" s="1382"/>
      <c r="ET734" s="1382">
        <f t="shared" si="31"/>
        <v>0</v>
      </c>
      <c r="EU734" s="1382"/>
      <c r="EV734" s="1382"/>
      <c r="EW734" s="1382"/>
      <c r="EX734" s="1382"/>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62"/>
      <c r="C735" s="1363"/>
      <c r="D735" s="1363"/>
      <c r="E735" s="1363"/>
      <c r="F735" s="1364"/>
      <c r="G735" s="1371"/>
      <c r="H735" s="1372"/>
      <c r="I735" s="1372"/>
      <c r="J735" s="1373"/>
      <c r="K735" s="1586"/>
      <c r="L735" s="1587"/>
      <c r="M735" s="1587"/>
      <c r="N735" s="1588"/>
      <c r="O735" s="1378"/>
      <c r="P735" s="1379"/>
      <c r="Q735" s="1379"/>
      <c r="R735" s="1379"/>
      <c r="S735" s="1380"/>
      <c r="T735" s="1378"/>
      <c r="U735" s="1379"/>
      <c r="V735" s="1379"/>
      <c r="W735" s="1380"/>
      <c r="X735" s="1365">
        <f t="shared" si="10"/>
        <v>0</v>
      </c>
      <c r="Y735" s="1366"/>
      <c r="Z735" s="1366"/>
      <c r="AA735" s="1366"/>
      <c r="AB735" s="1367"/>
      <c r="AC735" s="1375"/>
      <c r="AD735" s="1376"/>
      <c r="AE735" s="1376"/>
      <c r="AF735" s="1376"/>
      <c r="AG735" s="1377"/>
      <c r="AH735" s="1368" t="str">
        <f t="shared" si="38"/>
        <v/>
      </c>
      <c r="AI735" s="1369"/>
      <c r="AJ735" s="1370"/>
      <c r="AK735" s="1362" t="s">
        <v>590</v>
      </c>
      <c r="AL735" s="1363"/>
      <c r="AM735" s="1363"/>
      <c r="AN735" s="1363"/>
      <c r="AO735" s="136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2">
        <f t="shared" si="26"/>
        <v>0</v>
      </c>
      <c r="DV735" s="1382"/>
      <c r="DW735" s="1382"/>
      <c r="DX735" s="1382"/>
      <c r="DY735" s="1382"/>
      <c r="DZ735" s="1382">
        <f t="shared" si="27"/>
        <v>0</v>
      </c>
      <c r="EA735" s="1382"/>
      <c r="EB735" s="1382"/>
      <c r="EC735" s="1382"/>
      <c r="ED735" s="1382"/>
      <c r="EE735" s="1382">
        <f t="shared" si="28"/>
        <v>0</v>
      </c>
      <c r="EF735" s="1382"/>
      <c r="EG735" s="1382"/>
      <c r="EH735" s="1382"/>
      <c r="EI735" s="1382"/>
      <c r="EJ735" s="1382">
        <f t="shared" si="29"/>
        <v>0</v>
      </c>
      <c r="EK735" s="1382"/>
      <c r="EL735" s="1382"/>
      <c r="EM735" s="1382"/>
      <c r="EN735" s="1382"/>
      <c r="EO735" s="1382">
        <f t="shared" si="30"/>
        <v>0</v>
      </c>
      <c r="EP735" s="1382"/>
      <c r="EQ735" s="1382"/>
      <c r="ER735" s="1382"/>
      <c r="ES735" s="1382"/>
      <c r="ET735" s="1382">
        <f t="shared" si="31"/>
        <v>0</v>
      </c>
      <c r="EU735" s="1382"/>
      <c r="EV735" s="1382"/>
      <c r="EW735" s="1382"/>
      <c r="EX735" s="1382"/>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62"/>
      <c r="C736" s="1363"/>
      <c r="D736" s="1363"/>
      <c r="E736" s="1363"/>
      <c r="F736" s="1364"/>
      <c r="G736" s="1371"/>
      <c r="H736" s="1372"/>
      <c r="I736" s="1372"/>
      <c r="J736" s="1373"/>
      <c r="K736" s="1586"/>
      <c r="L736" s="1587"/>
      <c r="M736" s="1587"/>
      <c r="N736" s="1588"/>
      <c r="O736" s="1378"/>
      <c r="P736" s="1379"/>
      <c r="Q736" s="1379"/>
      <c r="R736" s="1379"/>
      <c r="S736" s="1380"/>
      <c r="T736" s="1378"/>
      <c r="U736" s="1379"/>
      <c r="V736" s="1379"/>
      <c r="W736" s="1380"/>
      <c r="X736" s="1365">
        <f t="shared" si="10"/>
        <v>0</v>
      </c>
      <c r="Y736" s="1366"/>
      <c r="Z736" s="1366"/>
      <c r="AA736" s="1366"/>
      <c r="AB736" s="1367"/>
      <c r="AC736" s="1375"/>
      <c r="AD736" s="1376"/>
      <c r="AE736" s="1376"/>
      <c r="AF736" s="1376"/>
      <c r="AG736" s="1377"/>
      <c r="AH736" s="1368" t="str">
        <f t="shared" si="38"/>
        <v/>
      </c>
      <c r="AI736" s="1369"/>
      <c r="AJ736" s="1370"/>
      <c r="AK736" s="1362" t="s">
        <v>590</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2">
        <f t="shared" si="26"/>
        <v>0</v>
      </c>
      <c r="DV736" s="1382"/>
      <c r="DW736" s="1382"/>
      <c r="DX736" s="1382"/>
      <c r="DY736" s="1382"/>
      <c r="DZ736" s="1382">
        <f t="shared" si="27"/>
        <v>0</v>
      </c>
      <c r="EA736" s="1382"/>
      <c r="EB736" s="1382"/>
      <c r="EC736" s="1382"/>
      <c r="ED736" s="1382"/>
      <c r="EE736" s="1382">
        <f t="shared" si="28"/>
        <v>0</v>
      </c>
      <c r="EF736" s="1382"/>
      <c r="EG736" s="1382"/>
      <c r="EH736" s="1382"/>
      <c r="EI736" s="1382"/>
      <c r="EJ736" s="1382">
        <f t="shared" si="29"/>
        <v>0</v>
      </c>
      <c r="EK736" s="1382"/>
      <c r="EL736" s="1382"/>
      <c r="EM736" s="1382"/>
      <c r="EN736" s="1382"/>
      <c r="EO736" s="1382">
        <f t="shared" si="30"/>
        <v>0</v>
      </c>
      <c r="EP736" s="1382"/>
      <c r="EQ736" s="1382"/>
      <c r="ER736" s="1382"/>
      <c r="ES736" s="1382"/>
      <c r="ET736" s="1382">
        <f t="shared" si="31"/>
        <v>0</v>
      </c>
      <c r="EU736" s="1382"/>
      <c r="EV736" s="1382"/>
      <c r="EW736" s="1382"/>
      <c r="EX736" s="1382"/>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62"/>
      <c r="C737" s="1363"/>
      <c r="D737" s="1363"/>
      <c r="E737" s="1363"/>
      <c r="F737" s="1364"/>
      <c r="G737" s="1371"/>
      <c r="H737" s="1372"/>
      <c r="I737" s="1372"/>
      <c r="J737" s="1373"/>
      <c r="K737" s="1586"/>
      <c r="L737" s="1587"/>
      <c r="M737" s="1587"/>
      <c r="N737" s="1588"/>
      <c r="O737" s="1378"/>
      <c r="P737" s="1379"/>
      <c r="Q737" s="1379"/>
      <c r="R737" s="1379"/>
      <c r="S737" s="1380"/>
      <c r="T737" s="1378"/>
      <c r="U737" s="1379"/>
      <c r="V737" s="1379"/>
      <c r="W737" s="1380"/>
      <c r="X737" s="1365">
        <f t="shared" si="10"/>
        <v>0</v>
      </c>
      <c r="Y737" s="1366"/>
      <c r="Z737" s="1366"/>
      <c r="AA737" s="1366"/>
      <c r="AB737" s="1367"/>
      <c r="AC737" s="1375"/>
      <c r="AD737" s="1376"/>
      <c r="AE737" s="1376"/>
      <c r="AF737" s="1376"/>
      <c r="AG737" s="1377"/>
      <c r="AH737" s="1368" t="str">
        <f t="shared" si="38"/>
        <v/>
      </c>
      <c r="AI737" s="1369"/>
      <c r="AJ737" s="1370"/>
      <c r="AK737" s="1362" t="s">
        <v>590</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2">
        <f t="shared" si="26"/>
        <v>0</v>
      </c>
      <c r="DV737" s="1382"/>
      <c r="DW737" s="1382"/>
      <c r="DX737" s="1382"/>
      <c r="DY737" s="1382"/>
      <c r="DZ737" s="1382">
        <f t="shared" si="27"/>
        <v>0</v>
      </c>
      <c r="EA737" s="1382"/>
      <c r="EB737" s="1382"/>
      <c r="EC737" s="1382"/>
      <c r="ED737" s="1382"/>
      <c r="EE737" s="1382">
        <f t="shared" si="28"/>
        <v>0</v>
      </c>
      <c r="EF737" s="1382"/>
      <c r="EG737" s="1382"/>
      <c r="EH737" s="1382"/>
      <c r="EI737" s="1382"/>
      <c r="EJ737" s="1382">
        <f t="shared" si="29"/>
        <v>0</v>
      </c>
      <c r="EK737" s="1382"/>
      <c r="EL737" s="1382"/>
      <c r="EM737" s="1382"/>
      <c r="EN737" s="1382"/>
      <c r="EO737" s="1382">
        <f t="shared" si="30"/>
        <v>0</v>
      </c>
      <c r="EP737" s="1382"/>
      <c r="EQ737" s="1382"/>
      <c r="ER737" s="1382"/>
      <c r="ES737" s="1382"/>
      <c r="ET737" s="1382">
        <f t="shared" si="31"/>
        <v>0</v>
      </c>
      <c r="EU737" s="1382"/>
      <c r="EV737" s="1382"/>
      <c r="EW737" s="1382"/>
      <c r="EX737" s="1382"/>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62"/>
      <c r="C738" s="1363"/>
      <c r="D738" s="1363"/>
      <c r="E738" s="1363"/>
      <c r="F738" s="1364"/>
      <c r="G738" s="1371"/>
      <c r="H738" s="1372"/>
      <c r="I738" s="1372"/>
      <c r="J738" s="1373"/>
      <c r="K738" s="1586"/>
      <c r="L738" s="1587"/>
      <c r="M738" s="1587"/>
      <c r="N738" s="1588"/>
      <c r="O738" s="1378"/>
      <c r="P738" s="1379"/>
      <c r="Q738" s="1379"/>
      <c r="R738" s="1379"/>
      <c r="S738" s="1380"/>
      <c r="T738" s="1378"/>
      <c r="U738" s="1379"/>
      <c r="V738" s="1379"/>
      <c r="W738" s="1380"/>
      <c r="X738" s="1365">
        <f t="shared" si="10"/>
        <v>0</v>
      </c>
      <c r="Y738" s="1366"/>
      <c r="Z738" s="1366"/>
      <c r="AA738" s="1366"/>
      <c r="AB738" s="1367"/>
      <c r="AC738" s="1375"/>
      <c r="AD738" s="1376"/>
      <c r="AE738" s="1376"/>
      <c r="AF738" s="1376"/>
      <c r="AG738" s="1377"/>
      <c r="AH738" s="1368" t="str">
        <f t="shared" si="38"/>
        <v/>
      </c>
      <c r="AI738" s="1369"/>
      <c r="AJ738" s="1370"/>
      <c r="AK738" s="1362" t="s">
        <v>590</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2">
        <f t="shared" si="26"/>
        <v>0</v>
      </c>
      <c r="DV738" s="1382"/>
      <c r="DW738" s="1382"/>
      <c r="DX738" s="1382"/>
      <c r="DY738" s="1382"/>
      <c r="DZ738" s="1382">
        <f t="shared" si="27"/>
        <v>0</v>
      </c>
      <c r="EA738" s="1382"/>
      <c r="EB738" s="1382"/>
      <c r="EC738" s="1382"/>
      <c r="ED738" s="1382"/>
      <c r="EE738" s="1382">
        <f t="shared" si="28"/>
        <v>0</v>
      </c>
      <c r="EF738" s="1382"/>
      <c r="EG738" s="1382"/>
      <c r="EH738" s="1382"/>
      <c r="EI738" s="1382"/>
      <c r="EJ738" s="1382">
        <f t="shared" si="29"/>
        <v>0</v>
      </c>
      <c r="EK738" s="1382"/>
      <c r="EL738" s="1382"/>
      <c r="EM738" s="1382"/>
      <c r="EN738" s="1382"/>
      <c r="EO738" s="1382">
        <f t="shared" si="30"/>
        <v>0</v>
      </c>
      <c r="EP738" s="1382"/>
      <c r="EQ738" s="1382"/>
      <c r="ER738" s="1382"/>
      <c r="ES738" s="1382"/>
      <c r="ET738" s="1382">
        <f t="shared" si="31"/>
        <v>0</v>
      </c>
      <c r="EU738" s="1382"/>
      <c r="EV738" s="1382"/>
      <c r="EW738" s="1382"/>
      <c r="EX738" s="1382"/>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62"/>
      <c r="C739" s="1363"/>
      <c r="D739" s="1363"/>
      <c r="E739" s="1363"/>
      <c r="F739" s="1364"/>
      <c r="G739" s="1371"/>
      <c r="H739" s="1372"/>
      <c r="I739" s="1372"/>
      <c r="J739" s="1373"/>
      <c r="K739" s="1586"/>
      <c r="L739" s="1587"/>
      <c r="M739" s="1587"/>
      <c r="N739" s="1588"/>
      <c r="O739" s="1378"/>
      <c r="P739" s="1379"/>
      <c r="Q739" s="1379"/>
      <c r="R739" s="1379"/>
      <c r="S739" s="1380"/>
      <c r="T739" s="1378"/>
      <c r="U739" s="1379"/>
      <c r="V739" s="1379"/>
      <c r="W739" s="1380"/>
      <c r="X739" s="1365">
        <f t="shared" si="10"/>
        <v>0</v>
      </c>
      <c r="Y739" s="1366"/>
      <c r="Z739" s="1366"/>
      <c r="AA739" s="1366"/>
      <c r="AB739" s="1367"/>
      <c r="AC739" s="1375"/>
      <c r="AD739" s="1376"/>
      <c r="AE739" s="1376"/>
      <c r="AF739" s="1376"/>
      <c r="AG739" s="1377"/>
      <c r="AH739" s="1368" t="str">
        <f t="shared" si="38"/>
        <v/>
      </c>
      <c r="AI739" s="1369"/>
      <c r="AJ739" s="1370"/>
      <c r="AK739" s="1362" t="s">
        <v>590</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2">
        <f t="shared" si="26"/>
        <v>0</v>
      </c>
      <c r="DV739" s="1382"/>
      <c r="DW739" s="1382"/>
      <c r="DX739" s="1382"/>
      <c r="DY739" s="1382"/>
      <c r="DZ739" s="1382">
        <f t="shared" si="27"/>
        <v>0</v>
      </c>
      <c r="EA739" s="1382"/>
      <c r="EB739" s="1382"/>
      <c r="EC739" s="1382"/>
      <c r="ED739" s="1382"/>
      <c r="EE739" s="1382">
        <f t="shared" si="28"/>
        <v>0</v>
      </c>
      <c r="EF739" s="1382"/>
      <c r="EG739" s="1382"/>
      <c r="EH739" s="1382"/>
      <c r="EI739" s="1382"/>
      <c r="EJ739" s="1382">
        <f t="shared" si="29"/>
        <v>0</v>
      </c>
      <c r="EK739" s="1382"/>
      <c r="EL739" s="1382"/>
      <c r="EM739" s="1382"/>
      <c r="EN739" s="1382"/>
      <c r="EO739" s="1382">
        <f t="shared" si="30"/>
        <v>0</v>
      </c>
      <c r="EP739" s="1382"/>
      <c r="EQ739" s="1382"/>
      <c r="ER739" s="1382"/>
      <c r="ES739" s="1382"/>
      <c r="ET739" s="1382">
        <f t="shared" si="31"/>
        <v>0</v>
      </c>
      <c r="EU739" s="1382"/>
      <c r="EV739" s="1382"/>
      <c r="EW739" s="1382"/>
      <c r="EX739" s="1382"/>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62"/>
      <c r="C740" s="1363"/>
      <c r="D740" s="1363"/>
      <c r="E740" s="1363"/>
      <c r="F740" s="1364"/>
      <c r="G740" s="1371"/>
      <c r="H740" s="1372"/>
      <c r="I740" s="1372"/>
      <c r="J740" s="1373"/>
      <c r="K740" s="1586"/>
      <c r="L740" s="1587"/>
      <c r="M740" s="1587"/>
      <c r="N740" s="1588"/>
      <c r="O740" s="1378"/>
      <c r="P740" s="1379"/>
      <c r="Q740" s="1379"/>
      <c r="R740" s="1379"/>
      <c r="S740" s="1380"/>
      <c r="T740" s="1378"/>
      <c r="U740" s="1379"/>
      <c r="V740" s="1379"/>
      <c r="W740" s="1380"/>
      <c r="X740" s="1365">
        <f t="shared" si="10"/>
        <v>0</v>
      </c>
      <c r="Y740" s="1366"/>
      <c r="Z740" s="1366"/>
      <c r="AA740" s="1366"/>
      <c r="AB740" s="1367"/>
      <c r="AC740" s="1375"/>
      <c r="AD740" s="1376"/>
      <c r="AE740" s="1376"/>
      <c r="AF740" s="1376"/>
      <c r="AG740" s="1377"/>
      <c r="AH740" s="1368" t="str">
        <f t="shared" si="38"/>
        <v/>
      </c>
      <c r="AI740" s="1369"/>
      <c r="AJ740" s="1370"/>
      <c r="AK740" s="1362" t="s">
        <v>590</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2">
        <f t="shared" si="26"/>
        <v>0</v>
      </c>
      <c r="DV740" s="1382"/>
      <c r="DW740" s="1382"/>
      <c r="DX740" s="1382"/>
      <c r="DY740" s="1382"/>
      <c r="DZ740" s="1382">
        <f t="shared" si="27"/>
        <v>0</v>
      </c>
      <c r="EA740" s="1382"/>
      <c r="EB740" s="1382"/>
      <c r="EC740" s="1382"/>
      <c r="ED740" s="1382"/>
      <c r="EE740" s="1382">
        <f t="shared" si="28"/>
        <v>0</v>
      </c>
      <c r="EF740" s="1382"/>
      <c r="EG740" s="1382"/>
      <c r="EH740" s="1382"/>
      <c r="EI740" s="1382"/>
      <c r="EJ740" s="1382">
        <f t="shared" si="29"/>
        <v>0</v>
      </c>
      <c r="EK740" s="1382"/>
      <c r="EL740" s="1382"/>
      <c r="EM740" s="1382"/>
      <c r="EN740" s="1382"/>
      <c r="EO740" s="1382">
        <f t="shared" si="30"/>
        <v>0</v>
      </c>
      <c r="EP740" s="1382"/>
      <c r="EQ740" s="1382"/>
      <c r="ER740" s="1382"/>
      <c r="ES740" s="1382"/>
      <c r="ET740" s="1382">
        <f t="shared" si="31"/>
        <v>0</v>
      </c>
      <c r="EU740" s="1382"/>
      <c r="EV740" s="1382"/>
      <c r="EW740" s="1382"/>
      <c r="EX740" s="1382"/>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62"/>
      <c r="C741" s="1363"/>
      <c r="D741" s="1363"/>
      <c r="E741" s="1363"/>
      <c r="F741" s="1364"/>
      <c r="G741" s="1371"/>
      <c r="H741" s="1372"/>
      <c r="I741" s="1372"/>
      <c r="J741" s="1373"/>
      <c r="K741" s="1586"/>
      <c r="L741" s="1587"/>
      <c r="M741" s="1587"/>
      <c r="N741" s="1588"/>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t="s">
        <v>590</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2">
        <f t="shared" si="26"/>
        <v>0</v>
      </c>
      <c r="DV741" s="1382"/>
      <c r="DW741" s="1382"/>
      <c r="DX741" s="1382"/>
      <c r="DY741" s="1382"/>
      <c r="DZ741" s="1382">
        <f t="shared" si="27"/>
        <v>0</v>
      </c>
      <c r="EA741" s="1382"/>
      <c r="EB741" s="1382"/>
      <c r="EC741" s="1382"/>
      <c r="ED741" s="1382"/>
      <c r="EE741" s="1382">
        <f t="shared" si="28"/>
        <v>0</v>
      </c>
      <c r="EF741" s="1382"/>
      <c r="EG741" s="1382"/>
      <c r="EH741" s="1382"/>
      <c r="EI741" s="1382"/>
      <c r="EJ741" s="1382">
        <f t="shared" si="29"/>
        <v>0</v>
      </c>
      <c r="EK741" s="1382"/>
      <c r="EL741" s="1382"/>
      <c r="EM741" s="1382"/>
      <c r="EN741" s="1382"/>
      <c r="EO741" s="1382">
        <f t="shared" si="30"/>
        <v>0</v>
      </c>
      <c r="EP741" s="1382"/>
      <c r="EQ741" s="1382"/>
      <c r="ER741" s="1382"/>
      <c r="ES741" s="1382"/>
      <c r="ET741" s="1382">
        <f t="shared" si="31"/>
        <v>0</v>
      </c>
      <c r="EU741" s="1382"/>
      <c r="EV741" s="1382"/>
      <c r="EW741" s="1382"/>
      <c r="EX741" s="1382"/>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62"/>
      <c r="C742" s="1363"/>
      <c r="D742" s="1363"/>
      <c r="E742" s="1363"/>
      <c r="F742" s="1364"/>
      <c r="G742" s="1371"/>
      <c r="H742" s="1372"/>
      <c r="I742" s="1372"/>
      <c r="J742" s="1373"/>
      <c r="K742" s="1586"/>
      <c r="L742" s="1587"/>
      <c r="M742" s="1587"/>
      <c r="N742" s="1588"/>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t="s">
        <v>590</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2">
        <f t="shared" si="26"/>
        <v>0</v>
      </c>
      <c r="DV742" s="1382"/>
      <c r="DW742" s="1382"/>
      <c r="DX742" s="1382"/>
      <c r="DY742" s="1382"/>
      <c r="DZ742" s="1382">
        <f t="shared" si="27"/>
        <v>0</v>
      </c>
      <c r="EA742" s="1382"/>
      <c r="EB742" s="1382"/>
      <c r="EC742" s="1382"/>
      <c r="ED742" s="1382"/>
      <c r="EE742" s="1382">
        <f t="shared" si="28"/>
        <v>0</v>
      </c>
      <c r="EF742" s="1382"/>
      <c r="EG742" s="1382"/>
      <c r="EH742" s="1382"/>
      <c r="EI742" s="1382"/>
      <c r="EJ742" s="1382">
        <f t="shared" si="29"/>
        <v>0</v>
      </c>
      <c r="EK742" s="1382"/>
      <c r="EL742" s="1382"/>
      <c r="EM742" s="1382"/>
      <c r="EN742" s="1382"/>
      <c r="EO742" s="1382">
        <f t="shared" si="30"/>
        <v>0</v>
      </c>
      <c r="EP742" s="1382"/>
      <c r="EQ742" s="1382"/>
      <c r="ER742" s="1382"/>
      <c r="ES742" s="1382"/>
      <c r="ET742" s="1382">
        <f t="shared" si="31"/>
        <v>0</v>
      </c>
      <c r="EU742" s="1382"/>
      <c r="EV742" s="1382"/>
      <c r="EW742" s="1382"/>
      <c r="EX742" s="1382"/>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62"/>
      <c r="C743" s="1363"/>
      <c r="D743" s="1363"/>
      <c r="E743" s="1363"/>
      <c r="F743" s="1364"/>
      <c r="G743" s="1371"/>
      <c r="H743" s="1372"/>
      <c r="I743" s="1372"/>
      <c r="J743" s="1373"/>
      <c r="K743" s="1586"/>
      <c r="L743" s="1587"/>
      <c r="M743" s="1587"/>
      <c r="N743" s="1588"/>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t="s">
        <v>590</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2">
        <f t="shared" si="26"/>
        <v>0</v>
      </c>
      <c r="DV743" s="1382"/>
      <c r="DW743" s="1382"/>
      <c r="DX743" s="1382"/>
      <c r="DY743" s="1382"/>
      <c r="DZ743" s="1382">
        <f t="shared" si="27"/>
        <v>0</v>
      </c>
      <c r="EA743" s="1382"/>
      <c r="EB743" s="1382"/>
      <c r="EC743" s="1382"/>
      <c r="ED743" s="1382"/>
      <c r="EE743" s="1382">
        <f t="shared" si="28"/>
        <v>0</v>
      </c>
      <c r="EF743" s="1382"/>
      <c r="EG743" s="1382"/>
      <c r="EH743" s="1382"/>
      <c r="EI743" s="1382"/>
      <c r="EJ743" s="1382">
        <f t="shared" si="29"/>
        <v>0</v>
      </c>
      <c r="EK743" s="1382"/>
      <c r="EL743" s="1382"/>
      <c r="EM743" s="1382"/>
      <c r="EN743" s="1382"/>
      <c r="EO743" s="1382">
        <f t="shared" si="30"/>
        <v>0</v>
      </c>
      <c r="EP743" s="1382"/>
      <c r="EQ743" s="1382"/>
      <c r="ER743" s="1382"/>
      <c r="ES743" s="1382"/>
      <c r="ET743" s="1382">
        <f t="shared" si="31"/>
        <v>0</v>
      </c>
      <c r="EU743" s="1382"/>
      <c r="EV743" s="1382"/>
      <c r="EW743" s="1382"/>
      <c r="EX743" s="1382"/>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62"/>
      <c r="C744" s="1363"/>
      <c r="D744" s="1363"/>
      <c r="E744" s="1363"/>
      <c r="F744" s="1364"/>
      <c r="G744" s="1371"/>
      <c r="H744" s="1372"/>
      <c r="I744" s="1372"/>
      <c r="J744" s="1373"/>
      <c r="K744" s="1586"/>
      <c r="L744" s="1587"/>
      <c r="M744" s="1587"/>
      <c r="N744" s="1588"/>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t="s">
        <v>590</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2">
        <f t="shared" si="26"/>
        <v>0</v>
      </c>
      <c r="DV744" s="1382"/>
      <c r="DW744" s="1382"/>
      <c r="DX744" s="1382"/>
      <c r="DY744" s="1382"/>
      <c r="DZ744" s="1382">
        <f t="shared" si="27"/>
        <v>0</v>
      </c>
      <c r="EA744" s="1382"/>
      <c r="EB744" s="1382"/>
      <c r="EC744" s="1382"/>
      <c r="ED744" s="1382"/>
      <c r="EE744" s="1382">
        <f t="shared" si="28"/>
        <v>0</v>
      </c>
      <c r="EF744" s="1382"/>
      <c r="EG744" s="1382"/>
      <c r="EH744" s="1382"/>
      <c r="EI744" s="1382"/>
      <c r="EJ744" s="1382">
        <f t="shared" si="29"/>
        <v>0</v>
      </c>
      <c r="EK744" s="1382"/>
      <c r="EL744" s="1382"/>
      <c r="EM744" s="1382"/>
      <c r="EN744" s="1382"/>
      <c r="EO744" s="1382">
        <f t="shared" si="30"/>
        <v>0</v>
      </c>
      <c r="EP744" s="1382"/>
      <c r="EQ744" s="1382"/>
      <c r="ER744" s="1382"/>
      <c r="ES744" s="1382"/>
      <c r="ET744" s="1382">
        <f t="shared" si="31"/>
        <v>0</v>
      </c>
      <c r="EU744" s="1382"/>
      <c r="EV744" s="1382"/>
      <c r="EW744" s="1382"/>
      <c r="EX744" s="1382"/>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62"/>
      <c r="C745" s="1363"/>
      <c r="D745" s="1363"/>
      <c r="E745" s="1363"/>
      <c r="F745" s="1364"/>
      <c r="G745" s="1371"/>
      <c r="H745" s="1372"/>
      <c r="I745" s="1372"/>
      <c r="J745" s="1373"/>
      <c r="K745" s="1586"/>
      <c r="L745" s="1587"/>
      <c r="M745" s="1587"/>
      <c r="N745" s="1588"/>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t="s">
        <v>590</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2">
        <f t="shared" si="26"/>
        <v>0</v>
      </c>
      <c r="DV745" s="1382"/>
      <c r="DW745" s="1382"/>
      <c r="DX745" s="1382"/>
      <c r="DY745" s="1382"/>
      <c r="DZ745" s="1382">
        <f t="shared" si="27"/>
        <v>0</v>
      </c>
      <c r="EA745" s="1382"/>
      <c r="EB745" s="1382"/>
      <c r="EC745" s="1382"/>
      <c r="ED745" s="1382"/>
      <c r="EE745" s="1382">
        <f t="shared" si="28"/>
        <v>0</v>
      </c>
      <c r="EF745" s="1382"/>
      <c r="EG745" s="1382"/>
      <c r="EH745" s="1382"/>
      <c r="EI745" s="1382"/>
      <c r="EJ745" s="1382">
        <f t="shared" si="29"/>
        <v>0</v>
      </c>
      <c r="EK745" s="1382"/>
      <c r="EL745" s="1382"/>
      <c r="EM745" s="1382"/>
      <c r="EN745" s="1382"/>
      <c r="EO745" s="1382">
        <f t="shared" si="30"/>
        <v>0</v>
      </c>
      <c r="EP745" s="1382"/>
      <c r="EQ745" s="1382"/>
      <c r="ER745" s="1382"/>
      <c r="ES745" s="1382"/>
      <c r="ET745" s="1382">
        <f t="shared" si="31"/>
        <v>0</v>
      </c>
      <c r="EU745" s="1382"/>
      <c r="EV745" s="1382"/>
      <c r="EW745" s="1382"/>
      <c r="EX745" s="1382"/>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62"/>
      <c r="C746" s="1363"/>
      <c r="D746" s="1363"/>
      <c r="E746" s="1363"/>
      <c r="F746" s="1364"/>
      <c r="G746" s="1371"/>
      <c r="H746" s="1372"/>
      <c r="I746" s="1372"/>
      <c r="J746" s="1373"/>
      <c r="K746" s="1586"/>
      <c r="L746" s="1587"/>
      <c r="M746" s="1587"/>
      <c r="N746" s="1588"/>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t="s">
        <v>590</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2">
        <f t="shared" si="26"/>
        <v>0</v>
      </c>
      <c r="DV746" s="1382"/>
      <c r="DW746" s="1382"/>
      <c r="DX746" s="1382"/>
      <c r="DY746" s="1382"/>
      <c r="DZ746" s="1382">
        <f t="shared" si="27"/>
        <v>0</v>
      </c>
      <c r="EA746" s="1382"/>
      <c r="EB746" s="1382"/>
      <c r="EC746" s="1382"/>
      <c r="ED746" s="1382"/>
      <c r="EE746" s="1382">
        <f t="shared" si="28"/>
        <v>0</v>
      </c>
      <c r="EF746" s="1382"/>
      <c r="EG746" s="1382"/>
      <c r="EH746" s="1382"/>
      <c r="EI746" s="1382"/>
      <c r="EJ746" s="1382">
        <f t="shared" si="29"/>
        <v>0</v>
      </c>
      <c r="EK746" s="1382"/>
      <c r="EL746" s="1382"/>
      <c r="EM746" s="1382"/>
      <c r="EN746" s="1382"/>
      <c r="EO746" s="1382">
        <f t="shared" si="30"/>
        <v>0</v>
      </c>
      <c r="EP746" s="1382"/>
      <c r="EQ746" s="1382"/>
      <c r="ER746" s="1382"/>
      <c r="ES746" s="1382"/>
      <c r="ET746" s="1382">
        <f t="shared" si="31"/>
        <v>0</v>
      </c>
      <c r="EU746" s="1382"/>
      <c r="EV746" s="1382"/>
      <c r="EW746" s="1382"/>
      <c r="EX746" s="1382"/>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62"/>
      <c r="C747" s="1363"/>
      <c r="D747" s="1363"/>
      <c r="E747" s="1363"/>
      <c r="F747" s="1364"/>
      <c r="G747" s="1371"/>
      <c r="H747" s="1372"/>
      <c r="I747" s="1372"/>
      <c r="J747" s="1373"/>
      <c r="K747" s="1586"/>
      <c r="L747" s="1587"/>
      <c r="M747" s="1587"/>
      <c r="N747" s="1588"/>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t="s">
        <v>590</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2">
        <f t="shared" si="26"/>
        <v>0</v>
      </c>
      <c r="DV747" s="1382"/>
      <c r="DW747" s="1382"/>
      <c r="DX747" s="1382"/>
      <c r="DY747" s="1382"/>
      <c r="DZ747" s="1382">
        <f t="shared" si="27"/>
        <v>0</v>
      </c>
      <c r="EA747" s="1382"/>
      <c r="EB747" s="1382"/>
      <c r="EC747" s="1382"/>
      <c r="ED747" s="1382"/>
      <c r="EE747" s="1382">
        <f t="shared" si="28"/>
        <v>0</v>
      </c>
      <c r="EF747" s="1382"/>
      <c r="EG747" s="1382"/>
      <c r="EH747" s="1382"/>
      <c r="EI747" s="1382"/>
      <c r="EJ747" s="1382">
        <f t="shared" si="29"/>
        <v>0</v>
      </c>
      <c r="EK747" s="1382"/>
      <c r="EL747" s="1382"/>
      <c r="EM747" s="1382"/>
      <c r="EN747" s="1382"/>
      <c r="EO747" s="1382">
        <f t="shared" si="30"/>
        <v>0</v>
      </c>
      <c r="EP747" s="1382"/>
      <c r="EQ747" s="1382"/>
      <c r="ER747" s="1382"/>
      <c r="ES747" s="1382"/>
      <c r="ET747" s="1382">
        <f t="shared" si="31"/>
        <v>0</v>
      </c>
      <c r="EU747" s="1382"/>
      <c r="EV747" s="1382"/>
      <c r="EW747" s="1382"/>
      <c r="EX747" s="1382"/>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62"/>
      <c r="C748" s="1363"/>
      <c r="D748" s="1363"/>
      <c r="E748" s="1363"/>
      <c r="F748" s="1364"/>
      <c r="G748" s="1371"/>
      <c r="H748" s="1372"/>
      <c r="I748" s="1372"/>
      <c r="J748" s="1373"/>
      <c r="K748" s="1586"/>
      <c r="L748" s="1587"/>
      <c r="M748" s="1587"/>
      <c r="N748" s="1588"/>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t="s">
        <v>590</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2">
        <f t="shared" si="26"/>
        <v>0</v>
      </c>
      <c r="DV748" s="1382"/>
      <c r="DW748" s="1382"/>
      <c r="DX748" s="1382"/>
      <c r="DY748" s="1382"/>
      <c r="DZ748" s="1382">
        <f t="shared" si="27"/>
        <v>0</v>
      </c>
      <c r="EA748" s="1382"/>
      <c r="EB748" s="1382"/>
      <c r="EC748" s="1382"/>
      <c r="ED748" s="1382"/>
      <c r="EE748" s="1382">
        <f t="shared" si="28"/>
        <v>0</v>
      </c>
      <c r="EF748" s="1382"/>
      <c r="EG748" s="1382"/>
      <c r="EH748" s="1382"/>
      <c r="EI748" s="1382"/>
      <c r="EJ748" s="1382">
        <f t="shared" si="29"/>
        <v>0</v>
      </c>
      <c r="EK748" s="1382"/>
      <c r="EL748" s="1382"/>
      <c r="EM748" s="1382"/>
      <c r="EN748" s="1382"/>
      <c r="EO748" s="1382">
        <f t="shared" si="30"/>
        <v>0</v>
      </c>
      <c r="EP748" s="1382"/>
      <c r="EQ748" s="1382"/>
      <c r="ER748" s="1382"/>
      <c r="ES748" s="1382"/>
      <c r="ET748" s="1382">
        <f t="shared" si="31"/>
        <v>0</v>
      </c>
      <c r="EU748" s="1382"/>
      <c r="EV748" s="1382"/>
      <c r="EW748" s="1382"/>
      <c r="EX748" s="1382"/>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62"/>
      <c r="C749" s="1363"/>
      <c r="D749" s="1363"/>
      <c r="E749" s="1363"/>
      <c r="F749" s="1364"/>
      <c r="G749" s="1371"/>
      <c r="H749" s="1372"/>
      <c r="I749" s="1372"/>
      <c r="J749" s="1373"/>
      <c r="K749" s="1586"/>
      <c r="L749" s="1587"/>
      <c r="M749" s="1587"/>
      <c r="N749" s="1588"/>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t="s">
        <v>590</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2">
        <f t="shared" si="26"/>
        <v>0</v>
      </c>
      <c r="DV749" s="1382"/>
      <c r="DW749" s="1382"/>
      <c r="DX749" s="1382"/>
      <c r="DY749" s="1382"/>
      <c r="DZ749" s="1382">
        <f t="shared" si="27"/>
        <v>0</v>
      </c>
      <c r="EA749" s="1382"/>
      <c r="EB749" s="1382"/>
      <c r="EC749" s="1382"/>
      <c r="ED749" s="1382"/>
      <c r="EE749" s="1382">
        <f t="shared" si="28"/>
        <v>0</v>
      </c>
      <c r="EF749" s="1382"/>
      <c r="EG749" s="1382"/>
      <c r="EH749" s="1382"/>
      <c r="EI749" s="1382"/>
      <c r="EJ749" s="1382">
        <f t="shared" si="29"/>
        <v>0</v>
      </c>
      <c r="EK749" s="1382"/>
      <c r="EL749" s="1382"/>
      <c r="EM749" s="1382"/>
      <c r="EN749" s="1382"/>
      <c r="EO749" s="1382">
        <f t="shared" si="30"/>
        <v>0</v>
      </c>
      <c r="EP749" s="1382"/>
      <c r="EQ749" s="1382"/>
      <c r="ER749" s="1382"/>
      <c r="ES749" s="1382"/>
      <c r="ET749" s="1382">
        <f t="shared" si="31"/>
        <v>0</v>
      </c>
      <c r="EU749" s="1382"/>
      <c r="EV749" s="1382"/>
      <c r="EW749" s="1382"/>
      <c r="EX749" s="1382"/>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62"/>
      <c r="C750" s="1363"/>
      <c r="D750" s="1363"/>
      <c r="E750" s="1363"/>
      <c r="F750" s="1364"/>
      <c r="G750" s="1371"/>
      <c r="H750" s="1372"/>
      <c r="I750" s="1372"/>
      <c r="J750" s="1373"/>
      <c r="K750" s="1586"/>
      <c r="L750" s="1587"/>
      <c r="M750" s="1587"/>
      <c r="N750" s="1588"/>
      <c r="O750" s="1378"/>
      <c r="P750" s="1379"/>
      <c r="Q750" s="1379"/>
      <c r="R750" s="1379"/>
      <c r="S750" s="1380"/>
      <c r="T750" s="1378"/>
      <c r="U750" s="1379"/>
      <c r="V750" s="1379"/>
      <c r="W750" s="1380"/>
      <c r="X750" s="1365">
        <f t="shared" ref="X750:X759" si="41">O750+T750</f>
        <v>0</v>
      </c>
      <c r="Y750" s="1366"/>
      <c r="Z750" s="1366"/>
      <c r="AA750" s="1366"/>
      <c r="AB750" s="1367"/>
      <c r="AC750" s="1375"/>
      <c r="AD750" s="1376"/>
      <c r="AE750" s="1376"/>
      <c r="AF750" s="1376"/>
      <c r="AG750" s="1377"/>
      <c r="AH750" s="1368" t="str">
        <f t="shared" si="38"/>
        <v/>
      </c>
      <c r="AI750" s="1369"/>
      <c r="AJ750" s="1370"/>
      <c r="AK750" s="1362" t="s">
        <v>590</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2">
        <f t="shared" si="26"/>
        <v>0</v>
      </c>
      <c r="DV750" s="1382"/>
      <c r="DW750" s="1382"/>
      <c r="DX750" s="1382"/>
      <c r="DY750" s="1382"/>
      <c r="DZ750" s="1382">
        <f t="shared" si="27"/>
        <v>0</v>
      </c>
      <c r="EA750" s="1382"/>
      <c r="EB750" s="1382"/>
      <c r="EC750" s="1382"/>
      <c r="ED750" s="1382"/>
      <c r="EE750" s="1382">
        <f t="shared" si="28"/>
        <v>0</v>
      </c>
      <c r="EF750" s="1382"/>
      <c r="EG750" s="1382"/>
      <c r="EH750" s="1382"/>
      <c r="EI750" s="1382"/>
      <c r="EJ750" s="1382">
        <f t="shared" si="29"/>
        <v>0</v>
      </c>
      <c r="EK750" s="1382"/>
      <c r="EL750" s="1382"/>
      <c r="EM750" s="1382"/>
      <c r="EN750" s="1382"/>
      <c r="EO750" s="1382">
        <f t="shared" si="30"/>
        <v>0</v>
      </c>
      <c r="EP750" s="1382"/>
      <c r="EQ750" s="1382"/>
      <c r="ER750" s="1382"/>
      <c r="ES750" s="1382"/>
      <c r="ET750" s="1382">
        <f t="shared" si="31"/>
        <v>0</v>
      </c>
      <c r="EU750" s="1382"/>
      <c r="EV750" s="1382"/>
      <c r="EW750" s="1382"/>
      <c r="EX750" s="1382"/>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62"/>
      <c r="C751" s="1363"/>
      <c r="D751" s="1363"/>
      <c r="E751" s="1363"/>
      <c r="F751" s="1364"/>
      <c r="G751" s="1371"/>
      <c r="H751" s="1372"/>
      <c r="I751" s="1372"/>
      <c r="J751" s="1373"/>
      <c r="K751" s="1586"/>
      <c r="L751" s="1587"/>
      <c r="M751" s="1587"/>
      <c r="N751" s="1588"/>
      <c r="O751" s="1378"/>
      <c r="P751" s="1379"/>
      <c r="Q751" s="1379"/>
      <c r="R751" s="1379"/>
      <c r="S751" s="1380"/>
      <c r="T751" s="1378"/>
      <c r="U751" s="1379"/>
      <c r="V751" s="1379"/>
      <c r="W751" s="1380"/>
      <c r="X751" s="1365">
        <f t="shared" si="41"/>
        <v>0</v>
      </c>
      <c r="Y751" s="1366"/>
      <c r="Z751" s="1366"/>
      <c r="AA751" s="1366"/>
      <c r="AB751" s="1367"/>
      <c r="AC751" s="1375"/>
      <c r="AD751" s="1376"/>
      <c r="AE751" s="1376"/>
      <c r="AF751" s="1376"/>
      <c r="AG751" s="1377"/>
      <c r="AH751" s="1368" t="str">
        <f t="shared" si="38"/>
        <v/>
      </c>
      <c r="AI751" s="1369"/>
      <c r="AJ751" s="1370"/>
      <c r="AK751" s="1362" t="s">
        <v>590</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2">
        <f t="shared" si="26"/>
        <v>0</v>
      </c>
      <c r="DV751" s="1382"/>
      <c r="DW751" s="1382"/>
      <c r="DX751" s="1382"/>
      <c r="DY751" s="1382"/>
      <c r="DZ751" s="1382">
        <f t="shared" si="27"/>
        <v>0</v>
      </c>
      <c r="EA751" s="1382"/>
      <c r="EB751" s="1382"/>
      <c r="EC751" s="1382"/>
      <c r="ED751" s="1382"/>
      <c r="EE751" s="1382">
        <f t="shared" si="28"/>
        <v>0</v>
      </c>
      <c r="EF751" s="1382"/>
      <c r="EG751" s="1382"/>
      <c r="EH751" s="1382"/>
      <c r="EI751" s="1382"/>
      <c r="EJ751" s="1382">
        <f t="shared" si="29"/>
        <v>0</v>
      </c>
      <c r="EK751" s="1382"/>
      <c r="EL751" s="1382"/>
      <c r="EM751" s="1382"/>
      <c r="EN751" s="1382"/>
      <c r="EO751" s="1382">
        <f t="shared" si="30"/>
        <v>0</v>
      </c>
      <c r="EP751" s="1382"/>
      <c r="EQ751" s="1382"/>
      <c r="ER751" s="1382"/>
      <c r="ES751" s="1382"/>
      <c r="ET751" s="1382">
        <f t="shared" si="31"/>
        <v>0</v>
      </c>
      <c r="EU751" s="1382"/>
      <c r="EV751" s="1382"/>
      <c r="EW751" s="1382"/>
      <c r="EX751" s="1382"/>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62"/>
      <c r="C752" s="1363"/>
      <c r="D752" s="1363"/>
      <c r="E752" s="1363"/>
      <c r="F752" s="1364"/>
      <c r="G752" s="1371"/>
      <c r="H752" s="1372"/>
      <c r="I752" s="1372"/>
      <c r="J752" s="1373"/>
      <c r="K752" s="1586"/>
      <c r="L752" s="1587"/>
      <c r="M752" s="1587"/>
      <c r="N752" s="1588"/>
      <c r="O752" s="1378"/>
      <c r="P752" s="1379"/>
      <c r="Q752" s="1379"/>
      <c r="R752" s="1379"/>
      <c r="S752" s="1380"/>
      <c r="T752" s="1378"/>
      <c r="U752" s="1379"/>
      <c r="V752" s="1379"/>
      <c r="W752" s="1380"/>
      <c r="X752" s="1365">
        <f t="shared" si="41"/>
        <v>0</v>
      </c>
      <c r="Y752" s="1366"/>
      <c r="Z752" s="1366"/>
      <c r="AA752" s="1366"/>
      <c r="AB752" s="1367"/>
      <c r="AC752" s="1375"/>
      <c r="AD752" s="1376"/>
      <c r="AE752" s="1376"/>
      <c r="AF752" s="1376"/>
      <c r="AG752" s="1377"/>
      <c r="AH752" s="1368" t="str">
        <f t="shared" si="38"/>
        <v/>
      </c>
      <c r="AI752" s="1369"/>
      <c r="AJ752" s="1370"/>
      <c r="AK752" s="1362" t="s">
        <v>590</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2">
        <f t="shared" si="26"/>
        <v>0</v>
      </c>
      <c r="DV752" s="1382"/>
      <c r="DW752" s="1382"/>
      <c r="DX752" s="1382"/>
      <c r="DY752" s="1382"/>
      <c r="DZ752" s="1382">
        <f t="shared" si="27"/>
        <v>0</v>
      </c>
      <c r="EA752" s="1382"/>
      <c r="EB752" s="1382"/>
      <c r="EC752" s="1382"/>
      <c r="ED752" s="1382"/>
      <c r="EE752" s="1382">
        <f t="shared" si="28"/>
        <v>0</v>
      </c>
      <c r="EF752" s="1382"/>
      <c r="EG752" s="1382"/>
      <c r="EH752" s="1382"/>
      <c r="EI752" s="1382"/>
      <c r="EJ752" s="1382">
        <f t="shared" si="29"/>
        <v>0</v>
      </c>
      <c r="EK752" s="1382"/>
      <c r="EL752" s="1382"/>
      <c r="EM752" s="1382"/>
      <c r="EN752" s="1382"/>
      <c r="EO752" s="1382">
        <f t="shared" si="30"/>
        <v>0</v>
      </c>
      <c r="EP752" s="1382"/>
      <c r="EQ752" s="1382"/>
      <c r="ER752" s="1382"/>
      <c r="ES752" s="1382"/>
      <c r="ET752" s="1382">
        <f t="shared" si="31"/>
        <v>0</v>
      </c>
      <c r="EU752" s="1382"/>
      <c r="EV752" s="1382"/>
      <c r="EW752" s="1382"/>
      <c r="EX752" s="1382"/>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62"/>
      <c r="C753" s="1363"/>
      <c r="D753" s="1363"/>
      <c r="E753" s="1363"/>
      <c r="F753" s="1364"/>
      <c r="G753" s="1371"/>
      <c r="H753" s="1372"/>
      <c r="I753" s="1372"/>
      <c r="J753" s="1373"/>
      <c r="K753" s="1586"/>
      <c r="L753" s="1587"/>
      <c r="M753" s="1587"/>
      <c r="N753" s="1588"/>
      <c r="O753" s="1378"/>
      <c r="P753" s="1379"/>
      <c r="Q753" s="1379"/>
      <c r="R753" s="1379"/>
      <c r="S753" s="1380"/>
      <c r="T753" s="1378"/>
      <c r="U753" s="1379"/>
      <c r="V753" s="1379"/>
      <c r="W753" s="1380"/>
      <c r="X753" s="1365">
        <f t="shared" si="41"/>
        <v>0</v>
      </c>
      <c r="Y753" s="1366"/>
      <c r="Z753" s="1366"/>
      <c r="AA753" s="1366"/>
      <c r="AB753" s="1367"/>
      <c r="AC753" s="1375"/>
      <c r="AD753" s="1376"/>
      <c r="AE753" s="1376"/>
      <c r="AF753" s="1376"/>
      <c r="AG753" s="1377"/>
      <c r="AH753" s="1368" t="str">
        <f t="shared" si="38"/>
        <v/>
      </c>
      <c r="AI753" s="1369"/>
      <c r="AJ753" s="1370"/>
      <c r="AK753" s="1362" t="s">
        <v>590</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2">
        <f t="shared" si="26"/>
        <v>0</v>
      </c>
      <c r="DV753" s="1382"/>
      <c r="DW753" s="1382"/>
      <c r="DX753" s="1382"/>
      <c r="DY753" s="1382"/>
      <c r="DZ753" s="1382">
        <f t="shared" si="27"/>
        <v>0</v>
      </c>
      <c r="EA753" s="1382"/>
      <c r="EB753" s="1382"/>
      <c r="EC753" s="1382"/>
      <c r="ED753" s="1382"/>
      <c r="EE753" s="1382">
        <f t="shared" si="28"/>
        <v>0</v>
      </c>
      <c r="EF753" s="1382"/>
      <c r="EG753" s="1382"/>
      <c r="EH753" s="1382"/>
      <c r="EI753" s="1382"/>
      <c r="EJ753" s="1382">
        <f t="shared" si="29"/>
        <v>0</v>
      </c>
      <c r="EK753" s="1382"/>
      <c r="EL753" s="1382"/>
      <c r="EM753" s="1382"/>
      <c r="EN753" s="1382"/>
      <c r="EO753" s="1382">
        <f t="shared" si="30"/>
        <v>0</v>
      </c>
      <c r="EP753" s="1382"/>
      <c r="EQ753" s="1382"/>
      <c r="ER753" s="1382"/>
      <c r="ES753" s="1382"/>
      <c r="ET753" s="1382">
        <f t="shared" si="31"/>
        <v>0</v>
      </c>
      <c r="EU753" s="1382"/>
      <c r="EV753" s="1382"/>
      <c r="EW753" s="1382"/>
      <c r="EX753" s="1382"/>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62"/>
      <c r="C754" s="1363"/>
      <c r="D754" s="1363"/>
      <c r="E754" s="1363"/>
      <c r="F754" s="1364"/>
      <c r="G754" s="1371"/>
      <c r="H754" s="1372"/>
      <c r="I754" s="1372"/>
      <c r="J754" s="1373"/>
      <c r="K754" s="1586"/>
      <c r="L754" s="1587"/>
      <c r="M754" s="1587"/>
      <c r="N754" s="1588"/>
      <c r="O754" s="1378"/>
      <c r="P754" s="1379"/>
      <c r="Q754" s="1379"/>
      <c r="R754" s="1379"/>
      <c r="S754" s="1380"/>
      <c r="T754" s="1378"/>
      <c r="U754" s="1379"/>
      <c r="V754" s="1379"/>
      <c r="W754" s="1380"/>
      <c r="X754" s="1365">
        <f t="shared" si="41"/>
        <v>0</v>
      </c>
      <c r="Y754" s="1366"/>
      <c r="Z754" s="1366"/>
      <c r="AA754" s="1366"/>
      <c r="AB754" s="1367"/>
      <c r="AC754" s="1375"/>
      <c r="AD754" s="1376"/>
      <c r="AE754" s="1376"/>
      <c r="AF754" s="1376"/>
      <c r="AG754" s="1377"/>
      <c r="AH754" s="1368" t="str">
        <f t="shared" si="38"/>
        <v/>
      </c>
      <c r="AI754" s="1369"/>
      <c r="AJ754" s="1370"/>
      <c r="AK754" s="1362" t="s">
        <v>590</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2">
        <f t="shared" si="26"/>
        <v>0</v>
      </c>
      <c r="DV754" s="1382"/>
      <c r="DW754" s="1382"/>
      <c r="DX754" s="1382"/>
      <c r="DY754" s="1382"/>
      <c r="DZ754" s="1382">
        <f t="shared" si="27"/>
        <v>0</v>
      </c>
      <c r="EA754" s="1382"/>
      <c r="EB754" s="1382"/>
      <c r="EC754" s="1382"/>
      <c r="ED754" s="1382"/>
      <c r="EE754" s="1382">
        <f t="shared" si="28"/>
        <v>0</v>
      </c>
      <c r="EF754" s="1382"/>
      <c r="EG754" s="1382"/>
      <c r="EH754" s="1382"/>
      <c r="EI754" s="1382"/>
      <c r="EJ754" s="1382">
        <f t="shared" si="29"/>
        <v>0</v>
      </c>
      <c r="EK754" s="1382"/>
      <c r="EL754" s="1382"/>
      <c r="EM754" s="1382"/>
      <c r="EN754" s="1382"/>
      <c r="EO754" s="1382">
        <f t="shared" si="30"/>
        <v>0</v>
      </c>
      <c r="EP754" s="1382"/>
      <c r="EQ754" s="1382"/>
      <c r="ER754" s="1382"/>
      <c r="ES754" s="1382"/>
      <c r="ET754" s="1382">
        <f t="shared" si="31"/>
        <v>0</v>
      </c>
      <c r="EU754" s="1382"/>
      <c r="EV754" s="1382"/>
      <c r="EW754" s="1382"/>
      <c r="EX754" s="1382"/>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62"/>
      <c r="C755" s="1363"/>
      <c r="D755" s="1363"/>
      <c r="E755" s="1363"/>
      <c r="F755" s="1364"/>
      <c r="G755" s="1371"/>
      <c r="H755" s="1372"/>
      <c r="I755" s="1372"/>
      <c r="J755" s="1373"/>
      <c r="K755" s="1586"/>
      <c r="L755" s="1587"/>
      <c r="M755" s="1587"/>
      <c r="N755" s="1588"/>
      <c r="O755" s="1378"/>
      <c r="P755" s="1379"/>
      <c r="Q755" s="1379"/>
      <c r="R755" s="1379"/>
      <c r="S755" s="1380"/>
      <c r="T755" s="1378"/>
      <c r="U755" s="1379"/>
      <c r="V755" s="1379"/>
      <c r="W755" s="1380"/>
      <c r="X755" s="1365">
        <f t="shared" si="41"/>
        <v>0</v>
      </c>
      <c r="Y755" s="1366"/>
      <c r="Z755" s="1366"/>
      <c r="AA755" s="1366"/>
      <c r="AB755" s="1367"/>
      <c r="AC755" s="1375"/>
      <c r="AD755" s="1376"/>
      <c r="AE755" s="1376"/>
      <c r="AF755" s="1376"/>
      <c r="AG755" s="1377"/>
      <c r="AH755" s="1368" t="str">
        <f t="shared" si="38"/>
        <v/>
      </c>
      <c r="AI755" s="1369"/>
      <c r="AJ755" s="1370"/>
      <c r="AK755" s="1362" t="s">
        <v>590</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2">
        <f t="shared" si="26"/>
        <v>0</v>
      </c>
      <c r="DV755" s="1382"/>
      <c r="DW755" s="1382"/>
      <c r="DX755" s="1382"/>
      <c r="DY755" s="1382"/>
      <c r="DZ755" s="1382">
        <f t="shared" si="27"/>
        <v>0</v>
      </c>
      <c r="EA755" s="1382"/>
      <c r="EB755" s="1382"/>
      <c r="EC755" s="1382"/>
      <c r="ED755" s="1382"/>
      <c r="EE755" s="1382">
        <f t="shared" si="28"/>
        <v>0</v>
      </c>
      <c r="EF755" s="1382"/>
      <c r="EG755" s="1382"/>
      <c r="EH755" s="1382"/>
      <c r="EI755" s="1382"/>
      <c r="EJ755" s="1382">
        <f t="shared" si="29"/>
        <v>0</v>
      </c>
      <c r="EK755" s="1382"/>
      <c r="EL755" s="1382"/>
      <c r="EM755" s="1382"/>
      <c r="EN755" s="1382"/>
      <c r="EO755" s="1382">
        <f t="shared" si="30"/>
        <v>0</v>
      </c>
      <c r="EP755" s="1382"/>
      <c r="EQ755" s="1382"/>
      <c r="ER755" s="1382"/>
      <c r="ES755" s="1382"/>
      <c r="ET755" s="1382">
        <f t="shared" si="31"/>
        <v>0</v>
      </c>
      <c r="EU755" s="1382"/>
      <c r="EV755" s="1382"/>
      <c r="EW755" s="1382"/>
      <c r="EX755" s="1382"/>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62"/>
      <c r="C756" s="1363"/>
      <c r="D756" s="1363"/>
      <c r="E756" s="1363"/>
      <c r="F756" s="1364"/>
      <c r="G756" s="1371"/>
      <c r="H756" s="1372"/>
      <c r="I756" s="1372"/>
      <c r="J756" s="1373"/>
      <c r="K756" s="1586"/>
      <c r="L756" s="1587"/>
      <c r="M756" s="1587"/>
      <c r="N756" s="1588"/>
      <c r="O756" s="1378"/>
      <c r="P756" s="1379"/>
      <c r="Q756" s="1379"/>
      <c r="R756" s="1379"/>
      <c r="S756" s="1380"/>
      <c r="T756" s="1378"/>
      <c r="U756" s="1379"/>
      <c r="V756" s="1379"/>
      <c r="W756" s="1380"/>
      <c r="X756" s="1365">
        <f t="shared" si="41"/>
        <v>0</v>
      </c>
      <c r="Y756" s="1366"/>
      <c r="Z756" s="1366"/>
      <c r="AA756" s="1366"/>
      <c r="AB756" s="1367"/>
      <c r="AC756" s="1375"/>
      <c r="AD756" s="1376"/>
      <c r="AE756" s="1376"/>
      <c r="AF756" s="1376"/>
      <c r="AG756" s="1377"/>
      <c r="AH756" s="1368" t="str">
        <f t="shared" si="38"/>
        <v/>
      </c>
      <c r="AI756" s="1369"/>
      <c r="AJ756" s="1370"/>
      <c r="AK756" s="1362" t="s">
        <v>590</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2">
        <f t="shared" si="26"/>
        <v>0</v>
      </c>
      <c r="DV756" s="1382"/>
      <c r="DW756" s="1382"/>
      <c r="DX756" s="1382"/>
      <c r="DY756" s="1382"/>
      <c r="DZ756" s="1382">
        <f t="shared" si="27"/>
        <v>0</v>
      </c>
      <c r="EA756" s="1382"/>
      <c r="EB756" s="1382"/>
      <c r="EC756" s="1382"/>
      <c r="ED756" s="1382"/>
      <c r="EE756" s="1382">
        <f t="shared" si="28"/>
        <v>0</v>
      </c>
      <c r="EF756" s="1382"/>
      <c r="EG756" s="1382"/>
      <c r="EH756" s="1382"/>
      <c r="EI756" s="1382"/>
      <c r="EJ756" s="1382">
        <f t="shared" si="29"/>
        <v>0</v>
      </c>
      <c r="EK756" s="1382"/>
      <c r="EL756" s="1382"/>
      <c r="EM756" s="1382"/>
      <c r="EN756" s="1382"/>
      <c r="EO756" s="1382">
        <f t="shared" si="30"/>
        <v>0</v>
      </c>
      <c r="EP756" s="1382"/>
      <c r="EQ756" s="1382"/>
      <c r="ER756" s="1382"/>
      <c r="ES756" s="1382"/>
      <c r="ET756" s="1382">
        <f t="shared" si="31"/>
        <v>0</v>
      </c>
      <c r="EU756" s="1382"/>
      <c r="EV756" s="1382"/>
      <c r="EW756" s="1382"/>
      <c r="EX756" s="1382"/>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62"/>
      <c r="C757" s="1363"/>
      <c r="D757" s="1363"/>
      <c r="E757" s="1363"/>
      <c r="F757" s="1364"/>
      <c r="G757" s="1371"/>
      <c r="H757" s="1372"/>
      <c r="I757" s="1372"/>
      <c r="J757" s="1373"/>
      <c r="K757" s="1586"/>
      <c r="L757" s="1587"/>
      <c r="M757" s="1587"/>
      <c r="N757" s="1588"/>
      <c r="O757" s="1378"/>
      <c r="P757" s="1379"/>
      <c r="Q757" s="1379"/>
      <c r="R757" s="1379"/>
      <c r="S757" s="1380"/>
      <c r="T757" s="1378"/>
      <c r="U757" s="1379"/>
      <c r="V757" s="1379"/>
      <c r="W757" s="1380"/>
      <c r="X757" s="1365">
        <f t="shared" si="41"/>
        <v>0</v>
      </c>
      <c r="Y757" s="1366"/>
      <c r="Z757" s="1366"/>
      <c r="AA757" s="1366"/>
      <c r="AB757" s="1367"/>
      <c r="AC757" s="1375"/>
      <c r="AD757" s="1376"/>
      <c r="AE757" s="1376"/>
      <c r="AF757" s="1376"/>
      <c r="AG757" s="1377"/>
      <c r="AH757" s="1368" t="str">
        <f t="shared" si="38"/>
        <v/>
      </c>
      <c r="AI757" s="1369"/>
      <c r="AJ757" s="1370"/>
      <c r="AK757" s="1362" t="s">
        <v>590</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2">
        <f t="shared" si="26"/>
        <v>0</v>
      </c>
      <c r="DV757" s="1382"/>
      <c r="DW757" s="1382"/>
      <c r="DX757" s="1382"/>
      <c r="DY757" s="1382"/>
      <c r="DZ757" s="1382">
        <f t="shared" si="27"/>
        <v>0</v>
      </c>
      <c r="EA757" s="1382"/>
      <c r="EB757" s="1382"/>
      <c r="EC757" s="1382"/>
      <c r="ED757" s="1382"/>
      <c r="EE757" s="1382">
        <f t="shared" si="28"/>
        <v>0</v>
      </c>
      <c r="EF757" s="1382"/>
      <c r="EG757" s="1382"/>
      <c r="EH757" s="1382"/>
      <c r="EI757" s="1382"/>
      <c r="EJ757" s="1382">
        <f t="shared" si="29"/>
        <v>0</v>
      </c>
      <c r="EK757" s="1382"/>
      <c r="EL757" s="1382"/>
      <c r="EM757" s="1382"/>
      <c r="EN757" s="1382"/>
      <c r="EO757" s="1382">
        <f t="shared" si="30"/>
        <v>0</v>
      </c>
      <c r="EP757" s="1382"/>
      <c r="EQ757" s="1382"/>
      <c r="ER757" s="1382"/>
      <c r="ES757" s="1382"/>
      <c r="ET757" s="1382">
        <f t="shared" si="31"/>
        <v>0</v>
      </c>
      <c r="EU757" s="1382"/>
      <c r="EV757" s="1382"/>
      <c r="EW757" s="1382"/>
      <c r="EX757" s="1382"/>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62"/>
      <c r="C758" s="1363"/>
      <c r="D758" s="1363"/>
      <c r="E758" s="1363"/>
      <c r="F758" s="1364"/>
      <c r="G758" s="1371"/>
      <c r="H758" s="1372"/>
      <c r="I758" s="1372"/>
      <c r="J758" s="1373"/>
      <c r="K758" s="1586"/>
      <c r="L758" s="1587"/>
      <c r="M758" s="1587"/>
      <c r="N758" s="1588"/>
      <c r="O758" s="1378"/>
      <c r="P758" s="1379"/>
      <c r="Q758" s="1379"/>
      <c r="R758" s="1379"/>
      <c r="S758" s="1380"/>
      <c r="T758" s="1378"/>
      <c r="U758" s="1379"/>
      <c r="V758" s="1379"/>
      <c r="W758" s="1380"/>
      <c r="X758" s="1365">
        <f t="shared" si="41"/>
        <v>0</v>
      </c>
      <c r="Y758" s="1366"/>
      <c r="Z758" s="1366"/>
      <c r="AA758" s="1366"/>
      <c r="AB758" s="1367"/>
      <c r="AC758" s="1375"/>
      <c r="AD758" s="1376"/>
      <c r="AE758" s="1376"/>
      <c r="AF758" s="1376"/>
      <c r="AG758" s="1377"/>
      <c r="AH758" s="1368" t="str">
        <f t="shared" si="38"/>
        <v/>
      </c>
      <c r="AI758" s="1369"/>
      <c r="AJ758" s="1370"/>
      <c r="AK758" s="1362" t="s">
        <v>590</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2">
        <f t="shared" si="26"/>
        <v>0</v>
      </c>
      <c r="DV758" s="1382"/>
      <c r="DW758" s="1382"/>
      <c r="DX758" s="1382"/>
      <c r="DY758" s="1382"/>
      <c r="DZ758" s="1382">
        <f t="shared" si="27"/>
        <v>0</v>
      </c>
      <c r="EA758" s="1382"/>
      <c r="EB758" s="1382"/>
      <c r="EC758" s="1382"/>
      <c r="ED758" s="1382"/>
      <c r="EE758" s="1382">
        <f t="shared" si="28"/>
        <v>0</v>
      </c>
      <c r="EF758" s="1382"/>
      <c r="EG758" s="1382"/>
      <c r="EH758" s="1382"/>
      <c r="EI758" s="1382"/>
      <c r="EJ758" s="1382">
        <f t="shared" si="29"/>
        <v>0</v>
      </c>
      <c r="EK758" s="1382"/>
      <c r="EL758" s="1382"/>
      <c r="EM758" s="1382"/>
      <c r="EN758" s="1382"/>
      <c r="EO758" s="1382">
        <f t="shared" si="30"/>
        <v>0</v>
      </c>
      <c r="EP758" s="1382"/>
      <c r="EQ758" s="1382"/>
      <c r="ER758" s="1382"/>
      <c r="ES758" s="1382"/>
      <c r="ET758" s="1382">
        <f t="shared" si="31"/>
        <v>0</v>
      </c>
      <c r="EU758" s="1382"/>
      <c r="EV758" s="1382"/>
      <c r="EW758" s="1382"/>
      <c r="EX758" s="1382"/>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62"/>
      <c r="C759" s="1363"/>
      <c r="D759" s="1363"/>
      <c r="E759" s="1363"/>
      <c r="F759" s="1364"/>
      <c r="G759" s="1371"/>
      <c r="H759" s="1372"/>
      <c r="I759" s="1372"/>
      <c r="J759" s="1373"/>
      <c r="K759" s="1586"/>
      <c r="L759" s="1587"/>
      <c r="M759" s="1587"/>
      <c r="N759" s="1588"/>
      <c r="O759" s="1378"/>
      <c r="P759" s="1379"/>
      <c r="Q759" s="1379"/>
      <c r="R759" s="1379"/>
      <c r="S759" s="1380"/>
      <c r="T759" s="1378"/>
      <c r="U759" s="1379"/>
      <c r="V759" s="1379"/>
      <c r="W759" s="1380"/>
      <c r="X759" s="1365">
        <f t="shared" si="41"/>
        <v>0</v>
      </c>
      <c r="Y759" s="1366"/>
      <c r="Z759" s="1366"/>
      <c r="AA759" s="1366"/>
      <c r="AB759" s="1367"/>
      <c r="AC759" s="1375"/>
      <c r="AD759" s="1376"/>
      <c r="AE759" s="1376"/>
      <c r="AF759" s="1376"/>
      <c r="AG759" s="1377"/>
      <c r="AH759" s="1368" t="str">
        <f t="shared" si="38"/>
        <v/>
      </c>
      <c r="AI759" s="1369"/>
      <c r="AJ759" s="1370"/>
      <c r="AK759" s="1362" t="s">
        <v>590</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2">
        <f t="shared" si="26"/>
        <v>0</v>
      </c>
      <c r="DV759" s="1382"/>
      <c r="DW759" s="1382"/>
      <c r="DX759" s="1382"/>
      <c r="DY759" s="1382"/>
      <c r="DZ759" s="1382">
        <f t="shared" si="27"/>
        <v>0</v>
      </c>
      <c r="EA759" s="1382"/>
      <c r="EB759" s="1382"/>
      <c r="EC759" s="1382"/>
      <c r="ED759" s="1382"/>
      <c r="EE759" s="1382">
        <f t="shared" si="28"/>
        <v>0</v>
      </c>
      <c r="EF759" s="1382"/>
      <c r="EG759" s="1382"/>
      <c r="EH759" s="1382"/>
      <c r="EI759" s="1382"/>
      <c r="EJ759" s="1382">
        <f t="shared" si="29"/>
        <v>0</v>
      </c>
      <c r="EK759" s="1382"/>
      <c r="EL759" s="1382"/>
      <c r="EM759" s="1382"/>
      <c r="EN759" s="1382"/>
      <c r="EO759" s="1382">
        <f t="shared" si="30"/>
        <v>0</v>
      </c>
      <c r="EP759" s="1382"/>
      <c r="EQ759" s="1382"/>
      <c r="ER759" s="1382"/>
      <c r="ES759" s="1382"/>
      <c r="ET759" s="1382">
        <f t="shared" si="31"/>
        <v>0</v>
      </c>
      <c r="EU759" s="1382"/>
      <c r="EV759" s="1382"/>
      <c r="EW759" s="1382"/>
      <c r="EX759" s="1382"/>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62"/>
      <c r="C760" s="1363"/>
      <c r="D760" s="1363"/>
      <c r="E760" s="1363"/>
      <c r="F760" s="1364"/>
      <c r="G760" s="1371"/>
      <c r="H760" s="1372"/>
      <c r="I760" s="1372"/>
      <c r="J760" s="1373"/>
      <c r="K760" s="1586"/>
      <c r="L760" s="1587"/>
      <c r="M760" s="1587"/>
      <c r="N760" s="1588"/>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t="s">
        <v>590</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2">
        <f t="shared" si="26"/>
        <v>0</v>
      </c>
      <c r="DV760" s="1382"/>
      <c r="DW760" s="1382"/>
      <c r="DX760" s="1382"/>
      <c r="DY760" s="1382"/>
      <c r="DZ760" s="1382">
        <f t="shared" si="27"/>
        <v>0</v>
      </c>
      <c r="EA760" s="1382"/>
      <c r="EB760" s="1382"/>
      <c r="EC760" s="1382"/>
      <c r="ED760" s="1382"/>
      <c r="EE760" s="1382">
        <f t="shared" si="28"/>
        <v>0</v>
      </c>
      <c r="EF760" s="1382"/>
      <c r="EG760" s="1382"/>
      <c r="EH760" s="1382"/>
      <c r="EI760" s="1382"/>
      <c r="EJ760" s="1382">
        <f t="shared" si="29"/>
        <v>0</v>
      </c>
      <c r="EK760" s="1382"/>
      <c r="EL760" s="1382"/>
      <c r="EM760" s="1382"/>
      <c r="EN760" s="1382"/>
      <c r="EO760" s="1382">
        <f t="shared" si="30"/>
        <v>0</v>
      </c>
      <c r="EP760" s="1382"/>
      <c r="EQ760" s="1382"/>
      <c r="ER760" s="1382"/>
      <c r="ES760" s="1382"/>
      <c r="ET760" s="1382">
        <f t="shared" si="31"/>
        <v>0</v>
      </c>
      <c r="EU760" s="1382"/>
      <c r="EV760" s="1382"/>
      <c r="EW760" s="1382"/>
      <c r="EX760" s="1382"/>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403" t="s">
        <v>125</v>
      </c>
      <c r="C761" s="1404"/>
      <c r="D761" s="1404"/>
      <c r="E761" s="1404"/>
      <c r="F761" s="1406"/>
      <c r="G761" s="1719">
        <f>SUM(G726:G760)</f>
        <v>28</v>
      </c>
      <c r="H761" s="1720"/>
      <c r="I761" s="1720"/>
      <c r="J761" s="1721"/>
      <c r="K761" s="898" t="s">
        <v>124</v>
      </c>
      <c r="L761" s="5"/>
      <c r="M761" s="5"/>
      <c r="N761" s="46"/>
      <c r="O761" s="1365">
        <f>SUMPRODUCT(G726:G760,O726:O760)</f>
        <v>34272</v>
      </c>
      <c r="P761" s="1366"/>
      <c r="Q761" s="1366"/>
      <c r="R761" s="1366"/>
      <c r="S761" s="1367"/>
      <c r="T761"/>
      <c r="U761"/>
      <c r="V761"/>
      <c r="W761"/>
      <c r="X761" s="900" t="s">
        <v>899</v>
      </c>
      <c r="Y761" s="899"/>
      <c r="Z761" s="899"/>
      <c r="AA761" s="899"/>
      <c r="AB761" s="901"/>
      <c r="AC761" s="1622">
        <f>BH761</f>
        <v>0.42142857142857137</v>
      </c>
      <c r="AD761" s="1623"/>
      <c r="AE761" s="1623"/>
      <c r="AF761" s="1623"/>
      <c r="AG761" s="1624"/>
      <c r="AH761" s="1622">
        <f>IFERROR(BU761,"")</f>
        <v>0.42140381341833244</v>
      </c>
      <c r="AI761" s="1623"/>
      <c r="AJ761" s="1624"/>
      <c r="AK761"/>
      <c r="AL761"/>
      <c r="AM761"/>
      <c r="AN761"/>
      <c r="AO761"/>
      <c r="AP761" s="205"/>
      <c r="AQ761" s="205"/>
      <c r="AR761" s="205"/>
      <c r="AS761" s="205"/>
      <c r="AT761"/>
      <c r="AU761"/>
      <c r="AV761"/>
      <c r="AW761"/>
      <c r="AX761"/>
      <c r="AY761"/>
      <c r="AZ761" s="34"/>
      <c r="BA761" s="34"/>
      <c r="BB761" s="34"/>
      <c r="BC761" s="34"/>
      <c r="BE761" s="290" t="s">
        <v>898</v>
      </c>
      <c r="BF761" s="299">
        <f>SUM(BF726:BF760)</f>
        <v>28</v>
      </c>
      <c r="BG761" s="300">
        <f>SUM(BG726:BG760)</f>
        <v>0.99999999999999989</v>
      </c>
      <c r="BH761" s="300">
        <f>SUM(BH726:BH760)</f>
        <v>0.42142857142857137</v>
      </c>
      <c r="BI761"/>
      <c r="BJ761"/>
      <c r="BK761"/>
      <c r="BL761"/>
      <c r="BO761"/>
      <c r="BP761"/>
      <c r="BQ761"/>
      <c r="BR761"/>
      <c r="BS761" s="855">
        <f>SUM(BS726:BS760)</f>
        <v>28</v>
      </c>
      <c r="BT761" s="300">
        <f>SUM(BT726:BT760)</f>
        <v>0.99999999999999989</v>
      </c>
      <c r="BU761" s="300">
        <f>SUM(BU726:BU760)</f>
        <v>0.42140381341833244</v>
      </c>
      <c r="CI761" s="1358">
        <f>SUM(CI726:CJ760)</f>
        <v>6</v>
      </c>
      <c r="CJ761" s="1360"/>
      <c r="CM761" s="1358">
        <f>SUM(CM726:CN760)</f>
        <v>12</v>
      </c>
      <c r="CN761" s="1360"/>
      <c r="CP761" s="1358">
        <f>SUM(CP726:CT760)</f>
        <v>0</v>
      </c>
      <c r="CQ761" s="1359"/>
      <c r="CR761" s="1359"/>
      <c r="CS761" s="1359"/>
      <c r="CT761" s="1360"/>
      <c r="CU761" s="1381">
        <f>SUM(CU726:CY760)</f>
        <v>10</v>
      </c>
      <c r="CV761" s="1381"/>
      <c r="CW761" s="1381"/>
      <c r="CX761" s="1381"/>
      <c r="CY761" s="1381"/>
      <c r="CZ761" s="1381">
        <f>SUM(CZ726:DD760)</f>
        <v>10</v>
      </c>
      <c r="DA761" s="1381"/>
      <c r="DB761" s="1381"/>
      <c r="DC761" s="1381"/>
      <c r="DD761" s="1381"/>
      <c r="DE761" s="1381">
        <f>SUM(DE726:DI760)</f>
        <v>8</v>
      </c>
      <c r="DF761" s="1381"/>
      <c r="DG761" s="1381"/>
      <c r="DH761" s="1381"/>
      <c r="DI761" s="1381"/>
      <c r="DJ761" s="1381">
        <f>SUM(DJ726:DN760)</f>
        <v>0</v>
      </c>
      <c r="DK761" s="1381"/>
      <c r="DL761" s="1381"/>
      <c r="DM761" s="1381"/>
      <c r="DN761" s="1381"/>
      <c r="DO761" s="1381">
        <f>SUM(DO726:DS760)</f>
        <v>0</v>
      </c>
      <c r="DP761" s="1381"/>
      <c r="DQ761" s="1381"/>
      <c r="DR761" s="1381"/>
      <c r="DS761" s="1381"/>
      <c r="DT761" s="354"/>
      <c r="DU761" s="1381">
        <f>SUM(DU726:DY760)</f>
        <v>0</v>
      </c>
      <c r="DV761" s="1381"/>
      <c r="DW761" s="1381"/>
      <c r="DX761" s="1381"/>
      <c r="DY761" s="1381"/>
      <c r="DZ761" s="1381">
        <f>SUM(DZ726:ED760)</f>
        <v>7</v>
      </c>
      <c r="EA761" s="1381"/>
      <c r="EB761" s="1381"/>
      <c r="EC761" s="1381"/>
      <c r="ED761" s="1381"/>
      <c r="EE761" s="1381">
        <f>SUM(EE726:EI760)</f>
        <v>3</v>
      </c>
      <c r="EF761" s="1381"/>
      <c r="EG761" s="1381"/>
      <c r="EH761" s="1381"/>
      <c r="EI761" s="1381"/>
      <c r="EJ761" s="1381">
        <f>SUM(EJ726:EN760)</f>
        <v>2</v>
      </c>
      <c r="EK761" s="1381"/>
      <c r="EL761" s="1381"/>
      <c r="EM761" s="1381"/>
      <c r="EN761" s="1381"/>
      <c r="EO761" s="1381">
        <f>SUM(EO726:ES760)</f>
        <v>0</v>
      </c>
      <c r="EP761" s="1381"/>
      <c r="EQ761" s="1381"/>
      <c r="ER761" s="1381"/>
      <c r="ES761" s="1381"/>
      <c r="ET761" s="1381">
        <f>SUM(ET726:EX760)</f>
        <v>0</v>
      </c>
      <c r="EU761" s="1381"/>
      <c r="EV761" s="1381"/>
      <c r="EW761" s="1381"/>
      <c r="EX761" s="1381"/>
      <c r="EY761"/>
      <c r="EZ761" s="1381">
        <f>SUM(EZ726:FD760)</f>
        <v>0</v>
      </c>
      <c r="FA761" s="1381"/>
      <c r="FB761" s="1381"/>
      <c r="FC761" s="1381"/>
      <c r="FD761" s="1381"/>
      <c r="FE761" s="1381">
        <f>SUM(FE726:FI760)</f>
        <v>1791</v>
      </c>
      <c r="FF761" s="1381"/>
      <c r="FG761" s="1381"/>
      <c r="FH761" s="1381"/>
      <c r="FI761" s="1381"/>
      <c r="FJ761" s="1381">
        <f>SUM(FJ726:FN760)</f>
        <v>3774</v>
      </c>
      <c r="FK761" s="1381"/>
      <c r="FL761" s="1381"/>
      <c r="FM761" s="1381"/>
      <c r="FN761" s="1381"/>
      <c r="FO761" s="1381">
        <f>SUM(FO726:FS760)</f>
        <v>2837</v>
      </c>
      <c r="FP761" s="1381"/>
      <c r="FQ761" s="1381"/>
      <c r="FR761" s="1381"/>
      <c r="FS761" s="1381"/>
      <c r="FT761" s="1381">
        <f>SUM(FT726:FX760)</f>
        <v>0</v>
      </c>
      <c r="FU761" s="1381"/>
      <c r="FV761" s="1381"/>
      <c r="FW761" s="1381"/>
      <c r="FX761" s="1381"/>
      <c r="FY761" s="1381">
        <f>SUM(FY726:GC760)</f>
        <v>0</v>
      </c>
      <c r="FZ761" s="1381"/>
      <c r="GA761" s="1381"/>
      <c r="GB761" s="1381"/>
      <c r="GC761" s="1381"/>
    </row>
    <row r="762" spans="1:185" s="3" customFormat="1" ht="12.95" customHeight="1">
      <c r="A762"/>
      <c r="B762" s="1657" t="s">
        <v>1866</v>
      </c>
      <c r="C762" s="1657"/>
      <c r="D762" s="1657"/>
      <c r="E762" s="1657"/>
      <c r="F762" s="1657"/>
      <c r="G762" s="1657"/>
      <c r="H762" s="1657"/>
      <c r="I762" s="1657"/>
      <c r="J762" s="1657"/>
      <c r="K762" s="1657"/>
      <c r="L762" s="1657"/>
      <c r="M762" s="1657"/>
      <c r="N762" s="1657"/>
      <c r="O762" s="1657"/>
      <c r="P762" s="1657"/>
      <c r="Q762" s="1657"/>
      <c r="R762" s="1657"/>
      <c r="S762" s="1657"/>
      <c r="T762" s="1657"/>
      <c r="U762" s="1657"/>
      <c r="V762" s="1657"/>
      <c r="W762" s="1657"/>
      <c r="X762" s="1657"/>
      <c r="Y762" s="1657"/>
      <c r="Z762" s="1657"/>
      <c r="AA762" s="1657"/>
      <c r="AB762" s="1657"/>
      <c r="AC762" s="1657"/>
      <c r="AD762" s="1657"/>
      <c r="AE762" s="1657"/>
      <c r="AF762" s="1657"/>
      <c r="AG762" s="1657"/>
      <c r="AH762" s="1657"/>
      <c r="AI762"/>
      <c r="AJ762"/>
      <c r="AK762"/>
      <c r="AT762"/>
      <c r="AU762"/>
      <c r="AV762"/>
      <c r="AW762"/>
      <c r="AX762"/>
      <c r="AY762"/>
      <c r="CD762"/>
      <c r="DN762" s="56" t="s">
        <v>1834</v>
      </c>
      <c r="DO762" s="1358">
        <f>CP761+CU761+CZ761+DE761+DJ761+DO761</f>
        <v>28</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57"/>
      <c r="C763" s="1657"/>
      <c r="D763" s="1657"/>
      <c r="E763" s="1657"/>
      <c r="F763" s="1657"/>
      <c r="G763" s="1657"/>
      <c r="H763" s="1657"/>
      <c r="I763" s="1657"/>
      <c r="J763" s="1657"/>
      <c r="K763" s="1657"/>
      <c r="L763" s="1657"/>
      <c r="M763" s="1657"/>
      <c r="N763" s="1657"/>
      <c r="O763" s="1657"/>
      <c r="P763" s="1657"/>
      <c r="Q763" s="1657"/>
      <c r="R763" s="1657"/>
      <c r="S763" s="1657"/>
      <c r="T763" s="1657"/>
      <c r="U763" s="1657"/>
      <c r="V763" s="1657"/>
      <c r="W763" s="1657"/>
      <c r="X763" s="1657"/>
      <c r="Y763" s="1657"/>
      <c r="Z763" s="1657"/>
      <c r="AA763" s="1657"/>
      <c r="AB763" s="1657"/>
      <c r="AC763" s="1657"/>
      <c r="AD763" s="1657"/>
      <c r="AE763" s="1657"/>
      <c r="AF763" s="1657"/>
      <c r="AG763" s="1657"/>
      <c r="AH763" s="165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10</v>
      </c>
      <c r="CZ763" s="3"/>
      <c r="DA763" s="3"/>
      <c r="DB763" s="3"/>
      <c r="DC763" s="3"/>
      <c r="DD763" s="857">
        <f>CZ761*2</f>
        <v>20</v>
      </c>
      <c r="DE763" s="3"/>
      <c r="DF763" s="3"/>
      <c r="DG763" s="3"/>
      <c r="DH763" s="3"/>
      <c r="DI763" s="857">
        <f>DE761*3</f>
        <v>24</v>
      </c>
      <c r="DJ763" s="3"/>
      <c r="DK763" s="3"/>
      <c r="DL763" s="3"/>
      <c r="DM763" s="3"/>
      <c r="DN763" s="857">
        <f>DJ761*4</f>
        <v>0</v>
      </c>
      <c r="DO763" s="3"/>
      <c r="DP763" s="3"/>
      <c r="DQ763" s="3"/>
      <c r="DR763" s="3"/>
      <c r="DS763" s="857">
        <f>DO761*5</f>
        <v>0</v>
      </c>
      <c r="DU763" s="857">
        <f>CT763+CY763+DD763+DI763+DN763+DS763</f>
        <v>54</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81">
        <f>DU763</f>
        <v>54</v>
      </c>
      <c r="P764" s="1381"/>
      <c r="Q764" s="1381"/>
      <c r="R764" s="1381"/>
      <c r="S764" s="965"/>
      <c r="T764" s="965"/>
      <c r="U764" s="118" t="s">
        <v>1865</v>
      </c>
      <c r="V764" s="1027"/>
      <c r="W764" s="1027"/>
      <c r="X764" s="1027"/>
      <c r="Y764" s="1028"/>
      <c r="Z764" s="1028"/>
      <c r="AA764" s="1028"/>
      <c r="AB764" s="1028"/>
      <c r="AC764" s="1027"/>
      <c r="AD764" s="1027"/>
      <c r="AE764" s="1027"/>
      <c r="AF764" s="1027"/>
      <c r="AG764" s="1849">
        <v>0</v>
      </c>
      <c r="AH764" s="1849"/>
      <c r="AI764" s="1849"/>
      <c r="AJ764" s="1849"/>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7" t="str">
        <f>IF(G761&lt;&gt;AG449,"! Total Low-Income Units in the Unit Mix Table above does not match the number of Total Low-Income Units on row #"&amp;TEXT(ROW(D449),"#"),"")</f>
        <v/>
      </c>
      <c r="D765" s="1867"/>
      <c r="E765" s="1867"/>
      <c r="F765" s="1867"/>
      <c r="G765" s="1867"/>
      <c r="H765" s="1867"/>
      <c r="I765" s="1867"/>
      <c r="J765" s="1867"/>
      <c r="K765" s="1867"/>
      <c r="L765" s="1867"/>
      <c r="M765" s="1867"/>
      <c r="N765" s="1867"/>
      <c r="O765" s="1867"/>
      <c r="P765" s="1867"/>
      <c r="Q765" s="1867"/>
      <c r="R765" s="1867"/>
      <c r="S765" s="1867"/>
      <c r="T765" s="1867"/>
      <c r="U765" s="1867"/>
      <c r="V765" s="1867"/>
      <c r="W765" s="1867"/>
      <c r="X765" s="1867"/>
      <c r="Y765" s="1867"/>
      <c r="Z765" s="1867"/>
      <c r="AA765" s="1867"/>
      <c r="AB765" s="1867"/>
      <c r="AC765" s="1867"/>
      <c r="AD765" s="1867"/>
      <c r="AE765" s="1867"/>
      <c r="AF765" s="1867"/>
      <c r="AG765" s="1867"/>
      <c r="AH765" s="1867"/>
      <c r="AI765" s="1867"/>
      <c r="AJ765" s="1867"/>
      <c r="AK765" s="1867"/>
      <c r="AL765" s="1867"/>
      <c r="AM765" s="186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7"/>
      <c r="D766" s="1867"/>
      <c r="E766" s="1867"/>
      <c r="F766" s="1867"/>
      <c r="G766" s="1867"/>
      <c r="H766" s="1867"/>
      <c r="I766" s="1867"/>
      <c r="J766" s="1867"/>
      <c r="K766" s="1867"/>
      <c r="L766" s="1867"/>
      <c r="M766" s="1867"/>
      <c r="N766" s="1867"/>
      <c r="O766" s="1867"/>
      <c r="P766" s="1867"/>
      <c r="Q766" s="1867"/>
      <c r="R766" s="1867"/>
      <c r="S766" s="1867"/>
      <c r="T766" s="1867"/>
      <c r="U766" s="1867"/>
      <c r="V766" s="1867"/>
      <c r="W766" s="1867"/>
      <c r="X766" s="1867"/>
      <c r="Y766" s="1867"/>
      <c r="Z766" s="1867"/>
      <c r="AA766" s="1867"/>
      <c r="AB766" s="1867"/>
      <c r="AC766" s="1867"/>
      <c r="AD766" s="1867"/>
      <c r="AE766" s="1867"/>
      <c r="AF766" s="1867"/>
      <c r="AG766" s="1867"/>
      <c r="AH766" s="1867"/>
      <c r="AI766" s="1867"/>
      <c r="AJ766" s="1867"/>
      <c r="AK766" s="1867"/>
      <c r="AL766" s="1867"/>
      <c r="AM766" s="186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2" t="s">
        <v>590</v>
      </c>
      <c r="AE767" s="1722"/>
      <c r="AF767" s="1722"/>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4" t="s">
        <v>389</v>
      </c>
      <c r="K777" s="1594"/>
      <c r="L777" s="1594"/>
      <c r="M777" s="1594"/>
      <c r="N777" s="1595"/>
      <c r="O777" s="1620" t="s">
        <v>285</v>
      </c>
      <c r="P777" s="1620"/>
      <c r="Q777" s="1620"/>
      <c r="R777" s="1620"/>
      <c r="S777" s="1620"/>
      <c r="T777" s="1607" t="s">
        <v>1667</v>
      </c>
      <c r="U777" s="1608"/>
      <c r="V777" s="1608"/>
      <c r="W777" s="1609"/>
      <c r="X777" s="1604" t="s">
        <v>446</v>
      </c>
      <c r="Y777" s="1594"/>
      <c r="Z777" s="1594"/>
      <c r="AA777" s="1594"/>
      <c r="AB777" s="1595"/>
      <c r="AC777" s="1604" t="s">
        <v>286</v>
      </c>
      <c r="AD777" s="1594"/>
      <c r="AE777" s="1594"/>
      <c r="AF777" s="1594"/>
      <c r="AG777" s="159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96"/>
      <c r="K778" s="1597"/>
      <c r="L778" s="1597"/>
      <c r="M778" s="1597"/>
      <c r="N778" s="1598"/>
      <c r="O778" s="1620"/>
      <c r="P778" s="1620"/>
      <c r="Q778" s="1620"/>
      <c r="R778" s="1620"/>
      <c r="S778" s="1620"/>
      <c r="T778" s="1610"/>
      <c r="U778" s="1611"/>
      <c r="V778" s="1611"/>
      <c r="W778" s="1612"/>
      <c r="X778" s="1596"/>
      <c r="Y778" s="1597"/>
      <c r="Z778" s="1597"/>
      <c r="AA778" s="1597"/>
      <c r="AB778" s="1598"/>
      <c r="AC778" s="1596"/>
      <c r="AD778" s="1597"/>
      <c r="AE778" s="1597"/>
      <c r="AF778" s="1597"/>
      <c r="AG778" s="159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96"/>
      <c r="K779" s="1597"/>
      <c r="L779" s="1597"/>
      <c r="M779" s="1597"/>
      <c r="N779" s="1598"/>
      <c r="O779" s="1620"/>
      <c r="P779" s="1620"/>
      <c r="Q779" s="1620"/>
      <c r="R779" s="1620"/>
      <c r="S779" s="1620"/>
      <c r="T779" s="1610"/>
      <c r="U779" s="1611"/>
      <c r="V779" s="1611"/>
      <c r="W779" s="1612"/>
      <c r="X779" s="1596"/>
      <c r="Y779" s="1597"/>
      <c r="Z779" s="1597"/>
      <c r="AA779" s="1597"/>
      <c r="AB779" s="1598"/>
      <c r="AC779" s="1596"/>
      <c r="AD779" s="1597"/>
      <c r="AE779" s="1597"/>
      <c r="AF779" s="1597"/>
      <c r="AG779" s="159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99"/>
      <c r="K780" s="1600"/>
      <c r="L780" s="1600"/>
      <c r="M780" s="1600"/>
      <c r="N780" s="1601"/>
      <c r="O780" s="1620"/>
      <c r="P780" s="1620"/>
      <c r="Q780" s="1620"/>
      <c r="R780" s="1620"/>
      <c r="S780" s="1620"/>
      <c r="T780" s="1613"/>
      <c r="U780" s="1614"/>
      <c r="V780" s="1614"/>
      <c r="W780" s="1615"/>
      <c r="X780" s="1599"/>
      <c r="Y780" s="1600"/>
      <c r="Z780" s="1600"/>
      <c r="AA780" s="1600"/>
      <c r="AB780" s="1601"/>
      <c r="AC780" s="1599"/>
      <c r="AD780" s="1600"/>
      <c r="AE780" s="1600"/>
      <c r="AF780" s="1600"/>
      <c r="AG780" s="160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c r="K781" s="1363"/>
      <c r="L781" s="1363"/>
      <c r="M781" s="1363"/>
      <c r="N781" s="1364"/>
      <c r="O781" s="1500"/>
      <c r="P781" s="1500"/>
      <c r="Q781" s="1500"/>
      <c r="R781" s="1500"/>
      <c r="S781" s="1500"/>
      <c r="T781" s="1586"/>
      <c r="U781" s="1587"/>
      <c r="V781" s="1587"/>
      <c r="W781" s="1588"/>
      <c r="X781" s="1378"/>
      <c r="Y781" s="1379"/>
      <c r="Z781" s="1379"/>
      <c r="AA781" s="1379"/>
      <c r="AB781" s="1380"/>
      <c r="AC781" s="1365">
        <f>X781*O781</f>
        <v>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0</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2"/>
      <c r="K782" s="1363"/>
      <c r="L782" s="1363"/>
      <c r="M782" s="1363"/>
      <c r="N782" s="1364"/>
      <c r="O782" s="1500"/>
      <c r="P782" s="1500"/>
      <c r="Q782" s="1500"/>
      <c r="R782" s="1500"/>
      <c r="S782" s="1500"/>
      <c r="T782" s="1586"/>
      <c r="U782" s="1587"/>
      <c r="V782" s="1587"/>
      <c r="W782" s="1588"/>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2"/>
      <c r="K783" s="1363"/>
      <c r="L783" s="1363"/>
      <c r="M783" s="1363"/>
      <c r="N783" s="1364"/>
      <c r="O783" s="1500"/>
      <c r="P783" s="1500"/>
      <c r="Q783" s="1500"/>
      <c r="R783" s="1500"/>
      <c r="S783" s="1500"/>
      <c r="T783" s="1586"/>
      <c r="U783" s="1587"/>
      <c r="V783" s="1587"/>
      <c r="W783" s="1588"/>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2"/>
      <c r="K784" s="1363"/>
      <c r="L784" s="1363"/>
      <c r="M784" s="1363"/>
      <c r="N784" s="1364"/>
      <c r="O784" s="1500"/>
      <c r="P784" s="1500"/>
      <c r="Q784" s="1500"/>
      <c r="R784" s="1500"/>
      <c r="S784" s="1500"/>
      <c r="T784" s="1586"/>
      <c r="U784" s="1587"/>
      <c r="V784" s="1587"/>
      <c r="W784" s="1588"/>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03" t="s">
        <v>125</v>
      </c>
      <c r="K785" s="1404"/>
      <c r="L785" s="1404"/>
      <c r="M785" s="1404"/>
      <c r="N785" s="1406"/>
      <c r="O785" s="1342">
        <f>SUM(O781:S784)</f>
        <v>0</v>
      </c>
      <c r="P785" s="1343"/>
      <c r="Q785" s="1343"/>
      <c r="R785" s="1343"/>
      <c r="S785" s="1344"/>
      <c r="X785" s="1403" t="s">
        <v>124</v>
      </c>
      <c r="Y785" s="1404"/>
      <c r="Z785" s="1404"/>
      <c r="AA785" s="1404"/>
      <c r="AB785" s="1406"/>
      <c r="AC785" s="1365">
        <f>SUM(AC781:AG784)</f>
        <v>0</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0</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0</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0</v>
      </c>
      <c r="DV786" s="57" t="s">
        <v>1835</v>
      </c>
    </row>
    <row r="787" spans="1:154" ht="12.95" customHeight="1">
      <c r="B787" s="56"/>
      <c r="C787" s="56"/>
      <c r="D787" s="56"/>
      <c r="E787" s="56"/>
      <c r="F787" s="56"/>
      <c r="G787" s="6"/>
      <c r="H787" s="6"/>
      <c r="I787" s="6"/>
      <c r="J787" s="1374" t="s">
        <v>668</v>
      </c>
      <c r="K787" s="1374"/>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4" t="s">
        <v>389</v>
      </c>
      <c r="K791" s="1594"/>
      <c r="L791" s="1594"/>
      <c r="M791" s="1594"/>
      <c r="N791" s="1595"/>
      <c r="O791" s="1620" t="s">
        <v>285</v>
      </c>
      <c r="P791" s="1620"/>
      <c r="Q791" s="1620"/>
      <c r="R791" s="1620"/>
      <c r="S791" s="1620"/>
      <c r="T791" s="1607" t="s">
        <v>1667</v>
      </c>
      <c r="U791" s="1608"/>
      <c r="V791" s="1608"/>
      <c r="W791" s="1609"/>
      <c r="X791" s="1604" t="s">
        <v>446</v>
      </c>
      <c r="Y791" s="1594"/>
      <c r="Z791" s="1594"/>
      <c r="AA791" s="1594"/>
      <c r="AB791" s="1595"/>
      <c r="AC791" s="1604" t="s">
        <v>286</v>
      </c>
      <c r="AD791" s="1594"/>
      <c r="AE791" s="1594"/>
      <c r="AF791" s="1594"/>
      <c r="AG791" s="159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96"/>
      <c r="K792" s="1597"/>
      <c r="L792" s="1597"/>
      <c r="M792" s="1597"/>
      <c r="N792" s="1598"/>
      <c r="O792" s="1620"/>
      <c r="P792" s="1620"/>
      <c r="Q792" s="1620"/>
      <c r="R792" s="1620"/>
      <c r="S792" s="1620"/>
      <c r="T792" s="1610"/>
      <c r="U792" s="1611"/>
      <c r="V792" s="1611"/>
      <c r="W792" s="1612"/>
      <c r="X792" s="1596"/>
      <c r="Y792" s="1597"/>
      <c r="Z792" s="1597"/>
      <c r="AA792" s="1597"/>
      <c r="AB792" s="1598"/>
      <c r="AC792" s="1596"/>
      <c r="AD792" s="1597"/>
      <c r="AE792" s="1597"/>
      <c r="AF792" s="1597"/>
      <c r="AG792" s="159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96"/>
      <c r="K793" s="1597"/>
      <c r="L793" s="1597"/>
      <c r="M793" s="1597"/>
      <c r="N793" s="1598"/>
      <c r="O793" s="1620"/>
      <c r="P793" s="1620"/>
      <c r="Q793" s="1620"/>
      <c r="R793" s="1620"/>
      <c r="S793" s="1620"/>
      <c r="T793" s="1610"/>
      <c r="U793" s="1611"/>
      <c r="V793" s="1611"/>
      <c r="W793" s="1612"/>
      <c r="X793" s="1596"/>
      <c r="Y793" s="1597"/>
      <c r="Z793" s="1597"/>
      <c r="AA793" s="1597"/>
      <c r="AB793" s="1598"/>
      <c r="AC793" s="1596"/>
      <c r="AD793" s="1597"/>
      <c r="AE793" s="1597"/>
      <c r="AF793" s="1597"/>
      <c r="AG793" s="159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99"/>
      <c r="K794" s="1600"/>
      <c r="L794" s="1600"/>
      <c r="M794" s="1600"/>
      <c r="N794" s="1601"/>
      <c r="O794" s="1620"/>
      <c r="P794" s="1620"/>
      <c r="Q794" s="1620"/>
      <c r="R794" s="1620"/>
      <c r="S794" s="1620"/>
      <c r="T794" s="1613"/>
      <c r="U794" s="1614"/>
      <c r="V794" s="1614"/>
      <c r="W794" s="1615"/>
      <c r="X794" s="1599"/>
      <c r="Y794" s="1600"/>
      <c r="Z794" s="1600"/>
      <c r="AA794" s="1600"/>
      <c r="AB794" s="1601"/>
      <c r="AC794" s="1599"/>
      <c r="AD794" s="1600"/>
      <c r="AE794" s="1600"/>
      <c r="AF794" s="1600"/>
      <c r="AG794" s="160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00"/>
      <c r="P795" s="1500"/>
      <c r="Q795" s="1500"/>
      <c r="R795" s="1500"/>
      <c r="S795" s="1500"/>
      <c r="T795" s="1586"/>
      <c r="U795" s="1587"/>
      <c r="V795" s="1587"/>
      <c r="W795" s="1588"/>
      <c r="X795" s="1378"/>
      <c r="Y795" s="1379"/>
      <c r="Z795" s="1379"/>
      <c r="AA795" s="1379"/>
      <c r="AB795" s="1380"/>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00"/>
      <c r="P796" s="1500"/>
      <c r="Q796" s="1500"/>
      <c r="R796" s="1500"/>
      <c r="S796" s="1500"/>
      <c r="T796" s="1586"/>
      <c r="U796" s="1587"/>
      <c r="V796" s="1587"/>
      <c r="W796" s="1588"/>
      <c r="X796" s="1378"/>
      <c r="Y796" s="1379"/>
      <c r="Z796" s="1379"/>
      <c r="AA796" s="1379"/>
      <c r="AB796" s="1380"/>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00"/>
      <c r="P797" s="1500"/>
      <c r="Q797" s="1500"/>
      <c r="R797" s="1500"/>
      <c r="S797" s="1500"/>
      <c r="T797" s="1586"/>
      <c r="U797" s="1587"/>
      <c r="V797" s="1587"/>
      <c r="W797" s="1588"/>
      <c r="X797" s="1378"/>
      <c r="Y797" s="1379"/>
      <c r="Z797" s="1379"/>
      <c r="AA797" s="1379"/>
      <c r="AB797" s="1380"/>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00"/>
      <c r="P798" s="1500"/>
      <c r="Q798" s="1500"/>
      <c r="R798" s="1500"/>
      <c r="S798" s="1500"/>
      <c r="T798" s="1586"/>
      <c r="U798" s="1587"/>
      <c r="V798" s="1587"/>
      <c r="W798" s="1588"/>
      <c r="X798" s="1378"/>
      <c r="Y798" s="1379"/>
      <c r="Z798" s="1379"/>
      <c r="AA798" s="1379"/>
      <c r="AB798" s="1380"/>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00"/>
      <c r="P799" s="1500"/>
      <c r="Q799" s="1500"/>
      <c r="R799" s="1500"/>
      <c r="S799" s="1500"/>
      <c r="T799" s="1586"/>
      <c r="U799" s="1587"/>
      <c r="V799" s="1587"/>
      <c r="W799" s="1588"/>
      <c r="X799" s="1378"/>
      <c r="Y799" s="1379"/>
      <c r="Z799" s="1379"/>
      <c r="AA799" s="1379"/>
      <c r="AB799" s="1380"/>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00"/>
      <c r="P800" s="1500"/>
      <c r="Q800" s="1500"/>
      <c r="R800" s="1500"/>
      <c r="S800" s="1500"/>
      <c r="T800" s="1586"/>
      <c r="U800" s="1587"/>
      <c r="V800" s="1587"/>
      <c r="W800" s="1588"/>
      <c r="X800" s="1378"/>
      <c r="Y800" s="1379"/>
      <c r="Z800" s="1379"/>
      <c r="AA800" s="1379"/>
      <c r="AB800" s="1380"/>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00"/>
      <c r="P801" s="1500"/>
      <c r="Q801" s="1500"/>
      <c r="R801" s="1500"/>
      <c r="S801" s="1500"/>
      <c r="T801" s="1586"/>
      <c r="U801" s="1587"/>
      <c r="V801" s="1587"/>
      <c r="W801" s="1588"/>
      <c r="X801" s="1378"/>
      <c r="Y801" s="1379"/>
      <c r="Z801" s="1379"/>
      <c r="AA801" s="1379"/>
      <c r="AB801" s="1380"/>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00"/>
      <c r="P802" s="1500"/>
      <c r="Q802" s="1500"/>
      <c r="R802" s="1500"/>
      <c r="S802" s="1500"/>
      <c r="T802" s="1586"/>
      <c r="U802" s="1587"/>
      <c r="V802" s="1587"/>
      <c r="W802" s="1588"/>
      <c r="X802" s="1378"/>
      <c r="Y802" s="1379"/>
      <c r="Z802" s="1379"/>
      <c r="AA802" s="1379"/>
      <c r="AB802" s="1380"/>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00"/>
      <c r="P803" s="1500"/>
      <c r="Q803" s="1500"/>
      <c r="R803" s="1500"/>
      <c r="S803" s="1500"/>
      <c r="T803" s="1586"/>
      <c r="U803" s="1587"/>
      <c r="V803" s="1587"/>
      <c r="W803" s="1588"/>
      <c r="X803" s="1378"/>
      <c r="Y803" s="1379"/>
      <c r="Z803" s="1379"/>
      <c r="AA803" s="1379"/>
      <c r="AB803" s="1380"/>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00"/>
      <c r="P804" s="1500"/>
      <c r="Q804" s="1500"/>
      <c r="R804" s="1500"/>
      <c r="S804" s="1500"/>
      <c r="T804" s="1586"/>
      <c r="U804" s="1587"/>
      <c r="V804" s="1587"/>
      <c r="W804" s="1588"/>
      <c r="X804" s="1378"/>
      <c r="Y804" s="1379"/>
      <c r="Z804" s="1379"/>
      <c r="AA804" s="1379"/>
      <c r="AB804" s="1380"/>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03" t="s">
        <v>125</v>
      </c>
      <c r="K805" s="1404"/>
      <c r="L805" s="1404"/>
      <c r="M805" s="1404"/>
      <c r="N805" s="1406"/>
      <c r="O805" s="1625">
        <f>SUM(O795:S804)</f>
        <v>0</v>
      </c>
      <c r="P805" s="1625"/>
      <c r="Q805" s="1625"/>
      <c r="R805" s="1625"/>
      <c r="S805" s="1625"/>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19" t="str">
        <f>IF(O805&lt;&gt;AG447,"! Total market rate units in the Unit Mix Table above does not match the number of  market rate units on row #"&amp;TEXT(ROW(D447),"#"),"")</f>
        <v/>
      </c>
      <c r="D806" s="1619"/>
      <c r="E806" s="1619"/>
      <c r="F806" s="1619"/>
      <c r="G806" s="1619"/>
      <c r="H806" s="1619"/>
      <c r="I806" s="1619"/>
      <c r="J806" s="1619"/>
      <c r="K806" s="1619"/>
      <c r="L806" s="1619"/>
      <c r="M806" s="1619"/>
      <c r="N806" s="1619"/>
      <c r="O806" s="1619"/>
      <c r="P806" s="1619"/>
      <c r="Q806" s="1619"/>
      <c r="R806" s="1619"/>
      <c r="S806" s="1619"/>
      <c r="T806" s="1619"/>
      <c r="U806" s="1619"/>
      <c r="V806" s="1619"/>
      <c r="W806" s="1619"/>
      <c r="X806" s="1619"/>
      <c r="Y806" s="1619"/>
      <c r="Z806" s="1619"/>
      <c r="AA806" s="1619"/>
      <c r="AB806" s="1619"/>
      <c r="AC806" s="1619"/>
      <c r="AD806" s="1619"/>
      <c r="AE806" s="1619"/>
      <c r="AF806" s="1619"/>
      <c r="AG806" s="1619"/>
      <c r="AH806" s="1619"/>
      <c r="AI806" s="1619"/>
      <c r="AJ806" s="1619"/>
      <c r="AK806" s="1619"/>
      <c r="AL806" s="1619"/>
      <c r="AM806" s="1619"/>
      <c r="AN806" s="161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19"/>
      <c r="D807" s="1619"/>
      <c r="E807" s="1619"/>
      <c r="F807" s="1619"/>
      <c r="G807" s="1619"/>
      <c r="H807" s="1619"/>
      <c r="I807" s="1619"/>
      <c r="J807" s="1619"/>
      <c r="K807" s="1619"/>
      <c r="L807" s="1619"/>
      <c r="M807" s="1619"/>
      <c r="N807" s="1619"/>
      <c r="O807" s="1619"/>
      <c r="P807" s="1619"/>
      <c r="Q807" s="1619"/>
      <c r="R807" s="1619"/>
      <c r="S807" s="1619"/>
      <c r="T807" s="1619"/>
      <c r="U807" s="1619"/>
      <c r="V807" s="1619"/>
      <c r="W807" s="1619"/>
      <c r="X807" s="1619"/>
      <c r="Y807" s="1619"/>
      <c r="Z807" s="1619"/>
      <c r="AA807" s="1619"/>
      <c r="AB807" s="1619"/>
      <c r="AC807" s="1619"/>
      <c r="AD807" s="1619"/>
      <c r="AE807" s="1619"/>
      <c r="AF807" s="1619"/>
      <c r="AG807" s="1619"/>
      <c r="AH807" s="1619"/>
      <c r="AI807" s="1619"/>
      <c r="AJ807" s="1619"/>
      <c r="AK807" s="1619"/>
      <c r="AL807" s="1619"/>
      <c r="AM807" s="1619"/>
      <c r="AN807" s="161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84">
        <f>O761+AC785+AC805</f>
        <v>34272</v>
      </c>
      <c r="Z808" s="1584"/>
      <c r="AA808" s="1584"/>
      <c r="AB808" s="1584"/>
      <c r="AC808" s="15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84">
        <f>(O761+AC785+AC805)*12</f>
        <v>411264</v>
      </c>
      <c r="Z809" s="1584"/>
      <c r="AA809" s="1584"/>
      <c r="AB809" s="1584"/>
      <c r="AC809" s="15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10</v>
      </c>
      <c r="CV810" s="1356"/>
      <c r="CW810" s="1356"/>
      <c r="CX810" s="1356"/>
      <c r="CY810" s="1357"/>
      <c r="CZ810" s="1355">
        <f>CZ761+CZ785+CZ805</f>
        <v>10</v>
      </c>
      <c r="DA810" s="1356"/>
      <c r="DB810" s="1356"/>
      <c r="DC810" s="1356"/>
      <c r="DD810" s="1357"/>
      <c r="DE810" s="1355">
        <f>DE761+DE785+DE805</f>
        <v>8</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54</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6">
        <v>0</v>
      </c>
      <c r="AA814" s="1627"/>
      <c r="AB814" s="1627"/>
      <c r="AC814" s="1627"/>
      <c r="AD814" s="1627"/>
      <c r="AE814" s="162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33"/>
      <c r="AA815" s="1627"/>
      <c r="AB815" s="1627"/>
      <c r="AC815" s="1627"/>
      <c r="AD815" s="1627"/>
      <c r="AE815" s="162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30"/>
      <c r="AA816" s="1631"/>
      <c r="AB816" s="1631"/>
      <c r="AC816" s="1631"/>
      <c r="AD816" s="1631"/>
      <c r="AE816" s="163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9">
        <f>'Subsidy Contract Calculation'!J40</f>
        <v>0</v>
      </c>
      <c r="AA817" s="1480"/>
      <c r="AB817" s="1480"/>
      <c r="AC817" s="1480"/>
      <c r="AD817" s="1480"/>
      <c r="AE817" s="148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2">
        <v>1200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2">
        <v>0</v>
      </c>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2">
        <v>0</v>
      </c>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16" t="s">
        <v>334</v>
      </c>
      <c r="Q824" s="1617"/>
      <c r="R824" s="1617"/>
      <c r="S824" s="1617"/>
      <c r="T824" s="1617"/>
      <c r="U824" s="1617"/>
      <c r="V824" s="1617"/>
      <c r="W824" s="1617"/>
      <c r="X824" s="1617"/>
      <c r="Y824" s="1618"/>
      <c r="Z824" s="1482"/>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9">
        <f>SUM(Z821:AE824)</f>
        <v>1200</v>
      </c>
      <c r="AA825" s="1480"/>
      <c r="AB825" s="1480"/>
      <c r="AC825" s="1480"/>
      <c r="AD825" s="1480"/>
      <c r="AE825" s="148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79">
        <f>Z825+Y809+Z817</f>
        <v>412464</v>
      </c>
      <c r="AA826" s="1480"/>
      <c r="AB826" s="1480"/>
      <c r="AC826" s="1480"/>
      <c r="AD826" s="1480"/>
      <c r="AE826" s="148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6" t="s">
        <v>126</v>
      </c>
      <c r="N831" s="1706"/>
      <c r="O831" s="1706"/>
      <c r="P831" s="1707"/>
      <c r="Q831" s="1629" t="s">
        <v>290</v>
      </c>
      <c r="R831" s="1629"/>
      <c r="S831" s="1629"/>
      <c r="T831" s="1629"/>
      <c r="U831" s="1629" t="s">
        <v>291</v>
      </c>
      <c r="V831" s="1629"/>
      <c r="W831" s="1629"/>
      <c r="X831" s="1629"/>
      <c r="Y831" s="1629" t="s">
        <v>292</v>
      </c>
      <c r="Z831" s="1629"/>
      <c r="AA831" s="1629"/>
      <c r="AB831" s="1629"/>
      <c r="AC831" s="1629" t="s">
        <v>361</v>
      </c>
      <c r="AD831" s="1629"/>
      <c r="AE831" s="1629"/>
      <c r="AF831" s="1629"/>
      <c r="AG831" s="1621" t="s">
        <v>335</v>
      </c>
      <c r="AH831" s="1621"/>
      <c r="AI831" s="1621"/>
      <c r="AJ831" s="1621"/>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8"/>
      <c r="N832" s="1708"/>
      <c r="O832" s="1708"/>
      <c r="P832" s="1709"/>
      <c r="Q832" s="1629"/>
      <c r="R832" s="1629"/>
      <c r="S832" s="1629"/>
      <c r="T832" s="1629"/>
      <c r="U832" s="1629"/>
      <c r="V832" s="1629"/>
      <c r="W832" s="1629"/>
      <c r="X832" s="1629"/>
      <c r="Y832" s="1629"/>
      <c r="Z832" s="1629"/>
      <c r="AA832" s="1629"/>
      <c r="AB832" s="1629"/>
      <c r="AC832" s="1629"/>
      <c r="AD832" s="1629"/>
      <c r="AE832" s="1629"/>
      <c r="AF832" s="1629"/>
      <c r="AG832" s="1621"/>
      <c r="AH832" s="1621"/>
      <c r="AI832" s="1621"/>
      <c r="AJ832" s="1621"/>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5" t="s">
        <v>40</v>
      </c>
      <c r="D833" s="1490"/>
      <c r="E833" s="1490"/>
      <c r="F833" s="1490"/>
      <c r="G833" s="1490"/>
      <c r="H833" s="1490"/>
      <c r="I833" s="48"/>
      <c r="J833" s="48"/>
      <c r="K833" s="48"/>
      <c r="L833" s="49"/>
      <c r="M833" s="1606"/>
      <c r="N833" s="1606"/>
      <c r="O833" s="1606"/>
      <c r="P833" s="1606"/>
      <c r="Q833" s="1606">
        <v>13</v>
      </c>
      <c r="R833" s="1606"/>
      <c r="S833" s="1606"/>
      <c r="T833" s="1606"/>
      <c r="U833" s="1606">
        <v>15</v>
      </c>
      <c r="V833" s="1606"/>
      <c r="W833" s="1606"/>
      <c r="X833" s="1606"/>
      <c r="Y833" s="1606">
        <v>17</v>
      </c>
      <c r="Z833" s="1606"/>
      <c r="AA833" s="1606"/>
      <c r="AB833" s="1606"/>
      <c r="AC833" s="1589"/>
      <c r="AD833" s="1590"/>
      <c r="AE833" s="1590"/>
      <c r="AF833" s="1591"/>
      <c r="AG833" s="1589"/>
      <c r="AH833" s="1590"/>
      <c r="AI833" s="1590"/>
      <c r="AJ833" s="1591"/>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36" t="s">
        <v>41</v>
      </c>
      <c r="D834" s="1437"/>
      <c r="E834" s="1437"/>
      <c r="F834" s="1437"/>
      <c r="G834" s="1437"/>
      <c r="H834" s="1437"/>
      <c r="I834" s="5"/>
      <c r="J834" s="5"/>
      <c r="K834" s="5"/>
      <c r="L834" s="46"/>
      <c r="M834" s="1606"/>
      <c r="N834" s="1606"/>
      <c r="O834" s="1606"/>
      <c r="P834" s="1606"/>
      <c r="Q834" s="1606">
        <v>13</v>
      </c>
      <c r="R834" s="1606"/>
      <c r="S834" s="1606"/>
      <c r="T834" s="1606"/>
      <c r="U834" s="1606">
        <v>16</v>
      </c>
      <c r="V834" s="1606"/>
      <c r="W834" s="1606"/>
      <c r="X834" s="1606"/>
      <c r="Y834" s="1606">
        <v>20</v>
      </c>
      <c r="Z834" s="1606"/>
      <c r="AA834" s="1606"/>
      <c r="AB834" s="1606"/>
      <c r="AC834" s="1589"/>
      <c r="AD834" s="1590"/>
      <c r="AE834" s="1590"/>
      <c r="AF834" s="1591"/>
      <c r="AG834" s="1589"/>
      <c r="AH834" s="1590"/>
      <c r="AI834" s="1590"/>
      <c r="AJ834" s="1591"/>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36" t="s">
        <v>42</v>
      </c>
      <c r="D835" s="1437"/>
      <c r="E835" s="1437"/>
      <c r="F835" s="1437"/>
      <c r="G835" s="1437"/>
      <c r="H835" s="1437"/>
      <c r="I835" s="60"/>
      <c r="J835" s="60"/>
      <c r="K835" s="60"/>
      <c r="L835" s="61"/>
      <c r="M835" s="1606"/>
      <c r="N835" s="1606"/>
      <c r="O835" s="1606"/>
      <c r="P835" s="1606"/>
      <c r="Q835" s="1606">
        <v>5</v>
      </c>
      <c r="R835" s="1606"/>
      <c r="S835" s="1606"/>
      <c r="T835" s="1606"/>
      <c r="U835" s="1606">
        <v>5</v>
      </c>
      <c r="V835" s="1606"/>
      <c r="W835" s="1606"/>
      <c r="X835" s="1606"/>
      <c r="Y835" s="1606">
        <v>7</v>
      </c>
      <c r="Z835" s="1606"/>
      <c r="AA835" s="1606"/>
      <c r="AB835" s="1606"/>
      <c r="AC835" s="1589"/>
      <c r="AD835" s="1590"/>
      <c r="AE835" s="1590"/>
      <c r="AF835" s="1591"/>
      <c r="AG835" s="1589"/>
      <c r="AH835" s="1590"/>
      <c r="AI835" s="1590"/>
      <c r="AJ835" s="1591"/>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36" t="s">
        <v>761</v>
      </c>
      <c r="D836" s="1437"/>
      <c r="E836" s="1437"/>
      <c r="F836" s="1437"/>
      <c r="G836" s="1437"/>
      <c r="H836" s="1437"/>
      <c r="I836" s="60"/>
      <c r="J836" s="60"/>
      <c r="K836" s="60"/>
      <c r="L836" s="61"/>
      <c r="M836" s="1606"/>
      <c r="N836" s="1606"/>
      <c r="O836" s="1606"/>
      <c r="P836" s="1606"/>
      <c r="Q836" s="1606">
        <v>5</v>
      </c>
      <c r="R836" s="1606"/>
      <c r="S836" s="1606"/>
      <c r="T836" s="1606"/>
      <c r="U836" s="1606">
        <v>6</v>
      </c>
      <c r="V836" s="1606"/>
      <c r="W836" s="1606"/>
      <c r="X836" s="1606"/>
      <c r="Y836" s="1606">
        <v>8</v>
      </c>
      <c r="Z836" s="1606"/>
      <c r="AA836" s="1606"/>
      <c r="AB836" s="1606"/>
      <c r="AC836" s="1589"/>
      <c r="AD836" s="1590"/>
      <c r="AE836" s="1590"/>
      <c r="AF836" s="1591"/>
      <c r="AG836" s="1589"/>
      <c r="AH836" s="1590"/>
      <c r="AI836" s="1590"/>
      <c r="AJ836" s="1591"/>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36" t="s">
        <v>458</v>
      </c>
      <c r="D837" s="1437"/>
      <c r="E837" s="1437"/>
      <c r="F837" s="1437"/>
      <c r="G837" s="1437"/>
      <c r="H837" s="1437"/>
      <c r="I837" s="60"/>
      <c r="J837" s="60"/>
      <c r="K837" s="60"/>
      <c r="L837" s="61"/>
      <c r="M837" s="1606"/>
      <c r="N837" s="1606"/>
      <c r="O837" s="1606"/>
      <c r="P837" s="1606"/>
      <c r="Q837" s="1606">
        <v>40</v>
      </c>
      <c r="R837" s="1606"/>
      <c r="S837" s="1606"/>
      <c r="T837" s="1606"/>
      <c r="U837" s="1606">
        <v>49</v>
      </c>
      <c r="V837" s="1606"/>
      <c r="W837" s="1606"/>
      <c r="X837" s="1606"/>
      <c r="Y837" s="1606">
        <v>57</v>
      </c>
      <c r="Z837" s="1606"/>
      <c r="AA837" s="1606"/>
      <c r="AB837" s="1606"/>
      <c r="AC837" s="1589"/>
      <c r="AD837" s="1590"/>
      <c r="AE837" s="1590"/>
      <c r="AF837" s="1591"/>
      <c r="AG837" s="1589"/>
      <c r="AH837" s="1590"/>
      <c r="AI837" s="1590"/>
      <c r="AJ837" s="1591"/>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8" t="s">
        <v>782</v>
      </c>
      <c r="D838" s="1437"/>
      <c r="E838" s="1437"/>
      <c r="F838" s="1437"/>
      <c r="G838" s="1437"/>
      <c r="H838" s="1437"/>
      <c r="I838" s="60"/>
      <c r="J838" s="60"/>
      <c r="K838" s="60"/>
      <c r="L838" s="61"/>
      <c r="M838" s="1606"/>
      <c r="N838" s="1606"/>
      <c r="O838" s="1606"/>
      <c r="P838" s="1606"/>
      <c r="Q838" s="1606">
        <v>0</v>
      </c>
      <c r="R838" s="1606"/>
      <c r="S838" s="1606"/>
      <c r="T838" s="1606"/>
      <c r="U838" s="1606">
        <v>0</v>
      </c>
      <c r="V838" s="1606"/>
      <c r="W838" s="1606"/>
      <c r="X838" s="1606"/>
      <c r="Y838" s="1606">
        <v>0</v>
      </c>
      <c r="Z838" s="1606"/>
      <c r="AA838" s="1606"/>
      <c r="AB838" s="1606"/>
      <c r="AC838" s="1589"/>
      <c r="AD838" s="1590"/>
      <c r="AE838" s="1590"/>
      <c r="AF838" s="1591"/>
      <c r="AG838" s="1589"/>
      <c r="AH838" s="1590"/>
      <c r="AI838" s="1590"/>
      <c r="AJ838" s="1591"/>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16" t="s">
        <v>2730</v>
      </c>
      <c r="G839" s="1617"/>
      <c r="H839" s="1617"/>
      <c r="I839" s="1617"/>
      <c r="J839" s="1617"/>
      <c r="K839" s="1617"/>
      <c r="L839" s="1617"/>
      <c r="M839" s="1606"/>
      <c r="N839" s="1606"/>
      <c r="O839" s="1606"/>
      <c r="P839" s="1606"/>
      <c r="Q839" s="1606">
        <v>5</v>
      </c>
      <c r="R839" s="1606"/>
      <c r="S839" s="1606"/>
      <c r="T839" s="1606"/>
      <c r="U839" s="1606">
        <v>6</v>
      </c>
      <c r="V839" s="1606"/>
      <c r="W839" s="1606"/>
      <c r="X839" s="1606"/>
      <c r="Y839" s="1606">
        <v>8</v>
      </c>
      <c r="Z839" s="1606"/>
      <c r="AA839" s="1606"/>
      <c r="AB839" s="1606"/>
      <c r="AC839" s="1589"/>
      <c r="AD839" s="1590"/>
      <c r="AE839" s="1590"/>
      <c r="AF839" s="1591"/>
      <c r="AG839" s="1589"/>
      <c r="AH839" s="1590"/>
      <c r="AI839" s="1590"/>
      <c r="AJ839" s="1591"/>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03" t="s">
        <v>124</v>
      </c>
      <c r="D840" s="1404"/>
      <c r="E840" s="1404"/>
      <c r="F840" s="1404"/>
      <c r="G840" s="1404"/>
      <c r="H840" s="1404"/>
      <c r="I840" s="1404"/>
      <c r="J840" s="1404"/>
      <c r="K840" s="1404"/>
      <c r="L840" s="1406"/>
      <c r="M840" s="1694">
        <f>SUM(M833:P839)</f>
        <v>0</v>
      </c>
      <c r="N840" s="1694"/>
      <c r="O840" s="1694"/>
      <c r="P840" s="1694"/>
      <c r="Q840" s="1694">
        <f>SUM(Q833:T839)</f>
        <v>81</v>
      </c>
      <c r="R840" s="1694"/>
      <c r="S840" s="1694"/>
      <c r="T840" s="1694"/>
      <c r="U840" s="1694">
        <f>SUM(U833:X839)</f>
        <v>97</v>
      </c>
      <c r="V840" s="1694"/>
      <c r="W840" s="1694"/>
      <c r="X840" s="1694"/>
      <c r="Y840" s="1694">
        <f>SUM(Y833:AB839)</f>
        <v>117</v>
      </c>
      <c r="Z840" s="1694"/>
      <c r="AA840" s="1694"/>
      <c r="AB840" s="1694"/>
      <c r="AC840" s="1694">
        <f>SUM(AC833:AF839)</f>
        <v>0</v>
      </c>
      <c r="AD840" s="1694"/>
      <c r="AE840" s="1694"/>
      <c r="AF840" s="1694"/>
      <c r="AG840" s="1694">
        <f>SUM(AG833:AJ839)</f>
        <v>0</v>
      </c>
      <c r="AH840" s="1694"/>
      <c r="AI840" s="1694"/>
      <c r="AJ840" s="1694"/>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63" t="s">
        <v>2731</v>
      </c>
      <c r="D845" s="1664"/>
      <c r="E845" s="1664"/>
      <c r="F845" s="1664"/>
      <c r="G845" s="1664"/>
      <c r="H845" s="1664"/>
      <c r="I845" s="1664"/>
      <c r="J845" s="1664"/>
      <c r="K845" s="1664"/>
      <c r="L845" s="1664"/>
      <c r="M845" s="1664"/>
      <c r="N845" s="1664"/>
      <c r="O845" s="1664"/>
      <c r="P845" s="1664"/>
      <c r="Q845" s="1664"/>
      <c r="R845" s="1664"/>
      <c r="S845" s="1664"/>
      <c r="T845" s="1664"/>
      <c r="U845" s="1664"/>
      <c r="V845" s="1664"/>
      <c r="W845" s="1664"/>
      <c r="X845" s="1664"/>
      <c r="Y845" s="1664"/>
      <c r="Z845" s="1664"/>
      <c r="AA845" s="1664"/>
      <c r="AB845" s="1664"/>
      <c r="AC845" s="1664"/>
      <c r="AD845" s="1664"/>
      <c r="AE845" s="1664"/>
      <c r="AF845" s="1664"/>
      <c r="AG845" s="1664"/>
      <c r="AH845" s="1664"/>
      <c r="AI845" s="1664"/>
      <c r="AJ845" s="166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3"/>
      <c r="BJ849" s="1643"/>
      <c r="BK849" s="1643"/>
      <c r="BL849" s="164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37">
        <v>1000</v>
      </c>
      <c r="X850" s="1637"/>
      <c r="Y850" s="1637"/>
      <c r="Z850" s="1637"/>
      <c r="AA850" s="1637"/>
      <c r="AB850" s="1637"/>
      <c r="AC850" s="163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37">
        <v>4000</v>
      </c>
      <c r="X851" s="1637"/>
      <c r="Y851" s="1637"/>
      <c r="Z851" s="1637"/>
      <c r="AA851" s="1637"/>
      <c r="AB851" s="1637"/>
      <c r="AC851" s="163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37">
        <v>12000</v>
      </c>
      <c r="X852" s="1637"/>
      <c r="Y852" s="1637"/>
      <c r="Z852" s="1637"/>
      <c r="AA852" s="1637"/>
      <c r="AB852" s="1637"/>
      <c r="AC852" s="1637"/>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37"/>
      <c r="X853" s="1637"/>
      <c r="Y853" s="1637"/>
      <c r="Z853" s="1637"/>
      <c r="AA853" s="1637"/>
      <c r="AB853" s="1637"/>
      <c r="AC853" s="1637"/>
      <c r="AZ853" s="30"/>
      <c r="BA853" s="30"/>
      <c r="BB853" s="14"/>
      <c r="BC853" s="14"/>
      <c r="BD853" s="14"/>
      <c r="BE853" s="14"/>
      <c r="BF853" s="14"/>
      <c r="BG853" s="14"/>
      <c r="BH853" s="14"/>
      <c r="BI853" s="14"/>
      <c r="BJ853" s="14"/>
      <c r="BK853" s="14"/>
      <c r="BL853" s="14"/>
    </row>
    <row r="854" spans="1:64" ht="12.95" customHeight="1">
      <c r="J854" s="45" t="s">
        <v>170</v>
      </c>
      <c r="K854" s="5"/>
      <c r="L854" s="5"/>
      <c r="M854" s="1616" t="s">
        <v>334</v>
      </c>
      <c r="N854" s="1617"/>
      <c r="O854" s="1617"/>
      <c r="P854" s="1617"/>
      <c r="Q854" s="1617"/>
      <c r="R854" s="1617"/>
      <c r="S854" s="1617"/>
      <c r="T854" s="1617"/>
      <c r="U854" s="1617"/>
      <c r="V854" s="1618"/>
      <c r="W854" s="1637"/>
      <c r="X854" s="1637"/>
      <c r="Y854" s="1637"/>
      <c r="Z854" s="1637"/>
      <c r="AA854" s="1637"/>
      <c r="AB854" s="1637"/>
      <c r="AC854" s="163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79">
        <f>SUM(W850:W854)</f>
        <v>17000</v>
      </c>
      <c r="X855" s="1480"/>
      <c r="Y855" s="1480"/>
      <c r="Z855" s="1480"/>
      <c r="AA855" s="1480"/>
      <c r="AB855" s="1480"/>
      <c r="AC855" s="1481"/>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42"/>
      <c r="BH856" s="1642"/>
      <c r="BI856" s="1642"/>
      <c r="BJ856" s="1642"/>
      <c r="BK856" s="1642"/>
      <c r="BL856" s="1642"/>
    </row>
    <row r="857" spans="1:64" ht="12.95" customHeight="1">
      <c r="C857" s="2" t="s">
        <v>344</v>
      </c>
      <c r="J857" s="1403" t="s">
        <v>345</v>
      </c>
      <c r="K857" s="1404"/>
      <c r="L857" s="1404"/>
      <c r="M857" s="1404"/>
      <c r="N857" s="1404"/>
      <c r="O857" s="1404"/>
      <c r="P857" s="1404"/>
      <c r="Q857" s="1404"/>
      <c r="R857" s="1404"/>
      <c r="S857" s="1404"/>
      <c r="T857" s="1404"/>
      <c r="U857" s="1404"/>
      <c r="V857" s="1406"/>
      <c r="W857" s="1482">
        <v>28560</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61"/>
      <c r="X859" s="1661"/>
      <c r="Y859" s="1661"/>
      <c r="Z859" s="1661"/>
      <c r="AA859" s="1661"/>
      <c r="AB859" s="1661"/>
      <c r="AC859" s="1661"/>
      <c r="AZ859" s="1653"/>
      <c r="BA859" s="1653"/>
      <c r="BB859" s="14"/>
      <c r="BC859" s="14"/>
    </row>
    <row r="860" spans="1:64" ht="12.95" customHeight="1">
      <c r="J860" s="45" t="s">
        <v>351</v>
      </c>
      <c r="K860" s="5"/>
      <c r="L860" s="5"/>
      <c r="M860" s="5"/>
      <c r="N860" s="5"/>
      <c r="O860" s="5"/>
      <c r="P860" s="5"/>
      <c r="Q860" s="5"/>
      <c r="R860" s="5"/>
      <c r="S860" s="5"/>
      <c r="T860" s="5"/>
      <c r="U860" s="5"/>
      <c r="V860" s="46"/>
      <c r="W860" s="1661"/>
      <c r="X860" s="1661"/>
      <c r="Y860" s="1661"/>
      <c r="Z860" s="1661"/>
      <c r="AA860" s="1661"/>
      <c r="AB860" s="1661"/>
      <c r="AC860" s="1661"/>
      <c r="AZ860" s="30"/>
      <c r="BA860" s="30"/>
      <c r="BB860" s="14"/>
      <c r="BC860" s="14"/>
    </row>
    <row r="861" spans="1:64" ht="12.95" customHeight="1">
      <c r="J861" s="45" t="s">
        <v>458</v>
      </c>
      <c r="K861" s="5"/>
      <c r="L861" s="5"/>
      <c r="M861" s="5"/>
      <c r="N861" s="5"/>
      <c r="O861" s="5"/>
      <c r="P861" s="5"/>
      <c r="Q861" s="5"/>
      <c r="R861" s="5"/>
      <c r="S861" s="5"/>
      <c r="T861" s="5"/>
      <c r="U861" s="5"/>
      <c r="V861" s="46"/>
      <c r="W861" s="1661">
        <v>24866</v>
      </c>
      <c r="X861" s="1661"/>
      <c r="Y861" s="1661"/>
      <c r="Z861" s="1661"/>
      <c r="AA861" s="1661"/>
      <c r="AB861" s="1661"/>
      <c r="AC861" s="1661"/>
      <c r="AZ861" s="30"/>
      <c r="BA861" s="30"/>
      <c r="BB861" s="14"/>
      <c r="BC861" s="14"/>
    </row>
    <row r="862" spans="1:64" ht="12.95" customHeight="1">
      <c r="J862" s="62" t="s">
        <v>619</v>
      </c>
      <c r="K862" s="5"/>
      <c r="L862" s="5"/>
      <c r="M862" s="5"/>
      <c r="N862" s="5"/>
      <c r="O862" s="5"/>
      <c r="P862" s="5"/>
      <c r="Q862" s="5"/>
      <c r="R862" s="5"/>
      <c r="S862" s="5"/>
      <c r="T862" s="5"/>
      <c r="U862" s="5"/>
      <c r="V862" s="46"/>
      <c r="W862" s="1661">
        <v>32500</v>
      </c>
      <c r="X862" s="1661"/>
      <c r="Y862" s="1661"/>
      <c r="Z862" s="1661"/>
      <c r="AA862" s="1661"/>
      <c r="AB862" s="1661"/>
      <c r="AC862" s="1661"/>
      <c r="AZ862" s="34"/>
      <c r="BA862" s="34"/>
      <c r="BB862" s="34"/>
      <c r="BC862" s="34"/>
    </row>
    <row r="863" spans="1:64" ht="12.95" customHeight="1">
      <c r="J863" s="63"/>
      <c r="K863" s="48"/>
      <c r="L863" s="48"/>
      <c r="M863" s="48"/>
      <c r="N863" s="48"/>
      <c r="O863" s="48"/>
      <c r="P863" s="48"/>
      <c r="Q863" s="48"/>
      <c r="R863" s="48"/>
      <c r="S863" s="48"/>
      <c r="T863" s="48"/>
      <c r="U863" s="48"/>
      <c r="V863" s="54" t="s">
        <v>272</v>
      </c>
      <c r="W863" s="1662">
        <f>SUM(W859:W862)</f>
        <v>57366</v>
      </c>
      <c r="X863" s="1662"/>
      <c r="Y863" s="1662"/>
      <c r="Z863" s="1662"/>
      <c r="AA863" s="1662"/>
      <c r="AB863" s="1662"/>
      <c r="AC863" s="1662"/>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58">
        <v>24500</v>
      </c>
      <c r="X865" s="1659"/>
      <c r="Y865" s="1659"/>
      <c r="Z865" s="1659"/>
      <c r="AA865" s="1659"/>
      <c r="AB865" s="1659"/>
      <c r="AC865" s="1660"/>
      <c r="AD865" s="528"/>
      <c r="AZ865" s="34"/>
      <c r="BA865" s="34"/>
      <c r="BB865" s="34"/>
      <c r="BC865" s="34"/>
    </row>
    <row r="866" spans="3:55" ht="12.95" customHeight="1">
      <c r="C866" s="2" t="s">
        <v>347</v>
      </c>
      <c r="J866" s="121" t="s">
        <v>1643</v>
      </c>
      <c r="K866" s="5"/>
      <c r="L866" s="5"/>
      <c r="M866" s="5"/>
      <c r="N866" s="5"/>
      <c r="O866" s="5"/>
      <c r="P866" s="5"/>
      <c r="Q866" s="5"/>
      <c r="R866" s="5"/>
      <c r="S866" s="5"/>
      <c r="T866" s="1666">
        <v>0.5</v>
      </c>
      <c r="U866" s="1585"/>
      <c r="V866" s="1667"/>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58">
        <v>28500</v>
      </c>
      <c r="X867" s="1659"/>
      <c r="Y867" s="1659"/>
      <c r="Z867" s="1659"/>
      <c r="AA867" s="1659"/>
      <c r="AB867" s="1659"/>
      <c r="AC867" s="1660"/>
      <c r="AD867" s="533"/>
      <c r="AZ867" s="34"/>
      <c r="BA867" s="34"/>
      <c r="BB867" s="34"/>
      <c r="BC867" s="34"/>
    </row>
    <row r="868" spans="3:55" ht="12.95" customHeight="1">
      <c r="C868" s="2"/>
      <c r="J868" s="121" t="s">
        <v>1644</v>
      </c>
      <c r="K868" s="5"/>
      <c r="L868" s="5"/>
      <c r="M868" s="5"/>
      <c r="N868" s="5"/>
      <c r="O868" s="5"/>
      <c r="P868" s="5"/>
      <c r="Q868" s="5"/>
      <c r="R868" s="5"/>
      <c r="S868" s="5"/>
      <c r="T868" s="1666">
        <v>0</v>
      </c>
      <c r="U868" s="1585"/>
      <c r="V868" s="1667"/>
      <c r="W868" s="870"/>
      <c r="X868" s="871"/>
      <c r="Y868" s="871"/>
      <c r="Z868" s="871"/>
      <c r="AA868" s="871"/>
      <c r="AB868" s="871"/>
      <c r="AC868" s="872"/>
      <c r="AD868" s="533"/>
      <c r="AZ868" s="34"/>
      <c r="BA868" s="34"/>
      <c r="BB868" s="34"/>
      <c r="BC868" s="34"/>
    </row>
    <row r="869" spans="3:55" ht="12.95" customHeight="1">
      <c r="J869" s="45" t="s">
        <v>170</v>
      </c>
      <c r="K869" s="5"/>
      <c r="L869" s="5"/>
      <c r="M869" s="1616" t="s">
        <v>2732</v>
      </c>
      <c r="N869" s="1617"/>
      <c r="O869" s="1617"/>
      <c r="P869" s="1617"/>
      <c r="Q869" s="1617"/>
      <c r="R869" s="1617"/>
      <c r="S869" s="1617"/>
      <c r="T869" s="1617"/>
      <c r="U869" s="1617"/>
      <c r="V869" s="1618"/>
      <c r="W869" s="1658">
        <v>14000</v>
      </c>
      <c r="X869" s="1659"/>
      <c r="Y869" s="1659"/>
      <c r="Z869" s="1659"/>
      <c r="AA869" s="1659"/>
      <c r="AB869" s="1659"/>
      <c r="AC869" s="1660"/>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34">
        <f>SUM(W865:W869)</f>
        <v>67000</v>
      </c>
      <c r="X870" s="1635"/>
      <c r="Y870" s="1635"/>
      <c r="Z870" s="1635"/>
      <c r="AA870" s="1635"/>
      <c r="AB870" s="1635"/>
      <c r="AC870" s="1636"/>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8">
        <v>42000</v>
      </c>
      <c r="X872" s="1659"/>
      <c r="Y872" s="1659"/>
      <c r="Z872" s="1659"/>
      <c r="AA872" s="1659"/>
      <c r="AB872" s="1659"/>
      <c r="AC872" s="1660"/>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637">
        <v>6958</v>
      </c>
      <c r="X874" s="1637"/>
      <c r="Y874" s="1637"/>
      <c r="Z874" s="1637"/>
      <c r="AA874" s="1637"/>
      <c r="AB874" s="1637"/>
      <c r="AC874" s="1637"/>
      <c r="AU874" s="14"/>
      <c r="AZ874" s="34"/>
      <c r="BA874" s="34"/>
      <c r="BB874" s="34"/>
      <c r="BC874" s="34"/>
    </row>
    <row r="875" spans="3:55" ht="12.95" customHeight="1">
      <c r="J875" s="45" t="s">
        <v>521</v>
      </c>
      <c r="K875" s="5"/>
      <c r="L875" s="5"/>
      <c r="M875" s="5"/>
      <c r="N875" s="5"/>
      <c r="O875" s="5"/>
      <c r="P875" s="5"/>
      <c r="Q875" s="5"/>
      <c r="R875" s="5"/>
      <c r="S875" s="5"/>
      <c r="T875" s="5"/>
      <c r="U875" s="5"/>
      <c r="V875" s="46"/>
      <c r="W875" s="1637">
        <v>7500</v>
      </c>
      <c r="X875" s="1637"/>
      <c r="Y875" s="1637"/>
      <c r="Z875" s="1637"/>
      <c r="AA875" s="1637"/>
      <c r="AB875" s="1637"/>
      <c r="AC875" s="1637"/>
      <c r="AU875" s="4"/>
      <c r="AZ875" s="34"/>
      <c r="BA875" s="34"/>
      <c r="BB875" s="34"/>
      <c r="BC875" s="34"/>
    </row>
    <row r="876" spans="3:55" ht="12.95" customHeight="1">
      <c r="J876" s="45" t="s">
        <v>520</v>
      </c>
      <c r="K876" s="5"/>
      <c r="L876" s="5"/>
      <c r="M876" s="5"/>
      <c r="N876" s="5"/>
      <c r="O876" s="5"/>
      <c r="P876" s="5"/>
      <c r="Q876" s="5"/>
      <c r="R876" s="5"/>
      <c r="S876" s="5"/>
      <c r="T876" s="5"/>
      <c r="U876" s="5"/>
      <c r="V876" s="46"/>
      <c r="W876" s="1637">
        <v>6000</v>
      </c>
      <c r="X876" s="1637"/>
      <c r="Y876" s="1637"/>
      <c r="Z876" s="1637"/>
      <c r="AA876" s="1637"/>
      <c r="AB876" s="1637"/>
      <c r="AC876" s="1637"/>
      <c r="AU876" s="4"/>
      <c r="AZ876" s="34"/>
      <c r="BA876" s="34"/>
      <c r="BB876" s="34"/>
      <c r="BC876" s="34"/>
    </row>
    <row r="877" spans="3:55" ht="12.95" customHeight="1">
      <c r="J877" s="45" t="s">
        <v>519</v>
      </c>
      <c r="K877" s="5"/>
      <c r="L877" s="5"/>
      <c r="M877" s="5"/>
      <c r="N877" s="5"/>
      <c r="O877" s="5"/>
      <c r="P877" s="5"/>
      <c r="Q877" s="5"/>
      <c r="R877" s="5"/>
      <c r="S877" s="5"/>
      <c r="T877" s="5"/>
      <c r="U877" s="5"/>
      <c r="V877" s="46"/>
      <c r="W877" s="1637">
        <v>5000</v>
      </c>
      <c r="X877" s="1637"/>
      <c r="Y877" s="1637"/>
      <c r="Z877" s="1637"/>
      <c r="AA877" s="1637"/>
      <c r="AB877" s="1637"/>
      <c r="AC877" s="1637"/>
      <c r="AU877" s="4"/>
      <c r="AZ877" s="34"/>
      <c r="BA877" s="34"/>
      <c r="BB877" s="34"/>
      <c r="BC877" s="34"/>
    </row>
    <row r="878" spans="3:55" ht="12.95" customHeight="1">
      <c r="J878" s="45" t="s">
        <v>518</v>
      </c>
      <c r="K878" s="5"/>
      <c r="L878" s="5"/>
      <c r="M878" s="5"/>
      <c r="N878" s="5"/>
      <c r="O878" s="5"/>
      <c r="P878" s="5"/>
      <c r="Q878" s="5"/>
      <c r="R878" s="5"/>
      <c r="S878" s="5"/>
      <c r="T878" s="5"/>
      <c r="U878" s="5"/>
      <c r="V878" s="46"/>
      <c r="W878" s="1637">
        <v>9000</v>
      </c>
      <c r="X878" s="1637"/>
      <c r="Y878" s="1637"/>
      <c r="Z878" s="1637"/>
      <c r="AA878" s="1637"/>
      <c r="AB878" s="1637"/>
      <c r="AC878" s="1637"/>
      <c r="AU878" s="4"/>
      <c r="AZ878" s="34"/>
      <c r="BA878" s="34"/>
      <c r="BB878" s="34"/>
      <c r="BC878" s="34"/>
    </row>
    <row r="879" spans="3:55" ht="12.95" customHeight="1">
      <c r="J879" s="45" t="s">
        <v>517</v>
      </c>
      <c r="K879" s="5"/>
      <c r="L879" s="5"/>
      <c r="M879" s="5"/>
      <c r="N879" s="5"/>
      <c r="O879" s="5"/>
      <c r="P879" s="5"/>
      <c r="Q879" s="5"/>
      <c r="R879" s="5"/>
      <c r="S879" s="5"/>
      <c r="T879" s="5"/>
      <c r="U879" s="5"/>
      <c r="V879" s="46"/>
      <c r="W879" s="1637">
        <v>0</v>
      </c>
      <c r="X879" s="1637"/>
      <c r="Y879" s="1637"/>
      <c r="Z879" s="1637"/>
      <c r="AA879" s="1637"/>
      <c r="AB879" s="1637"/>
      <c r="AC879" s="1637"/>
      <c r="AU879" s="4"/>
      <c r="AZ879" s="34"/>
      <c r="BA879" s="34"/>
      <c r="BB879" s="34"/>
      <c r="BC879" s="34"/>
    </row>
    <row r="880" spans="3:55" ht="12.95" customHeight="1">
      <c r="J880" s="45" t="s">
        <v>170</v>
      </c>
      <c r="K880" s="5"/>
      <c r="L880" s="5"/>
      <c r="M880" s="1616" t="s">
        <v>2733</v>
      </c>
      <c r="N880" s="1617"/>
      <c r="O880" s="1617"/>
      <c r="P880" s="1617"/>
      <c r="Q880" s="1617"/>
      <c r="R880" s="1617"/>
      <c r="S880" s="1617"/>
      <c r="T880" s="1617"/>
      <c r="U880" s="1617"/>
      <c r="V880" s="1618"/>
      <c r="W880" s="1637">
        <v>7500</v>
      </c>
      <c r="X880" s="1637"/>
      <c r="Y880" s="1637"/>
      <c r="Z880" s="1637"/>
      <c r="AA880" s="1637"/>
      <c r="AB880" s="1637"/>
      <c r="AC880" s="163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84">
        <f>SUM(W874:W880)</f>
        <v>41958</v>
      </c>
      <c r="X881" s="1584"/>
      <c r="Y881" s="1584"/>
      <c r="Z881" s="1584"/>
      <c r="AA881" s="1584"/>
      <c r="AB881" s="1584"/>
      <c r="AC881" s="158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16" t="s">
        <v>2734</v>
      </c>
      <c r="N883" s="1617"/>
      <c r="O883" s="1617"/>
      <c r="P883" s="1617"/>
      <c r="Q883" s="1617"/>
      <c r="R883" s="1617"/>
      <c r="S883" s="1617"/>
      <c r="T883" s="1617"/>
      <c r="U883" s="1617"/>
      <c r="V883" s="1618"/>
      <c r="W883" s="1482">
        <v>28701</v>
      </c>
      <c r="X883" s="1345"/>
      <c r="Y883" s="1345"/>
      <c r="Z883" s="1345"/>
      <c r="AA883" s="1345"/>
      <c r="AB883" s="1345"/>
      <c r="AC883" s="1346"/>
      <c r="AD883" s="533"/>
      <c r="AV883" s="14"/>
      <c r="AW883" s="14"/>
      <c r="AX883" s="14"/>
      <c r="AY883" s="14"/>
      <c r="AZ883" s="34"/>
      <c r="BA883" s="34"/>
      <c r="BB883" s="34"/>
      <c r="BC883" s="34"/>
    </row>
    <row r="884" spans="3:55" ht="12.95" customHeight="1">
      <c r="C884" s="2" t="s">
        <v>1243</v>
      </c>
      <c r="J884" s="45" t="s">
        <v>170</v>
      </c>
      <c r="K884" s="5"/>
      <c r="L884" s="5"/>
      <c r="M884" s="1616"/>
      <c r="N884" s="1617"/>
      <c r="O884" s="1617"/>
      <c r="P884" s="1617"/>
      <c r="Q884" s="1617"/>
      <c r="R884" s="1617"/>
      <c r="S884" s="1617"/>
      <c r="T884" s="1617"/>
      <c r="U884" s="1617"/>
      <c r="V884" s="1618"/>
      <c r="W884" s="1482"/>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16"/>
      <c r="N885" s="1617"/>
      <c r="O885" s="1617"/>
      <c r="P885" s="1617"/>
      <c r="Q885" s="1617"/>
      <c r="R885" s="1617"/>
      <c r="S885" s="1617"/>
      <c r="T885" s="1617"/>
      <c r="U885" s="1617"/>
      <c r="V885" s="1618"/>
      <c r="W885" s="1482"/>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16" t="s">
        <v>334</v>
      </c>
      <c r="N886" s="1617"/>
      <c r="O886" s="1617"/>
      <c r="P886" s="1617"/>
      <c r="Q886" s="1617"/>
      <c r="R886" s="1617"/>
      <c r="S886" s="1617"/>
      <c r="T886" s="1617"/>
      <c r="U886" s="1617"/>
      <c r="V886" s="1618"/>
      <c r="W886" s="1482"/>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16" t="s">
        <v>334</v>
      </c>
      <c r="N887" s="1617"/>
      <c r="O887" s="1617"/>
      <c r="P887" s="1617"/>
      <c r="Q887" s="1617"/>
      <c r="R887" s="1617"/>
      <c r="S887" s="1617"/>
      <c r="T887" s="1617"/>
      <c r="U887" s="1617"/>
      <c r="V887" s="1618"/>
      <c r="W887" s="1482"/>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79">
        <f>SUM(W883:W887)</f>
        <v>28701</v>
      </c>
      <c r="X888" s="1480"/>
      <c r="Y888" s="1480"/>
      <c r="Z888" s="1480"/>
      <c r="AA888" s="1480"/>
      <c r="AB888" s="1480"/>
      <c r="AC888" s="1481"/>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0">
        <f>W855+W863+W870+W872+W881+W888+W857</f>
        <v>282585</v>
      </c>
      <c r="AD892" s="1480"/>
      <c r="AE892" s="1480"/>
      <c r="AF892" s="1480"/>
      <c r="AG892" s="1480"/>
      <c r="AH892" s="1481"/>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8">
        <f>O805+O785+G761</f>
        <v>28</v>
      </c>
      <c r="AD893" s="1668"/>
      <c r="AE893" s="1668"/>
      <c r="AF893" s="1668"/>
      <c r="AG893" s="1668"/>
      <c r="AH893" s="1669"/>
      <c r="AL893" s="4"/>
      <c r="AM893" s="4"/>
      <c r="AN893" s="4"/>
      <c r="AO893" s="4"/>
      <c r="AP893" s="4"/>
      <c r="AQ893" s="4"/>
      <c r="AR893" s="4"/>
      <c r="AS893" s="4"/>
      <c r="AT893" s="4"/>
      <c r="AZ893" s="34"/>
      <c r="BA893" s="34"/>
      <c r="BB893" s="34"/>
      <c r="BC893" s="34"/>
    </row>
    <row r="894" spans="3:55" ht="12.95" customHeight="1">
      <c r="C894" s="41"/>
      <c r="D894" s="42"/>
      <c r="E894" s="1651" t="s">
        <v>32</v>
      </c>
      <c r="F894" s="1651"/>
      <c r="G894" s="1651"/>
      <c r="H894" s="1651"/>
      <c r="I894" s="1651"/>
      <c r="J894" s="1651"/>
      <c r="K894" s="1651"/>
      <c r="L894" s="1651"/>
      <c r="M894" s="1651"/>
      <c r="N894" s="1651"/>
      <c r="O894" s="1651"/>
      <c r="P894" s="1651"/>
      <c r="Q894" s="1651"/>
      <c r="R894" s="1651"/>
      <c r="S894" s="1651"/>
      <c r="T894" s="1651"/>
      <c r="U894" s="1651"/>
      <c r="V894" s="1651"/>
      <c r="W894" s="1651"/>
      <c r="X894" s="1651"/>
      <c r="Y894" s="1651"/>
      <c r="Z894" s="1651"/>
      <c r="AA894" s="1651"/>
      <c r="AB894" s="1652"/>
      <c r="AC894" s="1584">
        <f>IF(ISERROR((ROUNDDOWN(AC892/AC893,0))),0,(ROUNDDOWN(AC892/AC893,0)))</f>
        <v>10092</v>
      </c>
      <c r="AD894" s="1584"/>
      <c r="AE894" s="1584"/>
      <c r="AF894" s="1584"/>
      <c r="AG894" s="1584"/>
      <c r="AH894" s="158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70">
        <v>85950</v>
      </c>
      <c r="AD895" s="1671"/>
      <c r="AE895" s="1671"/>
      <c r="AF895" s="1671"/>
      <c r="AG895" s="1671"/>
      <c r="AH895" s="167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c r="AD896" s="1637"/>
      <c r="AE896" s="1637"/>
      <c r="AF896" s="1637"/>
      <c r="AG896" s="1637"/>
      <c r="AH896" s="163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15542</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14000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9">
        <v>6000</v>
      </c>
      <c r="AD899" s="1590"/>
      <c r="AE899" s="1590"/>
      <c r="AF899" s="1590"/>
      <c r="AG899" s="1590"/>
      <c r="AH899" s="1591"/>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2.95" hidden="1" customHeight="1">
      <c r="C901" s="1403" t="s">
        <v>2187</v>
      </c>
      <c r="D901" s="1404"/>
      <c r="E901" s="1404"/>
      <c r="F901" s="1404"/>
      <c r="G901" s="1404"/>
      <c r="H901" s="1404"/>
      <c r="I901" s="1404"/>
      <c r="J901" s="1404"/>
      <c r="K901" s="1404"/>
      <c r="L901" s="1404"/>
      <c r="M901" s="1404"/>
      <c r="N901" s="1404"/>
      <c r="O901" s="1404"/>
      <c r="P901" s="1404"/>
      <c r="Q901" s="1404"/>
      <c r="R901" s="1404"/>
      <c r="S901" s="1404"/>
      <c r="T901" s="1404"/>
      <c r="U901" s="1404"/>
      <c r="V901" s="1404"/>
      <c r="W901" s="1404"/>
      <c r="X901" s="1404"/>
      <c r="Y901" s="1404"/>
      <c r="Z901" s="1404"/>
      <c r="AA901" s="1404"/>
      <c r="AB901" s="1406"/>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2.95" customHeight="1">
      <c r="C903" s="1703" t="s">
        <v>2779</v>
      </c>
      <c r="D903" s="1704"/>
      <c r="E903" s="1704"/>
      <c r="F903" s="1704"/>
      <c r="G903" s="1704"/>
      <c r="H903" s="1704"/>
      <c r="I903" s="1704"/>
      <c r="J903" s="1704"/>
      <c r="K903" s="1704"/>
      <c r="L903" s="1704"/>
      <c r="M903" s="1704"/>
      <c r="N903" s="1704"/>
      <c r="O903" s="1704"/>
      <c r="P903" s="1704"/>
      <c r="Q903" s="1704"/>
      <c r="R903" s="1704"/>
      <c r="S903" s="1704"/>
      <c r="T903" s="1704"/>
      <c r="U903" s="1704"/>
      <c r="V903" s="1704"/>
      <c r="W903" s="1704"/>
      <c r="X903" s="1704"/>
      <c r="Y903" s="1704"/>
      <c r="Z903" s="1704"/>
      <c r="AA903" s="1704"/>
      <c r="AB903" s="1705"/>
      <c r="AC903" s="1637"/>
      <c r="AD903" s="1637"/>
      <c r="AE903" s="1637"/>
      <c r="AF903" s="1637"/>
      <c r="AG903" s="1637"/>
      <c r="AH903" s="1637"/>
      <c r="AZ903" s="34"/>
      <c r="BA903" s="34"/>
      <c r="BB903" s="34"/>
      <c r="BC903" s="34"/>
    </row>
    <row r="904" spans="1:58" ht="12.95" customHeight="1">
      <c r="C904" s="1703" t="s">
        <v>955</v>
      </c>
      <c r="D904" s="1704"/>
      <c r="E904" s="1704"/>
      <c r="F904" s="1704"/>
      <c r="G904" s="1704"/>
      <c r="H904" s="1704"/>
      <c r="I904" s="1704"/>
      <c r="J904" s="1704"/>
      <c r="K904" s="1704"/>
      <c r="L904" s="1704"/>
      <c r="M904" s="1704"/>
      <c r="N904" s="1704"/>
      <c r="O904" s="1704"/>
      <c r="P904" s="1704"/>
      <c r="Q904" s="1704"/>
      <c r="R904" s="1704"/>
      <c r="S904" s="1704"/>
      <c r="T904" s="1704"/>
      <c r="U904" s="1704"/>
      <c r="V904" s="1704"/>
      <c r="W904" s="1704"/>
      <c r="X904" s="1704"/>
      <c r="Y904" s="1704"/>
      <c r="Z904" s="1704"/>
      <c r="AA904" s="1704"/>
      <c r="AB904" s="1705"/>
      <c r="AC904" s="1637"/>
      <c r="AD904" s="1637"/>
      <c r="AE904" s="1637"/>
      <c r="AF904" s="1637"/>
      <c r="AG904" s="1637"/>
      <c r="AH904" s="163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2">
        <v>0</v>
      </c>
      <c r="AA908" s="1345"/>
      <c r="AB908" s="1345"/>
      <c r="AC908" s="1345"/>
      <c r="AD908" s="1345"/>
      <c r="AE908" s="1346"/>
      <c r="AF908" s="533"/>
      <c r="AZ908" s="34"/>
      <c r="BB908" s="30"/>
      <c r="BC908" s="812"/>
      <c r="BD908" s="1641"/>
      <c r="BE908" s="1641"/>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2">
        <v>0</v>
      </c>
      <c r="AA909" s="1345"/>
      <c r="AB909" s="1345"/>
      <c r="AC909" s="1345"/>
      <c r="AD909" s="1345"/>
      <c r="AE909" s="1346"/>
      <c r="AZ909" s="34"/>
      <c r="BB909" s="30"/>
      <c r="BC909" s="812"/>
      <c r="BD909" s="1641"/>
      <c r="BE909" s="1641"/>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2">
        <v>0</v>
      </c>
      <c r="AA910" s="1345"/>
      <c r="AB910" s="1345"/>
      <c r="AC910" s="1345"/>
      <c r="AD910" s="1345"/>
      <c r="AE910" s="1346"/>
      <c r="AZ910" s="34"/>
      <c r="BB910" s="30"/>
      <c r="BC910" s="812"/>
      <c r="BD910" s="1642"/>
      <c r="BE910" s="164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79">
        <f>Z908-(Z909+Z910)</f>
        <v>0</v>
      </c>
      <c r="AA911" s="1480"/>
      <c r="AB911" s="1480"/>
      <c r="AC911" s="1480"/>
      <c r="AD911" s="1480"/>
      <c r="AE911" s="1481"/>
      <c r="AZ911" s="34"/>
      <c r="BB911" s="30"/>
      <c r="BC911" s="812"/>
      <c r="BD911" s="1642"/>
      <c r="BE911" s="164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2"/>
      <c r="BE912" s="164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1"/>
      <c r="BE913" s="164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4"/>
      <c r="BE914" s="1644"/>
      <c r="BF914" s="1644"/>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3"/>
      <c r="BE915" s="1643"/>
      <c r="BF915" s="1643"/>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2"/>
      <c r="BE916" s="164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1"/>
      <c r="BE917" s="1642"/>
      <c r="BF917" s="14"/>
    </row>
    <row r="918" spans="1:58" ht="12.95" customHeight="1">
      <c r="AZ918" s="34"/>
      <c r="BB918" s="30"/>
      <c r="BC918" s="812"/>
    </row>
    <row r="919" spans="1:58" ht="12.95" customHeight="1">
      <c r="A919" s="1526" t="s">
        <v>96</v>
      </c>
      <c r="B919" s="1526"/>
      <c r="C919" s="1526"/>
      <c r="D919" s="1526"/>
      <c r="E919" s="1526"/>
      <c r="F919" s="1526"/>
      <c r="G919" s="1526"/>
      <c r="H919" s="1526"/>
      <c r="I919" s="1526"/>
      <c r="J919" s="1526"/>
      <c r="K919" s="1526"/>
      <c r="L919" s="1526"/>
      <c r="M919" s="1526"/>
      <c r="N919" s="1526"/>
      <c r="O919" s="1526"/>
      <c r="P919" s="1526"/>
      <c r="Q919" s="1526"/>
      <c r="R919" s="1526"/>
      <c r="S919" s="1526"/>
      <c r="T919" s="1526"/>
      <c r="U919" s="1526"/>
      <c r="V919" s="1526"/>
      <c r="W919" s="1526"/>
      <c r="X919" s="1526"/>
      <c r="Y919" s="1526"/>
      <c r="Z919" s="1526"/>
      <c r="AA919" s="1526"/>
      <c r="AB919" s="1526"/>
      <c r="AC919" s="1526"/>
      <c r="AD919" s="1526"/>
      <c r="AE919" s="1526"/>
      <c r="AF919" s="1526"/>
      <c r="AG919" s="1526"/>
      <c r="AH919" s="1526"/>
      <c r="AI919" s="1526"/>
      <c r="AJ919" s="1526"/>
      <c r="AK919" s="1526"/>
      <c r="AL919" s="1526"/>
      <c r="AM919" s="1526"/>
      <c r="AN919" s="1526"/>
      <c r="AO919" s="1526"/>
      <c r="AP919" s="1526"/>
      <c r="AQ919" s="1526"/>
      <c r="AR919" s="1526"/>
      <c r="AS919" s="1526"/>
      <c r="AT919" s="1526"/>
      <c r="AZ919" s="34"/>
      <c r="BA919" s="34"/>
      <c r="BB919" s="30"/>
      <c r="BC919" s="30"/>
      <c r="BD919" s="1641"/>
      <c r="BE919" s="1642"/>
      <c r="BF919" s="907"/>
    </row>
    <row r="920" spans="1:58" ht="12.95" customHeight="1">
      <c r="A920" s="1526"/>
      <c r="B920" s="1526"/>
      <c r="C920" s="1526"/>
      <c r="D920" s="1526"/>
      <c r="E920" s="1526"/>
      <c r="F920" s="1526"/>
      <c r="G920" s="1526"/>
      <c r="H920" s="1526"/>
      <c r="I920" s="1526"/>
      <c r="J920" s="1526"/>
      <c r="K920" s="1526"/>
      <c r="L920" s="1526"/>
      <c r="M920" s="1526"/>
      <c r="N920" s="1526"/>
      <c r="O920" s="1526"/>
      <c r="P920" s="1526"/>
      <c r="Q920" s="1526"/>
      <c r="R920" s="1526"/>
      <c r="S920" s="1526"/>
      <c r="T920" s="1526"/>
      <c r="U920" s="1526"/>
      <c r="V920" s="1526"/>
      <c r="W920" s="1526"/>
      <c r="X920" s="1526"/>
      <c r="Y920" s="1526"/>
      <c r="Z920" s="1526"/>
      <c r="AA920" s="1526"/>
      <c r="AB920" s="1526"/>
      <c r="AC920" s="1526"/>
      <c r="AD920" s="1526"/>
      <c r="AE920" s="1526"/>
      <c r="AF920" s="1526"/>
      <c r="AG920" s="1526"/>
      <c r="AH920" s="1526"/>
      <c r="AI920" s="1526"/>
      <c r="AJ920" s="1526"/>
      <c r="AK920" s="1526"/>
      <c r="AL920" s="1526"/>
      <c r="AM920" s="1526"/>
      <c r="AN920" s="1526"/>
      <c r="AO920" s="1526"/>
      <c r="AP920" s="1526"/>
      <c r="AQ920" s="1526"/>
      <c r="AR920" s="1526"/>
      <c r="AS920" s="1526"/>
      <c r="AT920" s="152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54" t="s">
        <v>791</v>
      </c>
      <c r="G924" s="1655"/>
      <c r="H924" s="1655"/>
      <c r="I924" s="1655"/>
      <c r="J924" s="1655"/>
      <c r="K924" s="1655"/>
      <c r="L924" s="1655"/>
      <c r="M924" s="1655"/>
      <c r="N924" s="1655"/>
      <c r="O924" s="1655"/>
      <c r="P924" s="1655"/>
      <c r="Q924" s="1655"/>
      <c r="R924" s="1655"/>
      <c r="S924" s="1655"/>
      <c r="T924" s="1656"/>
      <c r="U924" s="1783" t="s">
        <v>31</v>
      </c>
      <c r="V924" s="1706"/>
      <c r="W924" s="1706"/>
      <c r="X924" s="1706"/>
      <c r="Y924" s="1706"/>
      <c r="Z924" s="1706"/>
      <c r="AA924" s="43"/>
      <c r="AB924" s="105"/>
      <c r="AC924" s="105"/>
      <c r="AD924" s="105"/>
      <c r="AE924" s="105"/>
      <c r="AF924" s="106"/>
      <c r="AZ924" s="34"/>
      <c r="BA924" s="34"/>
      <c r="BB924" s="34"/>
      <c r="BC924" s="34"/>
    </row>
    <row r="925" spans="1:58" ht="12.95" customHeight="1">
      <c r="B925" s="2"/>
      <c r="F925" s="1734" t="s">
        <v>817</v>
      </c>
      <c r="G925" s="1735"/>
      <c r="H925" s="1735"/>
      <c r="I925" s="1735"/>
      <c r="J925" s="1735"/>
      <c r="K925" s="1735"/>
      <c r="L925" s="1735"/>
      <c r="M925" s="1735"/>
      <c r="N925" s="1735"/>
      <c r="O925" s="1735"/>
      <c r="P925" s="1735"/>
      <c r="Q925" s="1735"/>
      <c r="R925" s="1735"/>
      <c r="S925" s="1735"/>
      <c r="T925" s="1736"/>
      <c r="U925" s="1734"/>
      <c r="V925" s="1735"/>
      <c r="W925" s="1735"/>
      <c r="X925" s="1735"/>
      <c r="Y925" s="1735"/>
      <c r="Z925" s="1735"/>
      <c r="AA925" s="44"/>
      <c r="AB925" s="4"/>
      <c r="AC925" s="4"/>
      <c r="AD925" s="4"/>
      <c r="AE925" s="4"/>
      <c r="AF925" s="107"/>
      <c r="AZ925" s="34"/>
      <c r="BA925" s="34"/>
      <c r="BB925" s="34"/>
      <c r="BC925" s="34"/>
    </row>
    <row r="926" spans="1:58" ht="12.95" customHeight="1">
      <c r="B926" s="2"/>
      <c r="F926" s="1737"/>
      <c r="G926" s="1708"/>
      <c r="H926" s="1708"/>
      <c r="I926" s="1708"/>
      <c r="J926" s="1708"/>
      <c r="K926" s="1708"/>
      <c r="L926" s="1708"/>
      <c r="M926" s="1708"/>
      <c r="N926" s="1708"/>
      <c r="O926" s="1708"/>
      <c r="P926" s="1708"/>
      <c r="Q926" s="1708"/>
      <c r="R926" s="1708"/>
      <c r="S926" s="1708"/>
      <c r="T926" s="1709"/>
      <c r="U926" s="1737"/>
      <c r="V926" s="1708"/>
      <c r="W926" s="1708"/>
      <c r="X926" s="1708"/>
      <c r="Y926" s="1708"/>
      <c r="Z926" s="1708"/>
      <c r="AA926" s="108"/>
      <c r="AB926" s="1411" t="s">
        <v>391</v>
      </c>
      <c r="AC926" s="1411"/>
      <c r="AD926" s="1411"/>
      <c r="AE926" s="1411"/>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48" t="s">
        <v>544</v>
      </c>
      <c r="V927" s="1413"/>
      <c r="W927" s="1413"/>
      <c r="X927" s="1413"/>
      <c r="Y927" s="1413"/>
      <c r="Z927" s="1414"/>
      <c r="AA927" s="1649">
        <v>6932960</v>
      </c>
      <c r="AB927" s="1511"/>
      <c r="AC927" s="1511"/>
      <c r="AD927" s="1511"/>
      <c r="AE927" s="1511"/>
      <c r="AF927" s="1650"/>
      <c r="AG927" s="1191" t="str">
        <f>IF(NOT(AA927=AW927),"!","")</f>
        <v/>
      </c>
      <c r="AH927" s="3"/>
      <c r="AW927" s="1400">
        <f>SUMIF($M$562:$M$573,"Loan, Tax-Exempt",$AM$562:$AM$573)</f>
        <v>6932960</v>
      </c>
      <c r="AX927" s="1400"/>
      <c r="AY927" s="1400"/>
      <c r="AZ927" s="3" t="s">
        <v>2539</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48" t="s">
        <v>544</v>
      </c>
      <c r="V928" s="1413"/>
      <c r="W928" s="1413"/>
      <c r="X928" s="1413"/>
      <c r="Y928" s="1413"/>
      <c r="Z928" s="1414"/>
      <c r="AA928" s="1649">
        <v>5112586</v>
      </c>
      <c r="AB928" s="1511"/>
      <c r="AC928" s="1511"/>
      <c r="AD928" s="1511"/>
      <c r="AE928" s="1511"/>
      <c r="AF928" s="1650"/>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48" t="s">
        <v>544</v>
      </c>
      <c r="V929" s="1413"/>
      <c r="W929" s="1413"/>
      <c r="X929" s="1413"/>
      <c r="Y929" s="1413"/>
      <c r="Z929" s="1414"/>
      <c r="AA929" s="1649">
        <v>1144144</v>
      </c>
      <c r="AB929" s="1511"/>
      <c r="AC929" s="1511"/>
      <c r="AD929" s="1511"/>
      <c r="AE929" s="1511"/>
      <c r="AF929" s="1650"/>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48" t="s">
        <v>590</v>
      </c>
      <c r="V930" s="1413"/>
      <c r="W930" s="1413"/>
      <c r="X930" s="1413"/>
      <c r="Y930" s="1413"/>
      <c r="Z930" s="1414"/>
      <c r="AA930" s="1649"/>
      <c r="AB930" s="1511"/>
      <c r="AC930" s="1511"/>
      <c r="AD930" s="1511"/>
      <c r="AE930" s="1511"/>
      <c r="AF930" s="1650"/>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48" t="s">
        <v>590</v>
      </c>
      <c r="V931" s="1413"/>
      <c r="W931" s="1413"/>
      <c r="X931" s="1413"/>
      <c r="Y931" s="1413"/>
      <c r="Z931" s="1414"/>
      <c r="AA931" s="1649"/>
      <c r="AB931" s="1511"/>
      <c r="AC931" s="1511"/>
      <c r="AD931" s="1511"/>
      <c r="AE931" s="1511"/>
      <c r="AF931" s="1650"/>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48" t="s">
        <v>590</v>
      </c>
      <c r="V932" s="1413"/>
      <c r="W932" s="1413"/>
      <c r="X932" s="1413"/>
      <c r="Y932" s="1413"/>
      <c r="Z932" s="1414"/>
      <c r="AA932" s="1649"/>
      <c r="AB932" s="1511"/>
      <c r="AC932" s="1511"/>
      <c r="AD932" s="1511"/>
      <c r="AE932" s="1511"/>
      <c r="AF932" s="1650"/>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48" t="s">
        <v>590</v>
      </c>
      <c r="V933" s="1413"/>
      <c r="W933" s="1413"/>
      <c r="X933" s="1413"/>
      <c r="Y933" s="1413"/>
      <c r="Z933" s="1414"/>
      <c r="AA933" s="1649"/>
      <c r="AB933" s="1511"/>
      <c r="AC933" s="1511"/>
      <c r="AD933" s="1511"/>
      <c r="AE933" s="1511"/>
      <c r="AF933" s="1650"/>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48" t="s">
        <v>590</v>
      </c>
      <c r="V934" s="1413"/>
      <c r="W934" s="1413"/>
      <c r="X934" s="1413"/>
      <c r="Y934" s="1413"/>
      <c r="Z934" s="1414"/>
      <c r="AA934" s="1649"/>
      <c r="AB934" s="1511"/>
      <c r="AC934" s="1511"/>
      <c r="AD934" s="1511"/>
      <c r="AE934" s="1511"/>
      <c r="AF934" s="1650"/>
      <c r="AZ934" s="34"/>
      <c r="BA934" s="34"/>
      <c r="BB934" s="34"/>
      <c r="BC934" s="34"/>
    </row>
    <row r="935" spans="6:55" ht="12.95" customHeight="1">
      <c r="F935" s="1638" t="s">
        <v>2147</v>
      </c>
      <c r="G935" s="1639"/>
      <c r="H935" s="1639"/>
      <c r="I935" s="1639"/>
      <c r="J935" s="1639"/>
      <c r="K935" s="1639"/>
      <c r="L935" s="1639"/>
      <c r="M935" s="1639"/>
      <c r="N935" s="1639"/>
      <c r="O935" s="1639"/>
      <c r="P935" s="1639"/>
      <c r="Q935" s="1639"/>
      <c r="R935" s="1639"/>
      <c r="S935" s="1639"/>
      <c r="T935" s="1640"/>
      <c r="U935" s="1648" t="s">
        <v>590</v>
      </c>
      <c r="V935" s="1413"/>
      <c r="W935" s="1413"/>
      <c r="X935" s="1413"/>
      <c r="Y935" s="1413"/>
      <c r="Z935" s="1414"/>
      <c r="AA935" s="1649"/>
      <c r="AB935" s="1511"/>
      <c r="AC935" s="1511"/>
      <c r="AD935" s="1511"/>
      <c r="AE935" s="1511"/>
      <c r="AF935" s="1650"/>
      <c r="AZ935" s="34"/>
      <c r="BA935" s="34"/>
      <c r="BB935" s="34"/>
      <c r="BC935" s="34"/>
    </row>
    <row r="936" spans="6:55" ht="12.95" customHeight="1">
      <c r="F936" s="1638" t="s">
        <v>678</v>
      </c>
      <c r="G936" s="1639"/>
      <c r="H936" s="1639"/>
      <c r="I936" s="1639"/>
      <c r="J936" s="1639"/>
      <c r="K936" s="1639"/>
      <c r="L936" s="1639"/>
      <c r="M936" s="1639"/>
      <c r="N936" s="1639"/>
      <c r="O936" s="1639"/>
      <c r="P936" s="1639"/>
      <c r="Q936" s="1639"/>
      <c r="R936" s="1639"/>
      <c r="S936" s="1639"/>
      <c r="T936" s="1640"/>
      <c r="U936" s="1648" t="s">
        <v>590</v>
      </c>
      <c r="V936" s="1413"/>
      <c r="W936" s="1413"/>
      <c r="X936" s="1413"/>
      <c r="Y936" s="1413"/>
      <c r="Z936" s="1414"/>
      <c r="AA936" s="1649"/>
      <c r="AB936" s="1511"/>
      <c r="AC936" s="1511"/>
      <c r="AD936" s="1511"/>
      <c r="AE936" s="1511"/>
      <c r="AF936" s="1650"/>
      <c r="AU936" s="2"/>
      <c r="AZ936" s="34"/>
      <c r="BA936" s="34"/>
      <c r="BB936" s="34"/>
      <c r="BC936" s="34"/>
    </row>
    <row r="937" spans="6:55" ht="12.95" customHeight="1">
      <c r="F937" s="1638" t="s">
        <v>2148</v>
      </c>
      <c r="G937" s="1639"/>
      <c r="H937" s="1639"/>
      <c r="I937" s="1639"/>
      <c r="J937" s="1639"/>
      <c r="K937" s="1639"/>
      <c r="L937" s="1639"/>
      <c r="M937" s="1639"/>
      <c r="N937" s="1639"/>
      <c r="O937" s="1639"/>
      <c r="P937" s="1639"/>
      <c r="Q937" s="1639"/>
      <c r="R937" s="1639"/>
      <c r="S937" s="1639"/>
      <c r="T937" s="1640"/>
      <c r="U937" s="1648" t="s">
        <v>590</v>
      </c>
      <c r="V937" s="1413"/>
      <c r="W937" s="1413"/>
      <c r="X937" s="1413"/>
      <c r="Y937" s="1413"/>
      <c r="Z937" s="1414"/>
      <c r="AA937" s="1649"/>
      <c r="AB937" s="1511"/>
      <c r="AC937" s="1511"/>
      <c r="AD937" s="1511"/>
      <c r="AE937" s="1511"/>
      <c r="AF937" s="1650"/>
      <c r="AU937" s="2"/>
      <c r="AZ937" s="34"/>
      <c r="BA937" s="34"/>
      <c r="BB937" s="34"/>
      <c r="BC937" s="34"/>
    </row>
    <row r="938" spans="6:55" ht="12.95" customHeight="1">
      <c r="F938" s="1638" t="s">
        <v>2149</v>
      </c>
      <c r="G938" s="1639"/>
      <c r="H938" s="1639"/>
      <c r="I938" s="1639"/>
      <c r="J938" s="1639"/>
      <c r="K938" s="1639"/>
      <c r="L938" s="1639"/>
      <c r="M938" s="1639"/>
      <c r="N938" s="1639"/>
      <c r="O938" s="1639"/>
      <c r="P938" s="1639"/>
      <c r="Q938" s="1639"/>
      <c r="R938" s="1639"/>
      <c r="S938" s="1639"/>
      <c r="T938" s="1640"/>
      <c r="U938" s="1648" t="s">
        <v>590</v>
      </c>
      <c r="V938" s="1413"/>
      <c r="W938" s="1413"/>
      <c r="X938" s="1413"/>
      <c r="Y938" s="1413"/>
      <c r="Z938" s="1414"/>
      <c r="AA938" s="1649"/>
      <c r="AB938" s="1511"/>
      <c r="AC938" s="1511"/>
      <c r="AD938" s="1511"/>
      <c r="AE938" s="1511"/>
      <c r="AF938" s="1650"/>
      <c r="AU938" s="2"/>
      <c r="AZ938" s="34"/>
      <c r="BA938" s="34"/>
      <c r="BB938" s="34"/>
      <c r="BC938" s="34"/>
    </row>
    <row r="939" spans="6:55" ht="12.95" customHeight="1">
      <c r="F939" s="1638" t="s">
        <v>2150</v>
      </c>
      <c r="G939" s="1639"/>
      <c r="H939" s="1639"/>
      <c r="I939" s="1639"/>
      <c r="J939" s="1639"/>
      <c r="K939" s="1639"/>
      <c r="L939" s="1639"/>
      <c r="M939" s="1639"/>
      <c r="N939" s="1639"/>
      <c r="O939" s="1639"/>
      <c r="P939" s="1639"/>
      <c r="Q939" s="1639"/>
      <c r="R939" s="1639"/>
      <c r="S939" s="1639"/>
      <c r="T939" s="1640"/>
      <c r="U939" s="1648" t="s">
        <v>590</v>
      </c>
      <c r="V939" s="1413"/>
      <c r="W939" s="1413"/>
      <c r="X939" s="1413"/>
      <c r="Y939" s="1413"/>
      <c r="Z939" s="1414"/>
      <c r="AA939" s="1649"/>
      <c r="AB939" s="1511"/>
      <c r="AC939" s="1511"/>
      <c r="AD939" s="1511"/>
      <c r="AE939" s="1511"/>
      <c r="AF939" s="1650"/>
      <c r="AU939" s="2"/>
      <c r="AZ939" s="34"/>
      <c r="BA939" s="34"/>
      <c r="BB939" s="34"/>
      <c r="BC939" s="34"/>
    </row>
    <row r="940" spans="6:55" ht="12.95" customHeight="1">
      <c r="F940" s="1638" t="s">
        <v>2151</v>
      </c>
      <c r="G940" s="1639"/>
      <c r="H940" s="1639"/>
      <c r="I940" s="1639"/>
      <c r="J940" s="1639"/>
      <c r="K940" s="1639"/>
      <c r="L940" s="1639"/>
      <c r="M940" s="1639"/>
      <c r="N940" s="1639"/>
      <c r="O940" s="1639"/>
      <c r="P940" s="1639"/>
      <c r="Q940" s="1639"/>
      <c r="R940" s="1639"/>
      <c r="S940" s="1639"/>
      <c r="T940" s="1640"/>
      <c r="U940" s="1648" t="s">
        <v>590</v>
      </c>
      <c r="V940" s="1413"/>
      <c r="W940" s="1413"/>
      <c r="X940" s="1413"/>
      <c r="Y940" s="1413"/>
      <c r="Z940" s="1414"/>
      <c r="AA940" s="1649"/>
      <c r="AB940" s="1511"/>
      <c r="AC940" s="1511"/>
      <c r="AD940" s="1511"/>
      <c r="AE940" s="1511"/>
      <c r="AF940" s="1650"/>
      <c r="AU940" s="2"/>
      <c r="AZ940" s="34"/>
      <c r="BA940" s="34"/>
      <c r="BB940" s="34"/>
      <c r="BC940" s="34"/>
    </row>
    <row r="941" spans="6:55" ht="12.95" customHeight="1">
      <c r="F941" s="1638" t="s">
        <v>2152</v>
      </c>
      <c r="G941" s="1639"/>
      <c r="H941" s="1639"/>
      <c r="I941" s="1639"/>
      <c r="J941" s="1639"/>
      <c r="K941" s="1639"/>
      <c r="L941" s="1639"/>
      <c r="M941" s="1639"/>
      <c r="N941" s="1639"/>
      <c r="O941" s="1639"/>
      <c r="P941" s="1639"/>
      <c r="Q941" s="1639"/>
      <c r="R941" s="1639"/>
      <c r="S941" s="1639"/>
      <c r="T941" s="1640"/>
      <c r="U941" s="1648" t="s">
        <v>590</v>
      </c>
      <c r="V941" s="1413"/>
      <c r="W941" s="1413"/>
      <c r="X941" s="1413"/>
      <c r="Y941" s="1413"/>
      <c r="Z941" s="1414"/>
      <c r="AA941" s="1649"/>
      <c r="AB941" s="1511"/>
      <c r="AC941" s="1511"/>
      <c r="AD941" s="1511"/>
      <c r="AE941" s="1511"/>
      <c r="AF941" s="1650"/>
      <c r="AZ941" s="30"/>
      <c r="BA941" s="30"/>
    </row>
    <row r="942" spans="6:55" ht="12.95" customHeight="1">
      <c r="F942" s="178" t="s">
        <v>675</v>
      </c>
      <c r="G942" s="5"/>
      <c r="H942" s="5"/>
      <c r="I942" s="5"/>
      <c r="J942" s="5"/>
      <c r="K942" s="5"/>
      <c r="L942" s="5"/>
      <c r="M942" s="5"/>
      <c r="N942" s="5"/>
      <c r="O942" s="5"/>
      <c r="P942" s="5"/>
      <c r="Q942" s="5"/>
      <c r="R942" s="5"/>
      <c r="S942" s="5"/>
      <c r="T942" s="46"/>
      <c r="U942" s="1648" t="s">
        <v>590</v>
      </c>
      <c r="V942" s="1413"/>
      <c r="W942" s="1413"/>
      <c r="X942" s="1413"/>
      <c r="Y942" s="1413"/>
      <c r="Z942" s="1414"/>
      <c r="AA942" s="1649"/>
      <c r="AB942" s="1511"/>
      <c r="AC942" s="1511"/>
      <c r="AD942" s="1511"/>
      <c r="AE942" s="1511"/>
      <c r="AF942" s="1650"/>
    </row>
    <row r="943" spans="6:55" ht="12.95" customHeight="1">
      <c r="F943" s="121" t="s">
        <v>1276</v>
      </c>
      <c r="G943" s="5"/>
      <c r="H943" s="5"/>
      <c r="I943" s="5"/>
      <c r="J943" s="5"/>
      <c r="K943" s="5"/>
      <c r="L943" s="5"/>
      <c r="M943" s="5"/>
      <c r="N943" s="5"/>
      <c r="O943" s="5"/>
      <c r="P943" s="5"/>
      <c r="Q943" s="5"/>
      <c r="R943" s="5"/>
      <c r="S943" s="5"/>
      <c r="T943" s="46"/>
      <c r="U943" s="1648" t="s">
        <v>590</v>
      </c>
      <c r="V943" s="1413"/>
      <c r="W943" s="1413"/>
      <c r="X943" s="1413"/>
      <c r="Y943" s="1413"/>
      <c r="Z943" s="1414"/>
      <c r="AA943" s="1649"/>
      <c r="AB943" s="1511"/>
      <c r="AC943" s="1511"/>
      <c r="AD943" s="1511"/>
      <c r="AE943" s="1511"/>
      <c r="AF943" s="1650"/>
      <c r="AZ943" s="30"/>
      <c r="BA943" s="14"/>
    </row>
    <row r="944" spans="6:55" ht="12.95" customHeight="1">
      <c r="F944" s="66" t="s">
        <v>801</v>
      </c>
      <c r="G944" s="5"/>
      <c r="H944" s="5"/>
      <c r="I944" s="5"/>
      <c r="J944" s="5"/>
      <c r="K944" s="5"/>
      <c r="L944" s="5"/>
      <c r="M944" s="5"/>
      <c r="N944" s="5"/>
      <c r="O944" s="5"/>
      <c r="P944" s="5"/>
      <c r="Q944" s="5"/>
      <c r="R944" s="5"/>
      <c r="S944" s="5"/>
      <c r="T944" s="46"/>
      <c r="U944" s="1648" t="s">
        <v>590</v>
      </c>
      <c r="V944" s="1413"/>
      <c r="W944" s="1413"/>
      <c r="X944" s="1413"/>
      <c r="Y944" s="1413"/>
      <c r="Z944" s="1414"/>
      <c r="AA944" s="1649"/>
      <c r="AB944" s="1511"/>
      <c r="AC944" s="1511"/>
      <c r="AD944" s="1511"/>
      <c r="AE944" s="1511"/>
      <c r="AF944" s="1650"/>
      <c r="AZ944" s="30"/>
      <c r="BA944" s="14"/>
    </row>
    <row r="945" spans="6:55" ht="12.95" customHeight="1">
      <c r="F945" s="1645" t="s">
        <v>2156</v>
      </c>
      <c r="G945" s="1646"/>
      <c r="H945" s="1646"/>
      <c r="I945" s="1646"/>
      <c r="J945" s="1646"/>
      <c r="K945" s="1646"/>
      <c r="L945" s="1646"/>
      <c r="M945" s="1646"/>
      <c r="N945" s="1646"/>
      <c r="O945" s="1646"/>
      <c r="P945" s="1646"/>
      <c r="Q945" s="1646"/>
      <c r="R945" s="1646"/>
      <c r="S945" s="1646"/>
      <c r="T945" s="1647"/>
      <c r="U945" s="1648" t="s">
        <v>590</v>
      </c>
      <c r="V945" s="1413"/>
      <c r="W945" s="1413"/>
      <c r="X945" s="1413"/>
      <c r="Y945" s="1413"/>
      <c r="Z945" s="1414"/>
      <c r="AA945" s="1649"/>
      <c r="AB945" s="1511"/>
      <c r="AC945" s="1511"/>
      <c r="AD945" s="1511"/>
      <c r="AE945" s="1511"/>
      <c r="AF945" s="1650"/>
      <c r="AZ945" s="30"/>
      <c r="BA945" s="14"/>
    </row>
    <row r="946" spans="6:55" ht="12.95" customHeight="1">
      <c r="F946" s="1645" t="s">
        <v>2157</v>
      </c>
      <c r="G946" s="1646"/>
      <c r="H946" s="1646"/>
      <c r="I946" s="1646"/>
      <c r="J946" s="1646"/>
      <c r="K946" s="1646"/>
      <c r="L946" s="1646"/>
      <c r="M946" s="1646"/>
      <c r="N946" s="1646"/>
      <c r="O946" s="1646"/>
      <c r="P946" s="1646"/>
      <c r="Q946" s="1646"/>
      <c r="R946" s="1646"/>
      <c r="S946" s="1646"/>
      <c r="T946" s="1647"/>
      <c r="U946" s="1648" t="s">
        <v>590</v>
      </c>
      <c r="V946" s="1413"/>
      <c r="W946" s="1413"/>
      <c r="X946" s="1413"/>
      <c r="Y946" s="1413"/>
      <c r="Z946" s="1414"/>
      <c r="AA946" s="1649"/>
      <c r="AB946" s="1511"/>
      <c r="AC946" s="1511"/>
      <c r="AD946" s="1511"/>
      <c r="AE946" s="1511"/>
      <c r="AF946" s="1650"/>
      <c r="AZ946" s="30"/>
      <c r="BA946" s="30"/>
    </row>
    <row r="947" spans="6:55" ht="12.95" customHeight="1">
      <c r="F947" s="1638" t="s">
        <v>2153</v>
      </c>
      <c r="G947" s="1639"/>
      <c r="H947" s="1639"/>
      <c r="I947" s="1639"/>
      <c r="J947" s="1639"/>
      <c r="K947" s="1639"/>
      <c r="L947" s="1639"/>
      <c r="M947" s="1639"/>
      <c r="N947" s="1639"/>
      <c r="O947" s="1639"/>
      <c r="P947" s="1639"/>
      <c r="Q947" s="1639"/>
      <c r="R947" s="1639"/>
      <c r="S947" s="1639"/>
      <c r="T947" s="1640"/>
      <c r="U947" s="1648" t="s">
        <v>590</v>
      </c>
      <c r="V947" s="1413"/>
      <c r="W947" s="1413"/>
      <c r="X947" s="1413"/>
      <c r="Y947" s="1413"/>
      <c r="Z947" s="1414"/>
      <c r="AA947" s="1649"/>
      <c r="AB947" s="1511"/>
      <c r="AC947" s="1511"/>
      <c r="AD947" s="1511"/>
      <c r="AE947" s="1511"/>
      <c r="AF947" s="1650"/>
      <c r="AZ947" s="30"/>
      <c r="BA947" s="30"/>
    </row>
    <row r="948" spans="6:55" ht="12.95" customHeight="1">
      <c r="F948" s="1638" t="s">
        <v>2154</v>
      </c>
      <c r="G948" s="1639"/>
      <c r="H948" s="1639"/>
      <c r="I948" s="1639"/>
      <c r="J948" s="1639"/>
      <c r="K948" s="1639"/>
      <c r="L948" s="1639"/>
      <c r="M948" s="1639"/>
      <c r="N948" s="1639"/>
      <c r="O948" s="1639"/>
      <c r="P948" s="1639"/>
      <c r="Q948" s="1639"/>
      <c r="R948" s="1639"/>
      <c r="S948" s="1639"/>
      <c r="T948" s="1640"/>
      <c r="U948" s="1648" t="s">
        <v>590</v>
      </c>
      <c r="V948" s="1413"/>
      <c r="W948" s="1413"/>
      <c r="X948" s="1413"/>
      <c r="Y948" s="1413"/>
      <c r="Z948" s="1414"/>
      <c r="AA948" s="1649"/>
      <c r="AB948" s="1511"/>
      <c r="AC948" s="1511"/>
      <c r="AD948" s="1511"/>
      <c r="AE948" s="1511"/>
      <c r="AF948" s="1650"/>
      <c r="AZ948" s="30"/>
      <c r="BA948" s="30"/>
    </row>
    <row r="949" spans="6:55" ht="12.95" customHeight="1">
      <c r="F949" s="1638" t="s">
        <v>2155</v>
      </c>
      <c r="G949" s="1639"/>
      <c r="H949" s="1639"/>
      <c r="I949" s="1639"/>
      <c r="J949" s="1639"/>
      <c r="K949" s="1639"/>
      <c r="L949" s="1639"/>
      <c r="M949" s="1639"/>
      <c r="N949" s="1639"/>
      <c r="O949" s="1639"/>
      <c r="P949" s="1639"/>
      <c r="Q949" s="1639"/>
      <c r="R949" s="1639"/>
      <c r="S949" s="1639"/>
      <c r="T949" s="1640"/>
      <c r="U949" s="1648" t="s">
        <v>590</v>
      </c>
      <c r="V949" s="1413"/>
      <c r="W949" s="1413"/>
      <c r="X949" s="1413"/>
      <c r="Y949" s="1413"/>
      <c r="Z949" s="1414"/>
      <c r="AA949" s="1649"/>
      <c r="AB949" s="1511"/>
      <c r="AC949" s="1511"/>
      <c r="AD949" s="1511"/>
      <c r="AE949" s="1511"/>
      <c r="AF949" s="1650"/>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48" t="s">
        <v>590</v>
      </c>
      <c r="V950" s="1413"/>
      <c r="W950" s="1413"/>
      <c r="X950" s="1413"/>
      <c r="Y950" s="1413"/>
      <c r="Z950" s="1414"/>
      <c r="AA950" s="1649"/>
      <c r="AB950" s="1511"/>
      <c r="AC950" s="1511"/>
      <c r="AD950" s="1511"/>
      <c r="AE950" s="1511"/>
      <c r="AF950" s="1650"/>
      <c r="AZ950" s="34"/>
      <c r="BA950" s="34"/>
      <c r="BB950" s="14"/>
      <c r="BC950" s="14"/>
    </row>
    <row r="951" spans="6:55" ht="12.95" customHeight="1">
      <c r="F951" s="1645" t="s">
        <v>2158</v>
      </c>
      <c r="G951" s="1646"/>
      <c r="H951" s="1646"/>
      <c r="I951" s="1646"/>
      <c r="J951" s="1646"/>
      <c r="K951" s="1646"/>
      <c r="L951" s="1646"/>
      <c r="M951" s="1646"/>
      <c r="N951" s="1646"/>
      <c r="O951" s="1646"/>
      <c r="P951" s="1646"/>
      <c r="Q951" s="1646"/>
      <c r="R951" s="1646"/>
      <c r="S951" s="1646"/>
      <c r="T951" s="1647"/>
      <c r="U951" s="1648" t="s">
        <v>590</v>
      </c>
      <c r="V951" s="1413"/>
      <c r="W951" s="1413"/>
      <c r="X951" s="1413"/>
      <c r="Y951" s="1413"/>
      <c r="Z951" s="1414"/>
      <c r="AA951" s="1649"/>
      <c r="AB951" s="1511"/>
      <c r="AC951" s="1511"/>
      <c r="AD951" s="1511"/>
      <c r="AE951" s="1511"/>
      <c r="AF951" s="1650"/>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48" t="s">
        <v>590</v>
      </c>
      <c r="V952" s="1413"/>
      <c r="W952" s="1413"/>
      <c r="X952" s="1413"/>
      <c r="Y952" s="1413"/>
      <c r="Z952" s="1414"/>
      <c r="AA952" s="1649"/>
      <c r="AB952" s="1511"/>
      <c r="AC952" s="1511"/>
      <c r="AD952" s="1511"/>
      <c r="AE952" s="1511"/>
      <c r="AF952" s="1650"/>
      <c r="AZ952" s="34"/>
      <c r="BA952" s="34"/>
      <c r="BB952" s="34"/>
      <c r="BC952" s="34"/>
    </row>
    <row r="953" spans="6:55" ht="12.95" customHeight="1">
      <c r="F953" s="1645" t="s">
        <v>2159</v>
      </c>
      <c r="G953" s="1646"/>
      <c r="H953" s="1646"/>
      <c r="I953" s="1646"/>
      <c r="J953" s="1646"/>
      <c r="K953" s="1646"/>
      <c r="L953" s="1646"/>
      <c r="M953" s="1646"/>
      <c r="N953" s="1646"/>
      <c r="O953" s="1646"/>
      <c r="P953" s="1646"/>
      <c r="Q953" s="1646"/>
      <c r="R953" s="1646"/>
      <c r="S953" s="1646"/>
      <c r="T953" s="1647"/>
      <c r="U953" s="1648" t="s">
        <v>590</v>
      </c>
      <c r="V953" s="1413"/>
      <c r="W953" s="1413"/>
      <c r="X953" s="1413"/>
      <c r="Y953" s="1413"/>
      <c r="Z953" s="1414"/>
      <c r="AA953" s="1649"/>
      <c r="AB953" s="1511"/>
      <c r="AC953" s="1511"/>
      <c r="AD953" s="1511"/>
      <c r="AE953" s="1511"/>
      <c r="AF953" s="1650"/>
      <c r="AZ953" s="34"/>
      <c r="BA953" s="34"/>
      <c r="BB953" s="34"/>
      <c r="BC953" s="34"/>
    </row>
    <row r="954" spans="6:55" ht="12.95" customHeight="1">
      <c r="F954" s="45" t="s">
        <v>805</v>
      </c>
      <c r="G954" s="5"/>
      <c r="H954" s="5"/>
      <c r="I954" s="5"/>
      <c r="J954" s="5"/>
      <c r="K954" s="5"/>
      <c r="L954" s="5"/>
      <c r="M954" s="5"/>
      <c r="N954" s="5"/>
      <c r="O954" s="5"/>
      <c r="P954" s="1648" t="s">
        <v>668</v>
      </c>
      <c r="Q954" s="1413"/>
      <c r="R954" s="1413"/>
      <c r="S954" s="1413"/>
      <c r="T954" s="1414"/>
      <c r="U954" s="1648" t="s">
        <v>590</v>
      </c>
      <c r="V954" s="1413"/>
      <c r="W954" s="1413"/>
      <c r="X954" s="1413"/>
      <c r="Y954" s="1413"/>
      <c r="Z954" s="1414"/>
      <c r="AA954" s="1649"/>
      <c r="AB954" s="1511"/>
      <c r="AC954" s="1511"/>
      <c r="AD954" s="1511"/>
      <c r="AE954" s="1511"/>
      <c r="AF954" s="1650"/>
      <c r="AZ954" s="34"/>
      <c r="BA954" s="34"/>
      <c r="BB954" s="34"/>
      <c r="BC954" s="34"/>
    </row>
    <row r="955" spans="6:55" ht="12.95" customHeight="1">
      <c r="F955" s="1638" t="s">
        <v>2146</v>
      </c>
      <c r="G955" s="1639"/>
      <c r="H955" s="1640"/>
      <c r="I955" s="1616" t="s">
        <v>2773</v>
      </c>
      <c r="J955" s="1617"/>
      <c r="K955" s="1617"/>
      <c r="L955" s="1617"/>
      <c r="M955" s="1617"/>
      <c r="N955" s="1617"/>
      <c r="O955" s="1617"/>
      <c r="P955" s="1617"/>
      <c r="Q955" s="1617"/>
      <c r="R955" s="1617"/>
      <c r="S955" s="1617"/>
      <c r="T955" s="1618"/>
      <c r="U955" s="1648" t="s">
        <v>544</v>
      </c>
      <c r="V955" s="1413"/>
      <c r="W955" s="1413"/>
      <c r="X955" s="1413"/>
      <c r="Y955" s="1413"/>
      <c r="Z955" s="1414"/>
      <c r="AA955" s="1649">
        <v>7540886</v>
      </c>
      <c r="AB955" s="1511"/>
      <c r="AC955" s="1511"/>
      <c r="AD955" s="1511"/>
      <c r="AE955" s="1511"/>
      <c r="AF955" s="1650"/>
      <c r="AZ955" s="34"/>
      <c r="BA955" s="34"/>
      <c r="BB955" s="34"/>
      <c r="BC955" s="34"/>
    </row>
    <row r="956" spans="6:55" ht="12.95" customHeight="1">
      <c r="F956" s="45" t="s">
        <v>86</v>
      </c>
      <c r="G956" s="48"/>
      <c r="H956" s="48"/>
      <c r="I956" s="1616" t="s">
        <v>334</v>
      </c>
      <c r="J956" s="1617"/>
      <c r="K956" s="1617"/>
      <c r="L956" s="1617"/>
      <c r="M956" s="1617"/>
      <c r="N956" s="1617"/>
      <c r="O956" s="1617"/>
      <c r="P956" s="1617"/>
      <c r="Q956" s="1617"/>
      <c r="R956" s="1617"/>
      <c r="S956" s="1617"/>
      <c r="T956" s="1618"/>
      <c r="U956" s="1648" t="s">
        <v>590</v>
      </c>
      <c r="V956" s="1413"/>
      <c r="W956" s="1413"/>
      <c r="X956" s="1413"/>
      <c r="Y956" s="1413"/>
      <c r="Z956" s="1414"/>
      <c r="AA956" s="1649"/>
      <c r="AB956" s="1511"/>
      <c r="AC956" s="1511"/>
      <c r="AD956" s="1511"/>
      <c r="AE956" s="1511"/>
      <c r="AF956" s="1650"/>
      <c r="AZ956" s="34"/>
      <c r="BA956" s="34"/>
      <c r="BB956" s="34"/>
      <c r="BC956" s="34"/>
    </row>
    <row r="957" spans="6:55" ht="12.95" customHeight="1">
      <c r="F957" s="45" t="s">
        <v>10</v>
      </c>
      <c r="G957" s="48"/>
      <c r="H957" s="48"/>
      <c r="I957" s="1695" t="s">
        <v>334</v>
      </c>
      <c r="J957" s="1696"/>
      <c r="K957" s="1696"/>
      <c r="L957" s="1696"/>
      <c r="M957" s="1696"/>
      <c r="N957" s="1696"/>
      <c r="O957" s="1696"/>
      <c r="P957" s="1696"/>
      <c r="Q957" s="1696"/>
      <c r="R957" s="1696"/>
      <c r="S957" s="1696"/>
      <c r="T957" s="1697"/>
      <c r="U957" s="1648" t="s">
        <v>590</v>
      </c>
      <c r="V957" s="1413"/>
      <c r="W957" s="1413"/>
      <c r="X957" s="1413"/>
      <c r="Y957" s="1413"/>
      <c r="Z957" s="1414"/>
      <c r="AA957" s="1649"/>
      <c r="AB957" s="1511"/>
      <c r="AC957" s="1511"/>
      <c r="AD957" s="1511"/>
      <c r="AE957" s="1511"/>
      <c r="AF957" s="1650"/>
      <c r="AV957" s="2"/>
      <c r="AW957" s="2"/>
      <c r="AX957" s="2"/>
      <c r="AY957" s="2"/>
      <c r="AZ957" s="34"/>
      <c r="BA957" s="34"/>
      <c r="BB957" s="34"/>
      <c r="BC957" s="34"/>
    </row>
    <row r="958" spans="6:55" ht="12.95" customHeight="1">
      <c r="F958" s="47" t="s">
        <v>170</v>
      </c>
      <c r="G958" s="48"/>
      <c r="H958" s="48"/>
      <c r="I958" s="1695" t="s">
        <v>334</v>
      </c>
      <c r="J958" s="1696"/>
      <c r="K958" s="1696"/>
      <c r="L958" s="1696"/>
      <c r="M958" s="1696"/>
      <c r="N958" s="1696"/>
      <c r="O958" s="1696"/>
      <c r="P958" s="1696"/>
      <c r="Q958" s="1696"/>
      <c r="R958" s="1696"/>
      <c r="S958" s="1696"/>
      <c r="T958" s="1697"/>
      <c r="U958" s="1648" t="s">
        <v>590</v>
      </c>
      <c r="V958" s="1413"/>
      <c r="W958" s="1413"/>
      <c r="X958" s="1413"/>
      <c r="Y958" s="1413"/>
      <c r="Z958" s="1414"/>
      <c r="AA958" s="1649"/>
      <c r="AB958" s="1511"/>
      <c r="AC958" s="1511"/>
      <c r="AD958" s="1511"/>
      <c r="AE958" s="1511"/>
      <c r="AF958" s="1650"/>
      <c r="AU958" s="2"/>
      <c r="AZ958" s="34"/>
      <c r="BA958" s="34"/>
      <c r="BB958" s="34"/>
      <c r="BC958" s="34"/>
    </row>
    <row r="959" spans="6:55" ht="12.95" customHeight="1">
      <c r="F959" s="47" t="s">
        <v>170</v>
      </c>
      <c r="G959" s="48"/>
      <c r="H959" s="48"/>
      <c r="I959" s="1695" t="s">
        <v>334</v>
      </c>
      <c r="J959" s="1696"/>
      <c r="K959" s="1696"/>
      <c r="L959" s="1696"/>
      <c r="M959" s="1696"/>
      <c r="N959" s="1696"/>
      <c r="O959" s="1696"/>
      <c r="P959" s="1696"/>
      <c r="Q959" s="1696"/>
      <c r="R959" s="1696"/>
      <c r="S959" s="1696"/>
      <c r="T959" s="1697"/>
      <c r="U959" s="1648" t="s">
        <v>590</v>
      </c>
      <c r="V959" s="1413"/>
      <c r="W959" s="1413"/>
      <c r="X959" s="1413"/>
      <c r="Y959" s="1413"/>
      <c r="Z959" s="1414"/>
      <c r="AA959" s="1649"/>
      <c r="AB959" s="1511"/>
      <c r="AC959" s="1511"/>
      <c r="AD959" s="1511"/>
      <c r="AE959" s="1511"/>
      <c r="AF959" s="1650"/>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02"/>
      <c r="N964" s="1631"/>
      <c r="O964" s="1631"/>
      <c r="P964" s="1631"/>
      <c r="Q964" s="1631"/>
      <c r="R964" s="1631"/>
      <c r="S964" s="1632"/>
      <c r="U964" s="66" t="s">
        <v>11</v>
      </c>
      <c r="V964" s="5"/>
      <c r="W964" s="5"/>
      <c r="X964" s="5"/>
      <c r="Y964" s="5"/>
      <c r="Z964" s="5"/>
      <c r="AA964" s="5"/>
      <c r="AB964" s="5"/>
      <c r="AC964" s="5"/>
      <c r="AD964" s="46"/>
      <c r="AE964" s="1702"/>
      <c r="AF964" s="1631"/>
      <c r="AG964" s="1631"/>
      <c r="AH964" s="1631"/>
      <c r="AI964" s="1631"/>
      <c r="AJ964" s="1631"/>
      <c r="AK964" s="1632"/>
      <c r="AZ964" s="34"/>
      <c r="BA964" s="34"/>
      <c r="BB964" s="34"/>
      <c r="BC964" s="34"/>
    </row>
    <row r="965" spans="1:64" ht="12.95" customHeight="1">
      <c r="C965" s="66" t="s">
        <v>12</v>
      </c>
      <c r="D965" s="5"/>
      <c r="E965" s="5"/>
      <c r="F965" s="5"/>
      <c r="G965" s="5"/>
      <c r="H965" s="5"/>
      <c r="I965" s="5"/>
      <c r="J965" s="5"/>
      <c r="K965" s="5"/>
      <c r="L965" s="46"/>
      <c r="M965" s="1462"/>
      <c r="N965" s="1507"/>
      <c r="O965" s="1507"/>
      <c r="P965" s="1507"/>
      <c r="Q965" s="1507"/>
      <c r="R965" s="1507"/>
      <c r="S965" s="1726"/>
      <c r="U965" s="66" t="s">
        <v>12</v>
      </c>
      <c r="V965" s="5"/>
      <c r="W965" s="5"/>
      <c r="X965" s="5"/>
      <c r="Y965" s="5"/>
      <c r="Z965" s="5"/>
      <c r="AA965" s="5"/>
      <c r="AB965" s="5"/>
      <c r="AC965" s="5"/>
      <c r="AD965" s="46"/>
      <c r="AE965" s="1462"/>
      <c r="AF965" s="1507"/>
      <c r="AG965" s="1507"/>
      <c r="AH965" s="1507"/>
      <c r="AI965" s="1507"/>
      <c r="AJ965" s="1507"/>
      <c r="AK965" s="1726"/>
      <c r="AZ965" s="34"/>
      <c r="BA965" s="34"/>
      <c r="BB965" s="34"/>
      <c r="BC965" s="34"/>
    </row>
    <row r="966" spans="1:64" ht="12.95" customHeight="1">
      <c r="C966" s="66" t="s">
        <v>879</v>
      </c>
      <c r="D966" s="5"/>
      <c r="E966" s="5"/>
      <c r="J966" s="1742" t="s">
        <v>307</v>
      </c>
      <c r="K966" s="1743"/>
      <c r="L966" s="1743"/>
      <c r="M966" s="1743"/>
      <c r="N966" s="1743"/>
      <c r="O966" s="1743"/>
      <c r="P966" s="1743"/>
      <c r="Q966" s="1743"/>
      <c r="R966" s="1743"/>
      <c r="S966" s="1744"/>
      <c r="U966" s="66" t="s">
        <v>879</v>
      </c>
      <c r="V966" s="5"/>
      <c r="W966" s="5"/>
      <c r="AB966" s="1742" t="s">
        <v>307</v>
      </c>
      <c r="AC966" s="1743"/>
      <c r="AD966" s="1743"/>
      <c r="AE966" s="1743"/>
      <c r="AF966" s="1743"/>
      <c r="AG966" s="1743"/>
      <c r="AH966" s="1743"/>
      <c r="AI966" s="1743"/>
      <c r="AJ966" s="1743"/>
      <c r="AK966" s="1744"/>
      <c r="AZ966" s="34"/>
      <c r="BA966" s="34"/>
      <c r="BB966" s="34"/>
      <c r="BC966" s="34"/>
    </row>
    <row r="967" spans="1:64" ht="12.95" customHeight="1">
      <c r="C967" s="66" t="s">
        <v>13</v>
      </c>
      <c r="D967" s="5"/>
      <c r="E967" s="5"/>
      <c r="F967" s="5"/>
      <c r="G967" s="5"/>
      <c r="H967" s="5"/>
      <c r="I967" s="5"/>
      <c r="J967" s="5"/>
      <c r="K967" s="5"/>
      <c r="L967" s="46"/>
      <c r="M967" s="1713"/>
      <c r="N967" s="1714"/>
      <c r="O967" s="1714"/>
      <c r="P967" s="1714"/>
      <c r="Q967" s="1714"/>
      <c r="R967" s="1714"/>
      <c r="S967" s="1715"/>
      <c r="U967" s="66" t="s">
        <v>13</v>
      </c>
      <c r="V967" s="5"/>
      <c r="W967" s="5"/>
      <c r="X967" s="5"/>
      <c r="Y967" s="5"/>
      <c r="Z967" s="5"/>
      <c r="AA967" s="5"/>
      <c r="AB967" s="5"/>
      <c r="AC967" s="5"/>
      <c r="AD967" s="46"/>
      <c r="AE967" s="1733"/>
      <c r="AF967" s="1714"/>
      <c r="AG967" s="1714"/>
      <c r="AH967" s="1714"/>
      <c r="AI967" s="1714"/>
      <c r="AJ967" s="1714"/>
      <c r="AK967" s="1715"/>
      <c r="AZ967" s="34"/>
      <c r="BA967" s="34"/>
      <c r="BB967" s="34"/>
      <c r="BC967" s="34"/>
    </row>
    <row r="968" spans="1:64" ht="12.95" customHeight="1">
      <c r="C968" s="66" t="s">
        <v>14</v>
      </c>
      <c r="D968" s="5"/>
      <c r="E968" s="5"/>
      <c r="F968" s="5"/>
      <c r="G968" s="5"/>
      <c r="H968" s="5"/>
      <c r="I968" s="5"/>
      <c r="J968" s="5"/>
      <c r="K968" s="5"/>
      <c r="L968" s="46"/>
      <c r="M968" s="1626"/>
      <c r="N968" s="1627"/>
      <c r="O968" s="1627"/>
      <c r="P968" s="1627"/>
      <c r="Q968" s="1627"/>
      <c r="R968" s="1627"/>
      <c r="S968" s="1628"/>
      <c r="U968" s="66" t="s">
        <v>14</v>
      </c>
      <c r="V968" s="5"/>
      <c r="W968" s="5"/>
      <c r="X968" s="5"/>
      <c r="Y968" s="5"/>
      <c r="Z968" s="5"/>
      <c r="AA968" s="5"/>
      <c r="AB968" s="5"/>
      <c r="AC968" s="5"/>
      <c r="AD968" s="46"/>
      <c r="AE968" s="1626"/>
      <c r="AF968" s="1627"/>
      <c r="AG968" s="1627"/>
      <c r="AH968" s="1627"/>
      <c r="AI968" s="1627"/>
      <c r="AJ968" s="1627"/>
      <c r="AK968" s="1628"/>
      <c r="AV968" s="2"/>
      <c r="AW968" s="2"/>
      <c r="AX968" s="2"/>
      <c r="AY968" s="2"/>
      <c r="AZ968" s="34"/>
      <c r="BA968" s="34"/>
      <c r="BB968" s="34"/>
      <c r="BC968" s="34"/>
    </row>
    <row r="969" spans="1:64" ht="12.95" customHeight="1">
      <c r="C969" s="66" t="s">
        <v>15</v>
      </c>
      <c r="D969" s="5"/>
      <c r="E969" s="5"/>
      <c r="F969" s="5"/>
      <c r="G969" s="5"/>
      <c r="H969" s="5"/>
      <c r="I969" s="5"/>
      <c r="J969" s="5"/>
      <c r="K969" s="5"/>
      <c r="L969" s="46"/>
      <c r="M969" s="1649"/>
      <c r="N969" s="1511"/>
      <c r="O969" s="1511"/>
      <c r="P969" s="1511"/>
      <c r="Q969" s="1511"/>
      <c r="R969" s="1511"/>
      <c r="S969" s="1650"/>
      <c r="U969" s="66" t="s">
        <v>15</v>
      </c>
      <c r="V969" s="5"/>
      <c r="W969" s="5"/>
      <c r="X969" s="5"/>
      <c r="Y969" s="5"/>
      <c r="Z969" s="5"/>
      <c r="AA969" s="5"/>
      <c r="AB969" s="5"/>
      <c r="AC969" s="5"/>
      <c r="AD969" s="46"/>
      <c r="AE969" s="1649"/>
      <c r="AF969" s="1511"/>
      <c r="AG969" s="1511"/>
      <c r="AH969" s="1511"/>
      <c r="AI969" s="1511"/>
      <c r="AJ969" s="1511"/>
      <c r="AK969" s="1650"/>
      <c r="AV969" s="2"/>
      <c r="AW969" s="2"/>
      <c r="AX969" s="2"/>
      <c r="AY969" s="2"/>
      <c r="AZ969" s="34"/>
      <c r="BA969" s="34"/>
      <c r="BB969" s="34"/>
      <c r="BC969" s="34"/>
    </row>
    <row r="970" spans="1:64" ht="12.95" customHeight="1">
      <c r="C970" s="66" t="s">
        <v>16</v>
      </c>
      <c r="D970" s="5"/>
      <c r="E970" s="5"/>
      <c r="F970" s="5"/>
      <c r="G970" s="5"/>
      <c r="H970" s="5"/>
      <c r="I970" s="5"/>
      <c r="J970" s="5"/>
      <c r="K970" s="5"/>
      <c r="L970" s="46"/>
      <c r="M970" s="1649"/>
      <c r="N970" s="1511"/>
      <c r="O970" s="1511"/>
      <c r="P970" s="1511"/>
      <c r="Q970" s="1511"/>
      <c r="R970" s="1511"/>
      <c r="S970" s="1650"/>
      <c r="U970" s="66" t="s">
        <v>16</v>
      </c>
      <c r="V970" s="5"/>
      <c r="W970" s="5"/>
      <c r="X970" s="5"/>
      <c r="Y970" s="5"/>
      <c r="Z970" s="5"/>
      <c r="AA970" s="5"/>
      <c r="AB970" s="5"/>
      <c r="AC970" s="5"/>
      <c r="AD970" s="46"/>
      <c r="AE970" s="1649"/>
      <c r="AF970" s="1511"/>
      <c r="AG970" s="1511"/>
      <c r="AH970" s="1511"/>
      <c r="AI970" s="1511"/>
      <c r="AJ970" s="1511"/>
      <c r="AK970" s="1650"/>
      <c r="AV970" s="2"/>
      <c r="AW970" s="2"/>
      <c r="AX970" s="2"/>
      <c r="AY970" s="2"/>
      <c r="AZ970" s="34"/>
      <c r="BB970" s="34"/>
      <c r="BC970" s="34"/>
    </row>
    <row r="971" spans="1:64" ht="12.95" customHeight="1">
      <c r="C971" s="121" t="s">
        <v>1649</v>
      </c>
      <c r="D971" s="5"/>
      <c r="E971" s="5"/>
      <c r="F971" s="5"/>
      <c r="G971" s="5"/>
      <c r="H971" s="5"/>
      <c r="I971" s="5"/>
      <c r="J971" s="5"/>
      <c r="K971" s="5"/>
      <c r="L971" s="46"/>
      <c r="M971" s="1730"/>
      <c r="N971" s="1731"/>
      <c r="O971" s="1731"/>
      <c r="P971" s="1731"/>
      <c r="Q971" s="1731"/>
      <c r="R971" s="1731"/>
      <c r="S971" s="1732"/>
      <c r="U971" s="121" t="s">
        <v>1649</v>
      </c>
      <c r="V971" s="5"/>
      <c r="W971" s="5"/>
      <c r="X971" s="5"/>
      <c r="Y971" s="5"/>
      <c r="Z971" s="5"/>
      <c r="AA971" s="5"/>
      <c r="AB971" s="5"/>
      <c r="AC971" s="5"/>
      <c r="AD971" s="46"/>
      <c r="AE971" s="1730"/>
      <c r="AF971" s="1731"/>
      <c r="AG971" s="1731"/>
      <c r="AH971" s="1731"/>
      <c r="AI971" s="1731"/>
      <c r="AJ971" s="1731"/>
      <c r="AK971" s="1732"/>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99"/>
      <c r="N976" s="1700"/>
      <c r="O976" s="1700"/>
      <c r="P976" s="1700"/>
      <c r="Q976" s="1700"/>
      <c r="R976" s="1700"/>
      <c r="S976" s="1701"/>
      <c r="T976" s="66" t="s">
        <v>789</v>
      </c>
      <c r="U976" s="5"/>
      <c r="V976" s="5"/>
      <c r="W976" s="5"/>
      <c r="X976" s="5"/>
      <c r="Y976" s="5"/>
      <c r="Z976" s="46"/>
      <c r="AA976" s="1699"/>
      <c r="AB976" s="1700"/>
      <c r="AC976" s="1700"/>
      <c r="AD976" s="1700"/>
      <c r="AE976" s="1700"/>
      <c r="AF976" s="1700"/>
      <c r="AG976" s="170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99"/>
      <c r="N977" s="1700"/>
      <c r="O977" s="1700"/>
      <c r="P977" s="1700"/>
      <c r="Q977" s="1700"/>
      <c r="R977" s="1700"/>
      <c r="S977" s="1701"/>
      <c r="T977" s="66" t="s">
        <v>788</v>
      </c>
      <c r="U977" s="5"/>
      <c r="V977" s="5"/>
      <c r="W977" s="5"/>
      <c r="X977" s="5"/>
      <c r="Y977" s="5"/>
      <c r="Z977" s="46"/>
      <c r="AA977" s="1699"/>
      <c r="AB977" s="1700"/>
      <c r="AC977" s="1700"/>
      <c r="AD977" s="1700"/>
      <c r="AE977" s="1700"/>
      <c r="AF977" s="1700"/>
      <c r="AG977" s="170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16" t="s">
        <v>590</v>
      </c>
      <c r="N978" s="1717"/>
      <c r="O978" s="1717"/>
      <c r="P978" s="1717"/>
      <c r="Q978" s="1717"/>
      <c r="R978" s="1717"/>
      <c r="S978" s="1718"/>
      <c r="T978" s="45" t="s">
        <v>337</v>
      </c>
      <c r="U978" s="5"/>
      <c r="V978" s="5"/>
      <c r="W978" s="5"/>
      <c r="X978" s="5"/>
      <c r="Y978" s="5"/>
      <c r="Z978" s="46"/>
      <c r="AA978" s="1699"/>
      <c r="AB978" s="1700"/>
      <c r="AC978" s="1700"/>
      <c r="AD978" s="1700"/>
      <c r="AE978" s="1700"/>
      <c r="AF978" s="1700"/>
      <c r="AG978" s="170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99"/>
      <c r="N979" s="1700"/>
      <c r="O979" s="1700"/>
      <c r="P979" s="1700"/>
      <c r="Q979" s="1700"/>
      <c r="R979" s="1700"/>
      <c r="S979" s="1701"/>
      <c r="T979" s="45" t="s">
        <v>338</v>
      </c>
      <c r="U979" s="5"/>
      <c r="V979" s="5"/>
      <c r="W979" s="5"/>
      <c r="X979" s="5"/>
      <c r="Y979" s="5"/>
      <c r="Z979" s="46"/>
      <c r="AA979" s="1699"/>
      <c r="AB979" s="1700"/>
      <c r="AC979" s="1700"/>
      <c r="AD979" s="1700"/>
      <c r="AE979" s="1700"/>
      <c r="AF979" s="1700"/>
      <c r="AG979" s="170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99"/>
      <c r="N980" s="1700"/>
      <c r="O980" s="1700"/>
      <c r="P980" s="1700"/>
      <c r="Q980" s="1700"/>
      <c r="R980" s="1700"/>
      <c r="S980" s="1701"/>
      <c r="T980" s="45" t="s">
        <v>376</v>
      </c>
      <c r="U980" s="5"/>
      <c r="V980" s="5"/>
      <c r="W980" s="5"/>
      <c r="X980" s="5"/>
      <c r="Y980" s="5"/>
      <c r="Z980" s="46"/>
      <c r="AA980" s="1699"/>
      <c r="AB980" s="1700"/>
      <c r="AC980" s="1700"/>
      <c r="AD980" s="1700"/>
      <c r="AE980" s="1700"/>
      <c r="AF980" s="1700"/>
      <c r="AG980" s="170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42" t="s">
        <v>307</v>
      </c>
      <c r="N981" s="1743"/>
      <c r="O981" s="1743"/>
      <c r="P981" s="1743"/>
      <c r="Q981" s="1743"/>
      <c r="R981" s="1743"/>
      <c r="S981" s="1744"/>
      <c r="T981" s="1723"/>
      <c r="U981" s="1724"/>
      <c r="V981" s="1724"/>
      <c r="W981" s="1724"/>
      <c r="X981" s="1724"/>
      <c r="Y981" s="1724"/>
      <c r="Z981" s="1725"/>
      <c r="AA981" s="1699"/>
      <c r="AB981" s="1700"/>
      <c r="AC981" s="1700"/>
      <c r="AD981" s="1700"/>
      <c r="AE981" s="1700"/>
      <c r="AF981" s="1700"/>
      <c r="AG981" s="170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99"/>
      <c r="N982" s="1700"/>
      <c r="O982" s="1700"/>
      <c r="P982" s="1700"/>
      <c r="Q982" s="1700"/>
      <c r="R982" s="1700"/>
      <c r="S982" s="1701"/>
      <c r="T982" s="1723"/>
      <c r="U982" s="1724"/>
      <c r="V982" s="1724"/>
      <c r="W982" s="1724"/>
      <c r="X982" s="1724"/>
      <c r="Y982" s="1724"/>
      <c r="Z982" s="1725"/>
      <c r="AA982" s="1699"/>
      <c r="AB982" s="1700"/>
      <c r="AC982" s="1700"/>
      <c r="AD982" s="1700"/>
      <c r="AE982" s="1700"/>
      <c r="AF982" s="1700"/>
      <c r="AG982" s="170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66" t="s">
        <v>668</v>
      </c>
      <c r="P983" s="1464"/>
      <c r="Q983" s="92"/>
      <c r="R983" s="92"/>
      <c r="S983" s="93"/>
      <c r="T983" s="41" t="s">
        <v>170</v>
      </c>
      <c r="U983" s="42"/>
      <c r="V983" s="42"/>
      <c r="W983" s="1814" t="s">
        <v>334</v>
      </c>
      <c r="X983" s="1815"/>
      <c r="Y983" s="1815"/>
      <c r="Z983" s="1815"/>
      <c r="AA983" s="1815"/>
      <c r="AB983" s="1815"/>
      <c r="AC983" s="1815"/>
      <c r="AD983" s="1815"/>
      <c r="AE983" s="1815"/>
      <c r="AF983" s="1815"/>
      <c r="AG983" s="1816"/>
      <c r="AU983" s="68"/>
      <c r="AV983" s="95"/>
      <c r="AW983" s="95"/>
      <c r="AX983" s="95"/>
      <c r="AY983" s="95"/>
      <c r="AZ983" s="34"/>
      <c r="BB983" s="34"/>
      <c r="BC983" s="34"/>
      <c r="BD983" s="34"/>
      <c r="BE983" s="34"/>
      <c r="BF983" s="34"/>
      <c r="BG983" s="34"/>
      <c r="BH983" s="34"/>
      <c r="BI983" s="34"/>
      <c r="BJ983" s="34"/>
      <c r="BK983" s="34"/>
      <c r="BL983" s="34"/>
    </row>
    <row r="984" spans="1:64" ht="12.95" customHeight="1">
      <c r="F984" s="1605" t="s">
        <v>33</v>
      </c>
      <c r="G984" s="1490"/>
      <c r="H984" s="1490"/>
      <c r="I984" s="1490"/>
      <c r="J984" s="1490"/>
      <c r="K984" s="1490"/>
      <c r="L984" s="1490"/>
      <c r="M984" s="1699"/>
      <c r="N984" s="1700"/>
      <c r="O984" s="1700"/>
      <c r="P984" s="1700"/>
      <c r="Q984" s="1700"/>
      <c r="R984" s="1700"/>
      <c r="S984" s="1701"/>
      <c r="T984" s="47"/>
      <c r="U984" s="48"/>
      <c r="V984" s="48"/>
      <c r="W984" s="48"/>
      <c r="X984" s="48"/>
      <c r="Y984" s="48"/>
      <c r="Z984" s="124" t="s">
        <v>134</v>
      </c>
      <c r="AA984" s="1784"/>
      <c r="AB984" s="1785"/>
      <c r="AC984" s="1785"/>
      <c r="AD984" s="1785"/>
      <c r="AE984" s="1785"/>
      <c r="AF984" s="1785"/>
      <c r="AG984" s="1786"/>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42"/>
      <c r="BH985" s="1642"/>
      <c r="BI985" s="1642"/>
      <c r="BJ985" s="1642"/>
      <c r="BK985" s="1642"/>
      <c r="BL985" s="164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6" t="s">
        <v>547</v>
      </c>
      <c r="B988" s="1526"/>
      <c r="C988" s="1526"/>
      <c r="D988" s="1526"/>
      <c r="E988" s="1526"/>
      <c r="F988" s="1526"/>
      <c r="G988" s="1526"/>
      <c r="H988" s="1526"/>
      <c r="I988" s="1526"/>
      <c r="J988" s="1526"/>
      <c r="K988" s="1526"/>
      <c r="L988" s="1526"/>
      <c r="M988" s="1526"/>
      <c r="N988" s="1526"/>
      <c r="O988" s="1526"/>
      <c r="P988" s="1526"/>
      <c r="Q988" s="1526"/>
      <c r="R988" s="1526"/>
      <c r="S988" s="1526"/>
      <c r="T988" s="1526"/>
      <c r="U988" s="1526"/>
      <c r="V988" s="1526"/>
      <c r="W988" s="1526"/>
      <c r="X988" s="1526"/>
      <c r="Y988" s="1526"/>
      <c r="Z988" s="1526"/>
      <c r="AA988" s="1526"/>
      <c r="AB988" s="1526"/>
      <c r="AC988" s="1526"/>
      <c r="AD988" s="1526"/>
      <c r="AE988" s="1526"/>
      <c r="AF988" s="1526"/>
      <c r="AG988" s="1526"/>
      <c r="AH988" s="1526"/>
      <c r="AI988" s="1526"/>
      <c r="AJ988" s="1526"/>
      <c r="AK988" s="1526"/>
      <c r="AL988" s="1526"/>
      <c r="AM988" s="1526"/>
      <c r="AN988" s="1526"/>
      <c r="AO988" s="1526"/>
      <c r="AP988" s="1526"/>
      <c r="AQ988" s="1526"/>
      <c r="AR988" s="1526"/>
      <c r="AS988" s="1526"/>
      <c r="AT988" s="1526"/>
      <c r="AU988" s="68"/>
      <c r="AV988" s="68"/>
      <c r="AW988" s="68"/>
      <c r="AX988" s="68"/>
      <c r="AY988" s="68"/>
      <c r="AZ988" s="14"/>
      <c r="BA988" s="14"/>
      <c r="BB988" s="908"/>
      <c r="BC988" s="908"/>
    </row>
    <row r="989" spans="1:64" ht="12.95" customHeight="1">
      <c r="A989" s="1526"/>
      <c r="B989" s="1526"/>
      <c r="C989" s="1526"/>
      <c r="D989" s="1526"/>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L989" s="1526"/>
      <c r="AM989" s="1526"/>
      <c r="AN989" s="1526"/>
      <c r="AO989" s="1526"/>
      <c r="AP989" s="1526"/>
      <c r="AQ989" s="1526"/>
      <c r="AR989" s="1526"/>
      <c r="AS989" s="1526"/>
      <c r="AT989" s="1526"/>
      <c r="AU989" s="68"/>
      <c r="AV989" s="68"/>
      <c r="AW989" s="68"/>
      <c r="AX989" s="68"/>
      <c r="AY989" s="68"/>
      <c r="AZ989" s="30"/>
      <c r="BA989" s="14"/>
      <c r="BB989" s="14"/>
      <c r="BC989" s="14"/>
    </row>
    <row r="990" spans="1:64" ht="12.95" customHeight="1">
      <c r="A990" s="1526"/>
      <c r="B990" s="1526"/>
      <c r="C990" s="1526"/>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L990" s="1526"/>
      <c r="AM990" s="1526"/>
      <c r="AN990" s="1526"/>
      <c r="AO990" s="1526"/>
      <c r="AP990" s="1526"/>
      <c r="AQ990" s="1526"/>
      <c r="AR990" s="1526"/>
      <c r="AS990" s="1526"/>
      <c r="AT990" s="152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10" t="s">
        <v>637</v>
      </c>
      <c r="E994" s="1811"/>
      <c r="F994" s="1811"/>
      <c r="G994" s="1811"/>
      <c r="H994" s="1811"/>
      <c r="I994" s="1811"/>
      <c r="J994" s="1811"/>
      <c r="K994" s="1811"/>
      <c r="L994" s="1811"/>
      <c r="M994" s="1811"/>
      <c r="N994" s="1811"/>
      <c r="O994" s="1811"/>
      <c r="P994" s="1811"/>
      <c r="Q994" s="1812"/>
      <c r="R994" s="1810" t="s">
        <v>638</v>
      </c>
      <c r="S994" s="1811"/>
      <c r="T994" s="1811"/>
      <c r="U994" s="1811"/>
      <c r="V994" s="1811"/>
      <c r="W994" s="1811"/>
      <c r="X994" s="1811"/>
      <c r="Y994" s="1811"/>
      <c r="Z994" s="1811"/>
      <c r="AA994" s="1812"/>
      <c r="AB994" s="1810" t="s">
        <v>639</v>
      </c>
      <c r="AC994" s="1811"/>
      <c r="AD994" s="1811"/>
      <c r="AE994" s="1811"/>
      <c r="AF994" s="1811"/>
      <c r="AG994" s="1811"/>
      <c r="AH994" s="1811"/>
      <c r="AI994" s="1812"/>
      <c r="AJ994" s="1810" t="s">
        <v>640</v>
      </c>
      <c r="AK994" s="1811"/>
      <c r="AL994" s="1811"/>
      <c r="AM994" s="1811"/>
      <c r="AN994" s="1811"/>
      <c r="AO994" s="1811"/>
      <c r="AP994" s="1811"/>
      <c r="AQ994" s="1812"/>
      <c r="AR994" s="68"/>
      <c r="AS994" s="68"/>
      <c r="AT994" s="68"/>
      <c r="AU994" s="68"/>
      <c r="AV994" s="68"/>
      <c r="AW994" s="68"/>
      <c r="AX994" s="68"/>
      <c r="AY994" s="68"/>
      <c r="AZ994" s="30"/>
      <c r="BB994" s="14"/>
      <c r="BC994" s="14"/>
    </row>
    <row r="995" spans="1:55" ht="12.95" customHeight="1">
      <c r="A995" s="14"/>
      <c r="B995" s="73"/>
      <c r="C995" s="925"/>
      <c r="D995" s="1686" t="s">
        <v>632</v>
      </c>
      <c r="E995" s="1687"/>
      <c r="F995" s="1687"/>
      <c r="G995" s="1687"/>
      <c r="H995" s="1687"/>
      <c r="I995" s="1687"/>
      <c r="J995" s="1687"/>
      <c r="K995" s="1687"/>
      <c r="L995" s="1687"/>
      <c r="M995" s="1687"/>
      <c r="N995" s="1687"/>
      <c r="O995" s="1687"/>
      <c r="P995" s="1687"/>
      <c r="Q995" s="1688"/>
      <c r="R995" s="1741">
        <f>IF(ISNA(IF($CU$122="4%",(INDEX($CS$160:$CW$217,MATCH($DG$122,$CR$160:$CR$217,0),MATCH(D995,$CS$159:$CW$159,0))),(INDEX($CZ$160:$DD$217,MATCH($DG$122,$CY$160:$CY$217,0),MATCH(D995,$CZ$159:$DD$159,0))))),0,IF($CU$122="4%",(INDEX($CS$160:$CW$217,MATCH($DG$122,$CR$160:$CR$217,0),MATCH(D995,$CS$159:$CW$159,0))),(INDEX($CZ$160:$DD$217,MATCH($DG$122,$CY$160:$CY$217,0),MATCH(D995,$CZ$159:$DD$159,0)))))</f>
        <v>442904</v>
      </c>
      <c r="S995" s="1741"/>
      <c r="T995" s="1741"/>
      <c r="U995" s="1741"/>
      <c r="V995" s="1741"/>
      <c r="W995" s="1741"/>
      <c r="X995" s="1741"/>
      <c r="Y995" s="1741"/>
      <c r="Z995" s="1741"/>
      <c r="AA995" s="1741"/>
      <c r="AB995" s="1738">
        <f>CP810</f>
        <v>0</v>
      </c>
      <c r="AC995" s="1739"/>
      <c r="AD995" s="1739"/>
      <c r="AE995" s="1739"/>
      <c r="AF995" s="1739"/>
      <c r="AG995" s="1739"/>
      <c r="AH995" s="1739"/>
      <c r="AI995" s="1740"/>
      <c r="AJ995" s="1710">
        <f>IF(ISERROR((R995*AB995)),0,(R995*AB995))</f>
        <v>0</v>
      </c>
      <c r="AK995" s="1711"/>
      <c r="AL995" s="1711"/>
      <c r="AM995" s="1711"/>
      <c r="AN995" s="1711"/>
      <c r="AO995" s="1711"/>
      <c r="AP995" s="1711"/>
      <c r="AQ995" s="1712"/>
      <c r="AR995" s="68"/>
      <c r="AS995" s="68"/>
      <c r="AT995" s="68"/>
      <c r="AU995" s="68"/>
      <c r="AV995" s="68"/>
      <c r="AW995" s="68"/>
      <c r="AX995" s="68"/>
      <c r="AY995" s="68"/>
      <c r="AZ995" s="30"/>
      <c r="BB995" s="14"/>
      <c r="BC995" s="14"/>
    </row>
    <row r="996" spans="1:55" ht="12.95" customHeight="1">
      <c r="A996" s="14"/>
      <c r="B996" s="73"/>
      <c r="C996" s="83"/>
      <c r="D996" s="1686" t="s">
        <v>325</v>
      </c>
      <c r="E996" s="1687"/>
      <c r="F996" s="1687"/>
      <c r="G996" s="1687"/>
      <c r="H996" s="1687"/>
      <c r="I996" s="1687"/>
      <c r="J996" s="1687"/>
      <c r="K996" s="1687"/>
      <c r="L996" s="1687"/>
      <c r="M996" s="1687"/>
      <c r="N996" s="1687"/>
      <c r="O996" s="1687"/>
      <c r="P996" s="1687"/>
      <c r="Q996" s="1688"/>
      <c r="R996" s="1741">
        <f>IF(ISNA(IF($CU$122="4%",(INDEX($CS$160:$CW$217,MATCH($DG$122,$CR$160:$CR$217,0),MATCH(D996,$CS$159:$CW$159,0))),(INDEX($CZ$160:$DD$217,MATCH($DG$122,$CY$160:$CY$217,0),MATCH(D996,$CZ$159:$DD$159,0))))),0,IF($CU$122="4%",(INDEX($CS$160:$CW$217,MATCH($DG$122,$CR$160:$CR$217,0),MATCH(D996,$CS$159:$CW$159,0))),(INDEX($CZ$160:$DD$217,MATCH($DG$122,$CY$160:$CY$217,0),MATCH(D996,$CZ$159:$DD$159,0)))))</f>
        <v>510664</v>
      </c>
      <c r="S996" s="1741"/>
      <c r="T996" s="1741"/>
      <c r="U996" s="1741"/>
      <c r="V996" s="1741"/>
      <c r="W996" s="1741"/>
      <c r="X996" s="1741"/>
      <c r="Y996" s="1741"/>
      <c r="Z996" s="1741"/>
      <c r="AA996" s="1741"/>
      <c r="AB996" s="1738">
        <f>CU810</f>
        <v>10</v>
      </c>
      <c r="AC996" s="1739"/>
      <c r="AD996" s="1739"/>
      <c r="AE996" s="1739"/>
      <c r="AF996" s="1739"/>
      <c r="AG996" s="1739"/>
      <c r="AH996" s="1739"/>
      <c r="AI996" s="1740"/>
      <c r="AJ996" s="1710">
        <f>IF(ISERROR((R996*AB996)),0,(R996*AB996))</f>
        <v>5106640</v>
      </c>
      <c r="AK996" s="1711"/>
      <c r="AL996" s="1711"/>
      <c r="AM996" s="1711"/>
      <c r="AN996" s="1711"/>
      <c r="AO996" s="1711"/>
      <c r="AP996" s="1711"/>
      <c r="AQ996" s="1712"/>
      <c r="AR996" s="68"/>
      <c r="AS996" s="68"/>
      <c r="AT996" s="68"/>
      <c r="AU996" s="68"/>
      <c r="AV996" s="68"/>
      <c r="AW996" s="68"/>
      <c r="AX996" s="68"/>
      <c r="AY996" s="68"/>
      <c r="AZ996" s="30"/>
      <c r="BB996" s="14"/>
      <c r="BC996" s="14"/>
    </row>
    <row r="997" spans="1:55" ht="12.95" customHeight="1">
      <c r="A997" s="14"/>
      <c r="B997" s="73"/>
      <c r="C997" s="83"/>
      <c r="D997" s="1686" t="s">
        <v>163</v>
      </c>
      <c r="E997" s="1687"/>
      <c r="F997" s="1687"/>
      <c r="G997" s="1687"/>
      <c r="H997" s="1687"/>
      <c r="I997" s="1687"/>
      <c r="J997" s="1687"/>
      <c r="K997" s="1687"/>
      <c r="L997" s="1687"/>
      <c r="M997" s="1687"/>
      <c r="N997" s="1687"/>
      <c r="O997" s="1687"/>
      <c r="P997" s="1687"/>
      <c r="Q997" s="1688"/>
      <c r="R997" s="1741">
        <f>IF(ISNA(IF($CU$122="4%",(INDEX($CS$160:$CW$217,MATCH($DG$122,$CR$160:$CR$217,0),MATCH(D997,$CS$159:$CW$159,0))),(INDEX($CZ$160:$DD$217,MATCH($DG$122,$CY$160:$CY$217,0),MATCH(D997,$CZ$159:$DD$159,0))))),0,IF($CU$122="4%",(INDEX($CS$160:$CW$217,MATCH($DG$122,$CR$160:$CR$217,0),MATCH(D997,$CS$159:$CW$159,0))),(INDEX($CZ$160:$DD$217,MATCH($DG$122,$CY$160:$CY$217,0),MATCH(D997,$CZ$159:$DD$159,0)))))</f>
        <v>616000</v>
      </c>
      <c r="S997" s="1741"/>
      <c r="T997" s="1741"/>
      <c r="U997" s="1741"/>
      <c r="V997" s="1741"/>
      <c r="W997" s="1741"/>
      <c r="X997" s="1741"/>
      <c r="Y997" s="1741"/>
      <c r="Z997" s="1741"/>
      <c r="AA997" s="1741"/>
      <c r="AB997" s="1738">
        <f>CZ810</f>
        <v>10</v>
      </c>
      <c r="AC997" s="1739"/>
      <c r="AD997" s="1739"/>
      <c r="AE997" s="1739"/>
      <c r="AF997" s="1739"/>
      <c r="AG997" s="1739"/>
      <c r="AH997" s="1739"/>
      <c r="AI997" s="1740"/>
      <c r="AJ997" s="1710">
        <f>IF(ISERROR((R997*AB997)),0,(R997*AB997))</f>
        <v>6160000</v>
      </c>
      <c r="AK997" s="1711"/>
      <c r="AL997" s="1711"/>
      <c r="AM997" s="1711"/>
      <c r="AN997" s="1711"/>
      <c r="AO997" s="1711"/>
      <c r="AP997" s="1711"/>
      <c r="AQ997" s="1712"/>
      <c r="AR997" s="68"/>
      <c r="AS997" s="68"/>
      <c r="AT997" s="68"/>
      <c r="AU997" s="68"/>
      <c r="AV997" s="68"/>
      <c r="AW997" s="68"/>
      <c r="AX997" s="68"/>
      <c r="AY997" s="68"/>
      <c r="AZ997" s="30"/>
      <c r="BB997" s="14"/>
      <c r="BC997" s="14"/>
    </row>
    <row r="998" spans="1:55" ht="12.95" customHeight="1">
      <c r="A998" s="14"/>
      <c r="B998" s="73"/>
      <c r="C998" s="83"/>
      <c r="D998" s="1686" t="s">
        <v>164</v>
      </c>
      <c r="E998" s="1687"/>
      <c r="F998" s="1687"/>
      <c r="G998" s="1687"/>
      <c r="H998" s="1687"/>
      <c r="I998" s="1687"/>
      <c r="J998" s="1687"/>
      <c r="K998" s="1687"/>
      <c r="L998" s="1687"/>
      <c r="M998" s="1687"/>
      <c r="N998" s="1687"/>
      <c r="O998" s="1687"/>
      <c r="P998" s="1687"/>
      <c r="Q998" s="1688"/>
      <c r="R998" s="1741">
        <f>IF(ISNA(IF($CU$122="4%",(INDEX($CS$160:$CW$217,MATCH($DG$122,$CR$160:$CR$217,0),MATCH(D998,$CS$159:$CW$159,0))),(INDEX($CZ$160:$DD$217,MATCH($DG$122,$CY$160:$CY$217,0),MATCH(D998,$CZ$159:$DD$159,0))))),0,IF($CU$122="4%",(INDEX($CS$160:$CW$217,MATCH($DG$122,$CR$160:$CR$217,0),MATCH(D998,$CS$159:$CW$159,0))),(INDEX($CZ$160:$DD$217,MATCH($DG$122,$CY$160:$CY$217,0),MATCH(D998,$CZ$159:$DD$159,0)))))</f>
        <v>788480</v>
      </c>
      <c r="S998" s="1741"/>
      <c r="T998" s="1741"/>
      <c r="U998" s="1741"/>
      <c r="V998" s="1741"/>
      <c r="W998" s="1741"/>
      <c r="X998" s="1741"/>
      <c r="Y998" s="1741"/>
      <c r="Z998" s="1741"/>
      <c r="AA998" s="1741"/>
      <c r="AB998" s="1738">
        <f>DE810</f>
        <v>8</v>
      </c>
      <c r="AC998" s="1739"/>
      <c r="AD998" s="1739"/>
      <c r="AE998" s="1739"/>
      <c r="AF998" s="1739"/>
      <c r="AG998" s="1739"/>
      <c r="AH998" s="1739"/>
      <c r="AI998" s="1740"/>
      <c r="AJ998" s="1710">
        <f>IF(ISERROR((R998*AB998)),0,(R998*AB998))</f>
        <v>6307840</v>
      </c>
      <c r="AK998" s="1711"/>
      <c r="AL998" s="1711"/>
      <c r="AM998" s="1711"/>
      <c r="AN998" s="1711"/>
      <c r="AO998" s="1711"/>
      <c r="AP998" s="1711"/>
      <c r="AQ998" s="1712"/>
      <c r="AR998" s="68"/>
      <c r="AS998" s="68"/>
      <c r="AT998" s="68"/>
      <c r="AU998" s="68"/>
      <c r="AV998" s="68"/>
      <c r="AW998" s="68"/>
      <c r="AX998" s="68"/>
      <c r="AY998" s="68"/>
      <c r="AZ998" s="30"/>
      <c r="BA998" s="34"/>
      <c r="BB998" s="14"/>
      <c r="BC998" s="14"/>
    </row>
    <row r="999" spans="1:55" ht="12.95" customHeight="1">
      <c r="A999" s="14"/>
      <c r="B999" s="47"/>
      <c r="C999" s="78"/>
      <c r="D999" s="1686" t="s">
        <v>459</v>
      </c>
      <c r="E999" s="1687"/>
      <c r="F999" s="1687"/>
      <c r="G999" s="1687"/>
      <c r="H999" s="1687"/>
      <c r="I999" s="1687"/>
      <c r="J999" s="1687"/>
      <c r="K999" s="1687"/>
      <c r="L999" s="1687"/>
      <c r="M999" s="1687"/>
      <c r="N999" s="1687"/>
      <c r="O999" s="1687"/>
      <c r="P999" s="1687"/>
      <c r="Q999" s="1688"/>
      <c r="R999" s="1741">
        <f>IF(ISNA(IF($CU$122="4%",(INDEX($CS$160:$CW$217,MATCH($DG$122,$CR$160:$CR$217,0),MATCH(D999,$CS$159:$CW$159,0))),(INDEX($CZ$160:$DD$217,MATCH($DG$122,$CY$160:$CY$217,0),MATCH(D999,$CZ$159:$DD$159,0))))),0,IF($CU$122="4%",(INDEX($CS$160:$CW$217,MATCH($DG$122,$CR$160:$CR$217,0),MATCH(D999,$CS$159:$CW$159,0))),(INDEX($CZ$160:$DD$217,MATCH($DG$122,$CY$160:$CY$217,0),MATCH(D999,$CZ$159:$DD$159,0)))))</f>
        <v>878416</v>
      </c>
      <c r="S999" s="1741"/>
      <c r="T999" s="1741"/>
      <c r="U999" s="1741"/>
      <c r="V999" s="1741"/>
      <c r="W999" s="1741"/>
      <c r="X999" s="1741"/>
      <c r="Y999" s="1741"/>
      <c r="Z999" s="1741"/>
      <c r="AA999" s="1741"/>
      <c r="AB999" s="1738">
        <f>DO810+DJ810</f>
        <v>0</v>
      </c>
      <c r="AC999" s="1739"/>
      <c r="AD999" s="1739"/>
      <c r="AE999" s="1739"/>
      <c r="AF999" s="1739"/>
      <c r="AG999" s="1739"/>
      <c r="AH999" s="1739"/>
      <c r="AI999" s="1740"/>
      <c r="AJ999" s="1710">
        <f>IF(ISERROR((R999*AB999)),0,(R999*AB999))</f>
        <v>0</v>
      </c>
      <c r="AK999" s="1711"/>
      <c r="AL999" s="1711"/>
      <c r="AM999" s="1711"/>
      <c r="AN999" s="1711"/>
      <c r="AO999" s="1711"/>
      <c r="AP999" s="1711"/>
      <c r="AQ999" s="1712"/>
      <c r="AR999" s="68"/>
      <c r="AS999" s="68"/>
      <c r="AT999" s="68"/>
      <c r="AU999" s="68"/>
      <c r="AV999" s="68"/>
      <c r="AW999" s="68"/>
      <c r="AX999" s="68"/>
      <c r="AY999" s="68"/>
      <c r="AZ999" s="30"/>
      <c r="BB999" s="14"/>
      <c r="BC999" s="14"/>
    </row>
    <row r="1000" spans="1:55" ht="12.95" customHeight="1">
      <c r="A1000" s="14"/>
      <c r="B1000" s="1769" t="s">
        <v>790</v>
      </c>
      <c r="C1000" s="1770"/>
      <c r="D1000" s="1770"/>
      <c r="E1000" s="1770"/>
      <c r="F1000" s="1770"/>
      <c r="G1000" s="1770"/>
      <c r="H1000" s="1770"/>
      <c r="I1000" s="1770"/>
      <c r="J1000" s="1770"/>
      <c r="K1000" s="1770"/>
      <c r="L1000" s="1770"/>
      <c r="M1000" s="1770"/>
      <c r="N1000" s="1770"/>
      <c r="O1000" s="1770"/>
      <c r="P1000" s="1770"/>
      <c r="Q1000" s="1770"/>
      <c r="R1000" s="1770"/>
      <c r="S1000" s="1770"/>
      <c r="T1000" s="1770"/>
      <c r="U1000" s="1770"/>
      <c r="V1000" s="1770"/>
      <c r="W1000" s="1770"/>
      <c r="X1000" s="1770"/>
      <c r="Y1000" s="1770"/>
      <c r="Z1000" s="1770"/>
      <c r="AA1000" s="1771"/>
      <c r="AB1000" s="1738">
        <f>SUM(AB995:AI999)</f>
        <v>28</v>
      </c>
      <c r="AC1000" s="1739"/>
      <c r="AD1000" s="1739"/>
      <c r="AE1000" s="1739"/>
      <c r="AF1000" s="1739"/>
      <c r="AG1000" s="1739"/>
      <c r="AH1000" s="1739"/>
      <c r="AI1000" s="1740"/>
      <c r="AJ1000" s="1710"/>
      <c r="AK1000" s="1711"/>
      <c r="AL1000" s="1711"/>
      <c r="AM1000" s="1711"/>
      <c r="AN1000" s="1711"/>
      <c r="AO1000" s="1711"/>
      <c r="AP1000" s="1711"/>
      <c r="AQ1000" s="1712"/>
      <c r="AR1000" s="68"/>
      <c r="AS1000" s="68"/>
      <c r="AT1000" s="68"/>
      <c r="AU1000" s="68"/>
      <c r="AV1000" s="68"/>
      <c r="AW1000" s="68"/>
      <c r="AX1000" s="68"/>
      <c r="AY1000" s="68"/>
      <c r="AZ1000" s="34"/>
      <c r="BA1000" s="34"/>
      <c r="BB1000" s="14"/>
      <c r="BC1000" s="14"/>
    </row>
    <row r="1001" spans="1:55" ht="12.95" customHeight="1">
      <c r="A1001" s="14"/>
      <c r="B1001" s="1763" t="s">
        <v>511</v>
      </c>
      <c r="C1001" s="1764"/>
      <c r="D1001" s="1764"/>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4"/>
      <c r="AF1001" s="1764"/>
      <c r="AG1001" s="1764"/>
      <c r="AH1001" s="1764"/>
      <c r="AI1001" s="1765"/>
      <c r="AJ1001" s="1710">
        <f>SUM(AJ995:AQ999)</f>
        <v>17574480</v>
      </c>
      <c r="AK1001" s="1711"/>
      <c r="AL1001" s="1711"/>
      <c r="AM1001" s="1711"/>
      <c r="AN1001" s="1711"/>
      <c r="AO1001" s="1711"/>
      <c r="AP1001" s="1711"/>
      <c r="AQ1001" s="1712"/>
      <c r="AR1001" s="68"/>
      <c r="AS1001" s="68"/>
      <c r="AT1001" s="68"/>
      <c r="AU1001" s="68"/>
      <c r="AV1001" s="68"/>
      <c r="AW1001" s="68"/>
      <c r="AX1001" s="68"/>
      <c r="AY1001" s="68"/>
      <c r="AZ1001" s="34"/>
      <c r="BB1001" s="34"/>
      <c r="BC1001" s="34"/>
    </row>
    <row r="1002" spans="1:55" ht="12.95" customHeight="1">
      <c r="A1002" s="14"/>
      <c r="B1002" s="1760"/>
      <c r="C1002" s="1761"/>
      <c r="D1002" s="1761"/>
      <c r="E1002" s="1761"/>
      <c r="F1002" s="1761"/>
      <c r="G1002" s="1761"/>
      <c r="H1002" s="1761"/>
      <c r="I1002" s="1761"/>
      <c r="J1002" s="1761"/>
      <c r="K1002" s="1761"/>
      <c r="L1002" s="1761"/>
      <c r="M1002" s="1761"/>
      <c r="N1002" s="1761"/>
      <c r="O1002" s="1761"/>
      <c r="P1002" s="1761"/>
      <c r="Q1002" s="1761"/>
      <c r="R1002" s="1761"/>
      <c r="S1002" s="1761"/>
      <c r="T1002" s="1761"/>
      <c r="U1002" s="1761"/>
      <c r="V1002" s="1761"/>
      <c r="W1002" s="1761"/>
      <c r="X1002" s="1761"/>
      <c r="Y1002" s="1761"/>
      <c r="Z1002" s="1761"/>
      <c r="AA1002" s="1761"/>
      <c r="AB1002" s="1761"/>
      <c r="AC1002" s="1761"/>
      <c r="AD1002" s="1761"/>
      <c r="AE1002" s="1762"/>
      <c r="AF1002" s="1787" t="s">
        <v>665</v>
      </c>
      <c r="AG1002" s="1788"/>
      <c r="AH1002" s="1788"/>
      <c r="AI1002" s="1789"/>
      <c r="AJ1002" s="1760"/>
      <c r="AK1002" s="1761"/>
      <c r="AL1002" s="1761"/>
      <c r="AM1002" s="1761"/>
      <c r="AN1002" s="1761"/>
      <c r="AO1002" s="1761"/>
      <c r="AP1002" s="1761"/>
      <c r="AQ1002" s="1762"/>
      <c r="AR1002" s="68"/>
      <c r="AS1002" s="68"/>
      <c r="AT1002" s="68"/>
      <c r="AU1002" s="68"/>
      <c r="AV1002" s="68"/>
      <c r="AW1002" s="68"/>
      <c r="AX1002" s="68"/>
      <c r="AY1002" s="68"/>
      <c r="AZ1002" s="34"/>
      <c r="BA1002" s="34"/>
      <c r="BB1002" s="34"/>
      <c r="BC1002" s="34"/>
    </row>
    <row r="1003" spans="1:55" ht="12.95" customHeight="1">
      <c r="A1003" s="14"/>
      <c r="B1003" s="73"/>
      <c r="C1003" s="923" t="s">
        <v>667</v>
      </c>
      <c r="D1003" s="1766" t="s">
        <v>1219</v>
      </c>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9"/>
      <c r="AG1003" s="1790" t="s">
        <v>668</v>
      </c>
      <c r="AH1003" s="1791"/>
      <c r="AI1003" s="87"/>
      <c r="AJ1003" s="1745">
        <f>ROUND(IF(AND(AG1003="yes",D1009&gt;0),AJ1001*0.2,0),0)</f>
        <v>0</v>
      </c>
      <c r="AK1003" s="1746"/>
      <c r="AL1003" s="1746"/>
      <c r="AM1003" s="1746"/>
      <c r="AN1003" s="1746"/>
      <c r="AO1003" s="1746"/>
      <c r="AP1003" s="1746"/>
      <c r="AQ1003" s="1747"/>
      <c r="AR1003" s="68"/>
      <c r="AS1003" s="68"/>
      <c r="AT1003" s="68"/>
      <c r="AU1003" s="68"/>
      <c r="AV1003" s="68"/>
      <c r="AW1003" s="68"/>
      <c r="AX1003" s="68"/>
      <c r="AY1003" s="68"/>
      <c r="AZ1003" s="34"/>
      <c r="BA1003" s="34"/>
      <c r="BB1003" s="34"/>
      <c r="BC1003" s="34"/>
    </row>
    <row r="1004" spans="1:55" ht="12.95" customHeight="1">
      <c r="A1004" s="14"/>
      <c r="B1004" s="257"/>
      <c r="C1004" s="256"/>
      <c r="D1004" s="1801" t="s">
        <v>2189</v>
      </c>
      <c r="E1004" s="1802"/>
      <c r="F1004" s="1802"/>
      <c r="G1004" s="1802"/>
      <c r="H1004" s="1802"/>
      <c r="I1004" s="1802"/>
      <c r="J1004" s="1802"/>
      <c r="K1004" s="1802"/>
      <c r="L1004" s="1802"/>
      <c r="M1004" s="1802"/>
      <c r="N1004" s="1802"/>
      <c r="O1004" s="1802"/>
      <c r="P1004" s="1802"/>
      <c r="Q1004" s="1802"/>
      <c r="R1004" s="1802"/>
      <c r="S1004" s="1802"/>
      <c r="T1004" s="1802"/>
      <c r="U1004" s="1802"/>
      <c r="V1004" s="1802"/>
      <c r="W1004" s="1802"/>
      <c r="X1004" s="1802"/>
      <c r="Y1004" s="1802"/>
      <c r="Z1004" s="1802"/>
      <c r="AA1004" s="1802"/>
      <c r="AB1004" s="1802"/>
      <c r="AC1004" s="1802"/>
      <c r="AD1004" s="1802"/>
      <c r="AE1004" s="1803"/>
      <c r="AF1004" s="73"/>
      <c r="AG1004" s="14"/>
      <c r="AH1004" s="14"/>
      <c r="AI1004" s="83"/>
      <c r="AJ1004" s="1748"/>
      <c r="AK1004" s="1749"/>
      <c r="AL1004" s="1749"/>
      <c r="AM1004" s="1749"/>
      <c r="AN1004" s="1749"/>
      <c r="AO1004" s="1749"/>
      <c r="AP1004" s="1749"/>
      <c r="AQ1004" s="1750"/>
      <c r="AR1004" s="68"/>
      <c r="AS1004" s="68"/>
      <c r="AT1004" s="68"/>
      <c r="AU1004" s="68"/>
      <c r="AV1004" s="68"/>
      <c r="AW1004" s="68"/>
      <c r="AX1004" s="68"/>
      <c r="AY1004" s="68"/>
      <c r="AZ1004" s="34"/>
      <c r="BA1004" s="34"/>
      <c r="BB1004" s="34"/>
      <c r="BC1004" s="34"/>
    </row>
    <row r="1005" spans="1:55" ht="12.95" customHeight="1">
      <c r="A1005" s="14"/>
      <c r="B1005" s="257"/>
      <c r="C1005" s="256"/>
      <c r="D1005" s="1801"/>
      <c r="E1005" s="1802"/>
      <c r="F1005" s="1802"/>
      <c r="G1005" s="1802"/>
      <c r="H1005" s="1802"/>
      <c r="I1005" s="1802"/>
      <c r="J1005" s="1802"/>
      <c r="K1005" s="1802"/>
      <c r="L1005" s="1802"/>
      <c r="M1005" s="1802"/>
      <c r="N1005" s="1802"/>
      <c r="O1005" s="1802"/>
      <c r="P1005" s="1802"/>
      <c r="Q1005" s="1802"/>
      <c r="R1005" s="1802"/>
      <c r="S1005" s="1802"/>
      <c r="T1005" s="1802"/>
      <c r="U1005" s="1802"/>
      <c r="V1005" s="1802"/>
      <c r="W1005" s="1802"/>
      <c r="X1005" s="1802"/>
      <c r="Y1005" s="1802"/>
      <c r="Z1005" s="1802"/>
      <c r="AA1005" s="1802"/>
      <c r="AB1005" s="1802"/>
      <c r="AC1005" s="1802"/>
      <c r="AD1005" s="1802"/>
      <c r="AE1005" s="1803"/>
      <c r="AF1005" s="73"/>
      <c r="AG1005" s="14"/>
      <c r="AH1005" s="14"/>
      <c r="AI1005" s="83"/>
      <c r="AJ1005" s="1748"/>
      <c r="AK1005" s="1749"/>
      <c r="AL1005" s="1749"/>
      <c r="AM1005" s="1749"/>
      <c r="AN1005" s="1749"/>
      <c r="AO1005" s="1749"/>
      <c r="AP1005" s="1749"/>
      <c r="AQ1005" s="1750"/>
      <c r="AR1005" s="68"/>
      <c r="AS1005" s="68"/>
      <c r="AT1005" s="68"/>
      <c r="AU1005" s="68"/>
      <c r="AV1005" s="68"/>
      <c r="AW1005" s="68"/>
      <c r="AX1005" s="68"/>
      <c r="AY1005" s="68"/>
      <c r="AZ1005" s="34"/>
      <c r="BA1005" s="34"/>
      <c r="BB1005" s="34"/>
      <c r="BC1005" s="34"/>
    </row>
    <row r="1006" spans="1:55" ht="12.95" customHeight="1">
      <c r="A1006" s="14"/>
      <c r="B1006" s="257"/>
      <c r="C1006" s="256"/>
      <c r="D1006" s="1801"/>
      <c r="E1006" s="1802"/>
      <c r="F1006" s="1802"/>
      <c r="G1006" s="1802"/>
      <c r="H1006" s="1802"/>
      <c r="I1006" s="1802"/>
      <c r="J1006" s="1802"/>
      <c r="K1006" s="1802"/>
      <c r="L1006" s="1802"/>
      <c r="M1006" s="1802"/>
      <c r="N1006" s="1802"/>
      <c r="O1006" s="1802"/>
      <c r="P1006" s="1802"/>
      <c r="Q1006" s="1802"/>
      <c r="R1006" s="1802"/>
      <c r="S1006" s="1802"/>
      <c r="T1006" s="1802"/>
      <c r="U1006" s="1802"/>
      <c r="V1006" s="1802"/>
      <c r="W1006" s="1802"/>
      <c r="X1006" s="1802"/>
      <c r="Y1006" s="1802"/>
      <c r="Z1006" s="1802"/>
      <c r="AA1006" s="1802"/>
      <c r="AB1006" s="1802"/>
      <c r="AC1006" s="1802"/>
      <c r="AD1006" s="1802"/>
      <c r="AE1006" s="1803"/>
      <c r="AF1006" s="73"/>
      <c r="AG1006" s="14"/>
      <c r="AH1006" s="14"/>
      <c r="AI1006" s="83"/>
      <c r="AJ1006" s="1748"/>
      <c r="AK1006" s="1749"/>
      <c r="AL1006" s="1749"/>
      <c r="AM1006" s="1749"/>
      <c r="AN1006" s="1749"/>
      <c r="AO1006" s="1749"/>
      <c r="AP1006" s="1749"/>
      <c r="AQ1006" s="1750"/>
      <c r="AR1006" s="68"/>
      <c r="AS1006" s="68"/>
      <c r="AT1006" s="68"/>
      <c r="AU1006" s="68"/>
      <c r="AV1006" s="68"/>
      <c r="AW1006" s="68"/>
      <c r="AX1006" s="68"/>
      <c r="AY1006" s="68"/>
      <c r="AZ1006" s="34"/>
      <c r="BA1006" s="34"/>
      <c r="BB1006" s="34"/>
      <c r="BC1006" s="34"/>
    </row>
    <row r="1007" spans="1:55" ht="12.95" customHeight="1">
      <c r="A1007" s="14"/>
      <c r="B1007" s="257"/>
      <c r="C1007" s="256"/>
      <c r="D1007" s="1801"/>
      <c r="E1007" s="1802"/>
      <c r="F1007" s="1802"/>
      <c r="G1007" s="1802"/>
      <c r="H1007" s="1802"/>
      <c r="I1007" s="1802"/>
      <c r="J1007" s="1802"/>
      <c r="K1007" s="1802"/>
      <c r="L1007" s="1802"/>
      <c r="M1007" s="1802"/>
      <c r="N1007" s="1802"/>
      <c r="O1007" s="1802"/>
      <c r="P1007" s="1802"/>
      <c r="Q1007" s="1802"/>
      <c r="R1007" s="1802"/>
      <c r="S1007" s="1802"/>
      <c r="T1007" s="1802"/>
      <c r="U1007" s="1802"/>
      <c r="V1007" s="1802"/>
      <c r="W1007" s="1802"/>
      <c r="X1007" s="1802"/>
      <c r="Y1007" s="1802"/>
      <c r="Z1007" s="1802"/>
      <c r="AA1007" s="1802"/>
      <c r="AB1007" s="1802"/>
      <c r="AC1007" s="1802"/>
      <c r="AD1007" s="1802"/>
      <c r="AE1007" s="1803"/>
      <c r="AF1007" s="73"/>
      <c r="AG1007" s="14"/>
      <c r="AH1007" s="14"/>
      <c r="AI1007" s="83"/>
      <c r="AJ1007" s="1748"/>
      <c r="AK1007" s="1749"/>
      <c r="AL1007" s="1749"/>
      <c r="AM1007" s="1749"/>
      <c r="AN1007" s="1749"/>
      <c r="AO1007" s="1749"/>
      <c r="AP1007" s="1749"/>
      <c r="AQ1007" s="1750"/>
      <c r="AR1007" s="68"/>
      <c r="AS1007" s="68"/>
      <c r="AT1007" s="68"/>
      <c r="AU1007" s="68"/>
      <c r="AV1007" s="68"/>
      <c r="AW1007" s="68"/>
      <c r="AX1007" s="68"/>
      <c r="AY1007" s="68"/>
      <c r="AZ1007" s="34"/>
      <c r="BA1007" s="34"/>
      <c r="BB1007" s="34"/>
      <c r="BC1007" s="34"/>
    </row>
    <row r="1008" spans="1:55" ht="12.95" customHeight="1">
      <c r="A1008" s="14"/>
      <c r="B1008" s="257"/>
      <c r="C1008" s="256"/>
      <c r="D1008" s="1826" t="s">
        <v>2160</v>
      </c>
      <c r="E1008" s="1827"/>
      <c r="F1008" s="1827"/>
      <c r="G1008" s="1827"/>
      <c r="H1008" s="1827"/>
      <c r="I1008" s="1827"/>
      <c r="J1008" s="1827"/>
      <c r="K1008" s="1827"/>
      <c r="L1008" s="1827"/>
      <c r="M1008" s="1827"/>
      <c r="N1008" s="1827"/>
      <c r="O1008" s="1827"/>
      <c r="P1008" s="1827"/>
      <c r="Q1008" s="1827"/>
      <c r="R1008" s="1827"/>
      <c r="S1008" s="1827"/>
      <c r="T1008" s="1827"/>
      <c r="U1008" s="1827"/>
      <c r="V1008" s="1827"/>
      <c r="W1008" s="1827"/>
      <c r="X1008" s="1827"/>
      <c r="Y1008" s="1827"/>
      <c r="Z1008" s="1827"/>
      <c r="AA1008" s="1827"/>
      <c r="AB1008" s="1827"/>
      <c r="AC1008" s="1827"/>
      <c r="AD1008" s="1827"/>
      <c r="AE1008" s="1828"/>
      <c r="AF1008" s="73"/>
      <c r="AG1008" s="14"/>
      <c r="AH1008" s="14"/>
      <c r="AI1008" s="83"/>
      <c r="AJ1008" s="1748"/>
      <c r="AK1008" s="1749"/>
      <c r="AL1008" s="1749"/>
      <c r="AM1008" s="1749"/>
      <c r="AN1008" s="1749"/>
      <c r="AO1008" s="1749"/>
      <c r="AP1008" s="1749"/>
      <c r="AQ1008" s="1750"/>
      <c r="AR1008" s="68"/>
      <c r="AS1008" s="68"/>
      <c r="AT1008" s="68"/>
      <c r="AU1008" s="68"/>
      <c r="AV1008" s="68"/>
      <c r="AW1008" s="68"/>
      <c r="AX1008" s="68"/>
      <c r="AY1008" s="68"/>
      <c r="AZ1008" s="34"/>
      <c r="BA1008" s="34"/>
      <c r="BB1008" s="34"/>
      <c r="BC1008" s="34"/>
    </row>
    <row r="1009" spans="1:55" ht="12.95" customHeight="1">
      <c r="A1009" s="14"/>
      <c r="B1009" s="257"/>
      <c r="C1009" s="256"/>
      <c r="D1009" s="1823"/>
      <c r="E1009" s="1824"/>
      <c r="F1009" s="1824"/>
      <c r="G1009" s="1824"/>
      <c r="H1009" s="1824"/>
      <c r="I1009" s="1824"/>
      <c r="J1009" s="1824"/>
      <c r="K1009" s="1824"/>
      <c r="L1009" s="1824"/>
      <c r="M1009" s="1824"/>
      <c r="N1009" s="1824"/>
      <c r="O1009" s="1824"/>
      <c r="P1009" s="1824"/>
      <c r="Q1009" s="1824"/>
      <c r="R1009" s="1824"/>
      <c r="S1009" s="1824"/>
      <c r="T1009" s="1824"/>
      <c r="U1009" s="1824"/>
      <c r="V1009" s="1824"/>
      <c r="W1009" s="1824"/>
      <c r="X1009" s="1824"/>
      <c r="Y1009" s="1824"/>
      <c r="Z1009" s="1824"/>
      <c r="AA1009" s="1824"/>
      <c r="AB1009" s="1824"/>
      <c r="AC1009" s="1824"/>
      <c r="AD1009" s="1824"/>
      <c r="AE1009" s="1825"/>
      <c r="AF1009" s="77"/>
      <c r="AG1009" s="7"/>
      <c r="AH1009" s="7"/>
      <c r="AI1009" s="78"/>
      <c r="AJ1009" s="1757"/>
      <c r="AK1009" s="1758"/>
      <c r="AL1009" s="1758"/>
      <c r="AM1009" s="1758"/>
      <c r="AN1009" s="1758"/>
      <c r="AO1009" s="1758"/>
      <c r="AP1009" s="1758"/>
      <c r="AQ1009" s="1759"/>
      <c r="AR1009" s="68"/>
      <c r="AS1009" s="68"/>
      <c r="AT1009" s="68"/>
      <c r="AU1009" s="68"/>
      <c r="AV1009" s="68"/>
      <c r="AW1009" s="68"/>
      <c r="AX1009" s="68"/>
      <c r="AY1009" s="68"/>
      <c r="AZ1009" s="34"/>
      <c r="BA1009" s="34"/>
      <c r="BB1009" s="34"/>
      <c r="BC1009" s="34"/>
    </row>
    <row r="1010" spans="1:55" ht="12.95" customHeight="1">
      <c r="A1010" s="14"/>
      <c r="B1010" s="255"/>
      <c r="C1010" s="318"/>
      <c r="D1010" s="1727" t="s">
        <v>1285</v>
      </c>
      <c r="E1010" s="1728"/>
      <c r="F1010" s="1728"/>
      <c r="G1010" s="1728"/>
      <c r="H1010" s="1728"/>
      <c r="I1010" s="1728"/>
      <c r="J1010" s="1728"/>
      <c r="K1010" s="1728"/>
      <c r="L1010" s="1728"/>
      <c r="M1010" s="1728"/>
      <c r="N1010" s="1728"/>
      <c r="O1010" s="1728"/>
      <c r="P1010" s="1728"/>
      <c r="Q1010" s="1728"/>
      <c r="R1010" s="1728"/>
      <c r="S1010" s="1728"/>
      <c r="T1010" s="1728"/>
      <c r="U1010" s="1728"/>
      <c r="V1010" s="1728"/>
      <c r="W1010" s="1728"/>
      <c r="X1010" s="1728"/>
      <c r="Y1010" s="1728"/>
      <c r="Z1010" s="1728"/>
      <c r="AA1010" s="1728"/>
      <c r="AB1010" s="1728"/>
      <c r="AC1010" s="1728"/>
      <c r="AD1010" s="1728"/>
      <c r="AE1010" s="1729"/>
      <c r="AF1010" s="79"/>
      <c r="AG1010" s="1772" t="s">
        <v>668</v>
      </c>
      <c r="AH1010" s="1773"/>
      <c r="AI1010" s="87"/>
      <c r="AJ1010" s="1745">
        <f>ROUND(IF(AG1010="yes",AJ1001*0.05,0),0)</f>
        <v>0</v>
      </c>
      <c r="AK1010" s="1746"/>
      <c r="AL1010" s="1746"/>
      <c r="AM1010" s="1746"/>
      <c r="AN1010" s="1746"/>
      <c r="AO1010" s="1746"/>
      <c r="AP1010" s="1746"/>
      <c r="AQ1010" s="1747"/>
      <c r="AR1010" s="68"/>
      <c r="AS1010" s="68"/>
      <c r="AT1010" s="68"/>
      <c r="AU1010" s="68"/>
      <c r="AV1010" s="68"/>
      <c r="AW1010" s="68"/>
      <c r="AX1010" s="68"/>
      <c r="AY1010" s="68"/>
      <c r="AZ1010" s="34"/>
      <c r="BA1010" s="34"/>
      <c r="BB1010" s="34"/>
      <c r="BC1010" s="34"/>
    </row>
    <row r="1011" spans="1:55" ht="12.95" customHeight="1">
      <c r="A1011" s="14"/>
      <c r="B1011" s="257"/>
      <c r="C1011" s="82"/>
      <c r="D1011" s="1801" t="s">
        <v>1283</v>
      </c>
      <c r="E1011" s="1802"/>
      <c r="F1011" s="1802"/>
      <c r="G1011" s="1802"/>
      <c r="H1011" s="1802"/>
      <c r="I1011" s="1802"/>
      <c r="J1011" s="1802"/>
      <c r="K1011" s="1802"/>
      <c r="L1011" s="1802"/>
      <c r="M1011" s="1802"/>
      <c r="N1011" s="1802"/>
      <c r="O1011" s="1802"/>
      <c r="P1011" s="1802"/>
      <c r="Q1011" s="1802"/>
      <c r="R1011" s="1802"/>
      <c r="S1011" s="1802"/>
      <c r="T1011" s="1802"/>
      <c r="U1011" s="1802"/>
      <c r="V1011" s="1802"/>
      <c r="W1011" s="1802"/>
      <c r="X1011" s="1802"/>
      <c r="Y1011" s="1802"/>
      <c r="Z1011" s="1802"/>
      <c r="AA1011" s="1802"/>
      <c r="AB1011" s="1802"/>
      <c r="AC1011" s="1802"/>
      <c r="AD1011" s="1802"/>
      <c r="AE1011" s="1803"/>
      <c r="AF1011" s="73"/>
      <c r="AG1011" s="14"/>
      <c r="AH1011" s="14"/>
      <c r="AI1011" s="83"/>
      <c r="AJ1011" s="1748"/>
      <c r="AK1011" s="1749"/>
      <c r="AL1011" s="1749"/>
      <c r="AM1011" s="1749"/>
      <c r="AN1011" s="1749"/>
      <c r="AO1011" s="1749"/>
      <c r="AP1011" s="1749"/>
      <c r="AQ1011" s="1750"/>
      <c r="AR1011" s="68"/>
      <c r="AS1011" s="68"/>
      <c r="AT1011" s="68"/>
      <c r="AU1011" s="68"/>
      <c r="AV1011" s="68"/>
      <c r="AW1011" s="68"/>
      <c r="AX1011" s="68"/>
      <c r="AY1011" s="34"/>
      <c r="AZ1011" s="34"/>
      <c r="BB1011" s="34"/>
    </row>
    <row r="1012" spans="1:55" ht="12.95" customHeight="1">
      <c r="A1012" s="14"/>
      <c r="B1012" s="257"/>
      <c r="C1012" s="82"/>
      <c r="D1012" s="1801"/>
      <c r="E1012" s="1802"/>
      <c r="F1012" s="1802"/>
      <c r="G1012" s="1802"/>
      <c r="H1012" s="1802"/>
      <c r="I1012" s="1802"/>
      <c r="J1012" s="1802"/>
      <c r="K1012" s="1802"/>
      <c r="L1012" s="1802"/>
      <c r="M1012" s="1802"/>
      <c r="N1012" s="1802"/>
      <c r="O1012" s="1802"/>
      <c r="P1012" s="1802"/>
      <c r="Q1012" s="1802"/>
      <c r="R1012" s="1802"/>
      <c r="S1012" s="1802"/>
      <c r="T1012" s="1802"/>
      <c r="U1012" s="1802"/>
      <c r="V1012" s="1802"/>
      <c r="W1012" s="1802"/>
      <c r="X1012" s="1802"/>
      <c r="Y1012" s="1802"/>
      <c r="Z1012" s="1802"/>
      <c r="AA1012" s="1802"/>
      <c r="AB1012" s="1802"/>
      <c r="AC1012" s="1802"/>
      <c r="AD1012" s="1802"/>
      <c r="AE1012" s="1803"/>
      <c r="AF1012" s="73"/>
      <c r="AG1012" s="14"/>
      <c r="AH1012" s="14"/>
      <c r="AI1012" s="83"/>
      <c r="AJ1012" s="1748"/>
      <c r="AK1012" s="1749"/>
      <c r="AL1012" s="1749"/>
      <c r="AM1012" s="1749"/>
      <c r="AN1012" s="1749"/>
      <c r="AO1012" s="1749"/>
      <c r="AP1012" s="1749"/>
      <c r="AQ1012" s="1750"/>
      <c r="AR1012" s="68"/>
      <c r="AS1012" s="68"/>
      <c r="AT1012" s="68"/>
      <c r="AU1012" s="68"/>
      <c r="AV1012" s="68"/>
      <c r="AW1012" s="68"/>
      <c r="AX1012" s="68"/>
      <c r="AY1012" s="910">
        <f>G761+O805</f>
        <v>28</v>
      </c>
      <c r="AZ1012" s="34"/>
      <c r="BB1012" s="34"/>
    </row>
    <row r="1013" spans="1:55" ht="12.95" customHeight="1">
      <c r="A1013" s="14"/>
      <c r="B1013" s="257"/>
      <c r="C1013" s="82"/>
      <c r="D1013" s="1801"/>
      <c r="E1013" s="1802"/>
      <c r="F1013" s="1802"/>
      <c r="G1013" s="1802"/>
      <c r="H1013" s="1802"/>
      <c r="I1013" s="1802"/>
      <c r="J1013" s="1802"/>
      <c r="K1013" s="1802"/>
      <c r="L1013" s="1802"/>
      <c r="M1013" s="1802"/>
      <c r="N1013" s="1802"/>
      <c r="O1013" s="1802"/>
      <c r="P1013" s="1802"/>
      <c r="Q1013" s="1802"/>
      <c r="R1013" s="1802"/>
      <c r="S1013" s="1802"/>
      <c r="T1013" s="1802"/>
      <c r="U1013" s="1802"/>
      <c r="V1013" s="1802"/>
      <c r="W1013" s="1802"/>
      <c r="X1013" s="1802"/>
      <c r="Y1013" s="1802"/>
      <c r="Z1013" s="1802"/>
      <c r="AA1013" s="1802"/>
      <c r="AB1013" s="1802"/>
      <c r="AC1013" s="1802"/>
      <c r="AD1013" s="1802"/>
      <c r="AE1013" s="1803"/>
      <c r="AF1013" s="73"/>
      <c r="AG1013" s="14"/>
      <c r="AH1013" s="14"/>
      <c r="AI1013" s="83"/>
      <c r="AJ1013" s="1748"/>
      <c r="AK1013" s="1749"/>
      <c r="AL1013" s="1749"/>
      <c r="AM1013" s="1749"/>
      <c r="AN1013" s="1749"/>
      <c r="AO1013" s="1749"/>
      <c r="AP1013" s="1749"/>
      <c r="AQ1013" s="1750"/>
      <c r="AR1013" s="68"/>
      <c r="AS1013" s="68"/>
      <c r="AT1013" s="68"/>
      <c r="AU1013" s="68"/>
      <c r="AV1013" s="68"/>
      <c r="AW1013" s="68"/>
      <c r="AX1013" s="68"/>
      <c r="AY1013" s="14"/>
      <c r="AZ1013" s="34"/>
      <c r="BB1013" s="34"/>
    </row>
    <row r="1014" spans="1:55" ht="12.95" customHeight="1">
      <c r="A1014" s="14"/>
      <c r="B1014" s="257"/>
      <c r="C1014" s="82"/>
      <c r="D1014" s="1801"/>
      <c r="E1014" s="1802"/>
      <c r="F1014" s="1802"/>
      <c r="G1014" s="1802"/>
      <c r="H1014" s="1802"/>
      <c r="I1014" s="1802"/>
      <c r="J1014" s="1802"/>
      <c r="K1014" s="1802"/>
      <c r="L1014" s="1802"/>
      <c r="M1014" s="1802"/>
      <c r="N1014" s="1802"/>
      <c r="O1014" s="1802"/>
      <c r="P1014" s="1802"/>
      <c r="Q1014" s="1802"/>
      <c r="R1014" s="1802"/>
      <c r="S1014" s="1802"/>
      <c r="T1014" s="1802"/>
      <c r="U1014" s="1802"/>
      <c r="V1014" s="1802"/>
      <c r="W1014" s="1802"/>
      <c r="X1014" s="1802"/>
      <c r="Y1014" s="1802"/>
      <c r="Z1014" s="1802"/>
      <c r="AA1014" s="1802"/>
      <c r="AB1014" s="1802"/>
      <c r="AC1014" s="1802"/>
      <c r="AD1014" s="1802"/>
      <c r="AE1014" s="1803"/>
      <c r="AF1014" s="73"/>
      <c r="AG1014" s="14"/>
      <c r="AH1014" s="14"/>
      <c r="AI1014" s="83"/>
      <c r="AJ1014" s="1748"/>
      <c r="AK1014" s="1749"/>
      <c r="AL1014" s="1749"/>
      <c r="AM1014" s="1749"/>
      <c r="AN1014" s="1749"/>
      <c r="AO1014" s="1749"/>
      <c r="AP1014" s="1749"/>
      <c r="AQ1014" s="1750"/>
      <c r="AR1014" s="68"/>
      <c r="AS1014" s="68"/>
      <c r="AT1014" s="68"/>
      <c r="AU1014" s="68"/>
      <c r="AV1014" s="68"/>
      <c r="AW1014" s="68"/>
      <c r="AX1014" s="68"/>
      <c r="AY1014" s="909">
        <f>ROUNDDOWN(X1057/I1057,2)</f>
        <v>0.21</v>
      </c>
      <c r="AZ1014" s="34"/>
      <c r="BB1014" s="34"/>
    </row>
    <row r="1015" spans="1:55" ht="12.95" customHeight="1">
      <c r="A1015" s="14"/>
      <c r="B1015" s="75"/>
      <c r="C1015" s="76"/>
      <c r="D1015" s="1826"/>
      <c r="E1015" s="1827"/>
      <c r="F1015" s="1827"/>
      <c r="G1015" s="1827"/>
      <c r="H1015" s="1827"/>
      <c r="I1015" s="1827"/>
      <c r="J1015" s="1827"/>
      <c r="K1015" s="1827"/>
      <c r="L1015" s="1827"/>
      <c r="M1015" s="1827"/>
      <c r="N1015" s="1827"/>
      <c r="O1015" s="1827"/>
      <c r="P1015" s="1827"/>
      <c r="Q1015" s="1827"/>
      <c r="R1015" s="1827"/>
      <c r="S1015" s="1827"/>
      <c r="T1015" s="1827"/>
      <c r="U1015" s="1827"/>
      <c r="V1015" s="1827"/>
      <c r="W1015" s="1827"/>
      <c r="X1015" s="1827"/>
      <c r="Y1015" s="1827"/>
      <c r="Z1015" s="1827"/>
      <c r="AA1015" s="1827"/>
      <c r="AB1015" s="1827"/>
      <c r="AC1015" s="1827"/>
      <c r="AD1015" s="1827"/>
      <c r="AE1015" s="1828"/>
      <c r="AF1015" s="77"/>
      <c r="AG1015" s="7"/>
      <c r="AH1015" s="7"/>
      <c r="AI1015" s="78"/>
      <c r="AJ1015" s="1757"/>
      <c r="AK1015" s="1758"/>
      <c r="AL1015" s="1758"/>
      <c r="AM1015" s="1758"/>
      <c r="AN1015" s="1758"/>
      <c r="AO1015" s="1758"/>
      <c r="AP1015" s="1758"/>
      <c r="AQ1015" s="1759"/>
      <c r="AR1015" s="68"/>
      <c r="AS1015" s="68"/>
      <c r="AT1015" s="68"/>
      <c r="AU1015" s="68"/>
      <c r="AV1015" s="68"/>
      <c r="AW1015" s="68"/>
      <c r="AX1015" s="68"/>
      <c r="AY1015" s="909">
        <f>ROUNDDOWN(X1061/I1061,2)</f>
        <v>0.42</v>
      </c>
      <c r="AZ1015" s="34"/>
      <c r="BB1015" s="34"/>
    </row>
    <row r="1016" spans="1:55" ht="12.95" customHeight="1">
      <c r="A1016" s="14"/>
      <c r="B1016" s="255"/>
      <c r="C1016" s="80" t="s">
        <v>671</v>
      </c>
      <c r="D1016" s="1727" t="s">
        <v>1671</v>
      </c>
      <c r="E1016" s="1728"/>
      <c r="F1016" s="1728"/>
      <c r="G1016" s="1728"/>
      <c r="H1016" s="1728"/>
      <c r="I1016" s="1728"/>
      <c r="J1016" s="1728"/>
      <c r="K1016" s="1728"/>
      <c r="L1016" s="1728"/>
      <c r="M1016" s="1728"/>
      <c r="N1016" s="1728"/>
      <c r="O1016" s="1728"/>
      <c r="P1016" s="1728"/>
      <c r="Q1016" s="1728"/>
      <c r="R1016" s="1728"/>
      <c r="S1016" s="1728"/>
      <c r="T1016" s="1728"/>
      <c r="U1016" s="1728"/>
      <c r="V1016" s="1728"/>
      <c r="W1016" s="1728"/>
      <c r="X1016" s="1728"/>
      <c r="Y1016" s="1728"/>
      <c r="Z1016" s="1728"/>
      <c r="AA1016" s="1728"/>
      <c r="AB1016" s="1728"/>
      <c r="AC1016" s="1728"/>
      <c r="AD1016" s="1728"/>
      <c r="AE1016" s="1729"/>
      <c r="AF1016" s="86"/>
      <c r="AG1016" s="1772" t="s">
        <v>668</v>
      </c>
      <c r="AH1016" s="1773"/>
      <c r="AI1016" s="87"/>
      <c r="AJ1016" s="1745">
        <f>ROUND(IF(AG1016="yes",AJ1001*0.1,0),0)</f>
        <v>0</v>
      </c>
      <c r="AK1016" s="1746"/>
      <c r="AL1016" s="1746"/>
      <c r="AM1016" s="1746"/>
      <c r="AN1016" s="1746"/>
      <c r="AO1016" s="1746"/>
      <c r="AP1016" s="1746"/>
      <c r="AQ1016" s="1747"/>
      <c r="AR1016" s="68"/>
      <c r="AS1016" s="68"/>
      <c r="AT1016" s="68"/>
      <c r="AU1016" s="68"/>
      <c r="AV1016" s="68"/>
      <c r="AW1016" s="68"/>
      <c r="AX1016" s="68"/>
      <c r="BB1016" s="34"/>
    </row>
    <row r="1017" spans="1:55" ht="12.95" customHeight="1">
      <c r="A1017" s="14"/>
      <c r="B1017" s="73"/>
      <c r="C1017" s="74"/>
      <c r="D1017" s="1751" t="s">
        <v>1284</v>
      </c>
      <c r="E1017" s="1752"/>
      <c r="F1017" s="1752"/>
      <c r="G1017" s="1752"/>
      <c r="H1017" s="1752"/>
      <c r="I1017" s="1752"/>
      <c r="J1017" s="1752"/>
      <c r="K1017" s="1752"/>
      <c r="L1017" s="1752"/>
      <c r="M1017" s="1752"/>
      <c r="N1017" s="1752"/>
      <c r="O1017" s="1752"/>
      <c r="P1017" s="1752"/>
      <c r="Q1017" s="1752"/>
      <c r="R1017" s="1752"/>
      <c r="S1017" s="1752"/>
      <c r="T1017" s="1752"/>
      <c r="U1017" s="1752"/>
      <c r="V1017" s="1752"/>
      <c r="W1017" s="1752"/>
      <c r="X1017" s="1752"/>
      <c r="Y1017" s="1752"/>
      <c r="Z1017" s="1752"/>
      <c r="AA1017" s="1752"/>
      <c r="AB1017" s="1752"/>
      <c r="AC1017" s="1752"/>
      <c r="AD1017" s="1752"/>
      <c r="AE1017" s="1753"/>
      <c r="AF1017" s="73"/>
      <c r="AI1017" s="83"/>
      <c r="AJ1017" s="1748"/>
      <c r="AK1017" s="1749"/>
      <c r="AL1017" s="1749"/>
      <c r="AM1017" s="1749"/>
      <c r="AN1017" s="1749"/>
      <c r="AO1017" s="1749"/>
      <c r="AP1017" s="1749"/>
      <c r="AQ1017" s="1750"/>
      <c r="AR1017" s="68"/>
      <c r="AS1017" s="68"/>
      <c r="AT1017" s="68"/>
      <c r="AU1017" s="68"/>
      <c r="AV1017" s="68"/>
      <c r="AW1017" s="68"/>
      <c r="AX1017" s="68"/>
    </row>
    <row r="1018" spans="1:55" ht="12.95" customHeight="1">
      <c r="A1018" s="14"/>
      <c r="B1018" s="73"/>
      <c r="C1018" s="74"/>
      <c r="D1018" s="1751"/>
      <c r="E1018" s="1752"/>
      <c r="F1018" s="1752"/>
      <c r="G1018" s="1752"/>
      <c r="H1018" s="1752"/>
      <c r="I1018" s="1752"/>
      <c r="J1018" s="1752"/>
      <c r="K1018" s="1752"/>
      <c r="L1018" s="1752"/>
      <c r="M1018" s="1752"/>
      <c r="N1018" s="1752"/>
      <c r="O1018" s="1752"/>
      <c r="P1018" s="1752"/>
      <c r="Q1018" s="1752"/>
      <c r="R1018" s="1752"/>
      <c r="S1018" s="1752"/>
      <c r="T1018" s="1752"/>
      <c r="U1018" s="1752"/>
      <c r="V1018" s="1752"/>
      <c r="W1018" s="1752"/>
      <c r="X1018" s="1752"/>
      <c r="Y1018" s="1752"/>
      <c r="Z1018" s="1752"/>
      <c r="AA1018" s="1752"/>
      <c r="AB1018" s="1752"/>
      <c r="AC1018" s="1752"/>
      <c r="AD1018" s="1752"/>
      <c r="AE1018" s="1753"/>
      <c r="AF1018" s="73"/>
      <c r="AG1018" s="14"/>
      <c r="AH1018" s="14"/>
      <c r="AI1018" s="83"/>
      <c r="AJ1018" s="1748"/>
      <c r="AK1018" s="1749"/>
      <c r="AL1018" s="1749"/>
      <c r="AM1018" s="1749"/>
      <c r="AN1018" s="1749"/>
      <c r="AO1018" s="1749"/>
      <c r="AP1018" s="1749"/>
      <c r="AQ1018" s="1750"/>
      <c r="AR1018" s="68"/>
      <c r="AS1018" s="68"/>
      <c r="AT1018" s="68"/>
      <c r="AU1018" s="68"/>
      <c r="AV1018" s="68"/>
      <c r="AW1018" s="68"/>
      <c r="AX1018" s="68"/>
    </row>
    <row r="1019" spans="1:55" ht="12.95" customHeight="1">
      <c r="A1019" s="14"/>
      <c r="B1019" s="85"/>
      <c r="C1019" s="76"/>
      <c r="D1019" s="1754"/>
      <c r="E1019" s="1755"/>
      <c r="F1019" s="1755"/>
      <c r="G1019" s="1755"/>
      <c r="H1019" s="1755"/>
      <c r="I1019" s="1755"/>
      <c r="J1019" s="1755"/>
      <c r="K1019" s="1755"/>
      <c r="L1019" s="1755"/>
      <c r="M1019" s="1755"/>
      <c r="N1019" s="1755"/>
      <c r="O1019" s="1755"/>
      <c r="P1019" s="1755"/>
      <c r="Q1019" s="1755"/>
      <c r="R1019" s="1755"/>
      <c r="S1019" s="1755"/>
      <c r="T1019" s="1755"/>
      <c r="U1019" s="1755"/>
      <c r="V1019" s="1755"/>
      <c r="W1019" s="1755"/>
      <c r="X1019" s="1755"/>
      <c r="Y1019" s="1755"/>
      <c r="Z1019" s="1755"/>
      <c r="AA1019" s="1755"/>
      <c r="AB1019" s="1755"/>
      <c r="AC1019" s="1755"/>
      <c r="AD1019" s="1755"/>
      <c r="AE1019" s="1756"/>
      <c r="AF1019" s="77"/>
      <c r="AG1019" s="7"/>
      <c r="AH1019" s="7"/>
      <c r="AI1019" s="78"/>
      <c r="AJ1019" s="1757"/>
      <c r="AK1019" s="1758"/>
      <c r="AL1019" s="1758"/>
      <c r="AM1019" s="1758"/>
      <c r="AN1019" s="1758"/>
      <c r="AO1019" s="1758"/>
      <c r="AP1019" s="1758"/>
      <c r="AQ1019" s="1759"/>
      <c r="AR1019" s="68"/>
      <c r="AS1019" s="68"/>
      <c r="AT1019" s="68"/>
      <c r="AU1019" s="68"/>
      <c r="AV1019" s="68"/>
      <c r="AW1019" s="68"/>
      <c r="AX1019" s="68"/>
    </row>
    <row r="1020" spans="1:55" ht="12.95" customHeight="1">
      <c r="A1020" s="14"/>
      <c r="B1020" s="79"/>
      <c r="C1020" s="80" t="s">
        <v>212</v>
      </c>
      <c r="D1020" s="1727" t="s">
        <v>1286</v>
      </c>
      <c r="E1020" s="1728"/>
      <c r="F1020" s="1728"/>
      <c r="G1020" s="1728"/>
      <c r="H1020" s="1728"/>
      <c r="I1020" s="1728"/>
      <c r="J1020" s="1728"/>
      <c r="K1020" s="1728"/>
      <c r="L1020" s="1728"/>
      <c r="M1020" s="1728"/>
      <c r="N1020" s="1728"/>
      <c r="O1020" s="1728"/>
      <c r="P1020" s="1728"/>
      <c r="Q1020" s="1728"/>
      <c r="R1020" s="1728"/>
      <c r="S1020" s="1728"/>
      <c r="T1020" s="1728"/>
      <c r="U1020" s="1728"/>
      <c r="V1020" s="1728"/>
      <c r="W1020" s="1728"/>
      <c r="X1020" s="1728"/>
      <c r="Y1020" s="1728"/>
      <c r="Z1020" s="1728"/>
      <c r="AA1020" s="1728"/>
      <c r="AB1020" s="1728"/>
      <c r="AC1020" s="1728"/>
      <c r="AD1020" s="1728"/>
      <c r="AE1020" s="1729"/>
      <c r="AF1020" s="79"/>
      <c r="AG1020" s="1772" t="s">
        <v>668</v>
      </c>
      <c r="AH1020" s="1773"/>
      <c r="AI1020" s="87"/>
      <c r="AJ1020" s="1745">
        <f>ROUND(IF(AG1020="yes",AJ1001*0.02,0),0)</f>
        <v>0</v>
      </c>
      <c r="AK1020" s="1746"/>
      <c r="AL1020" s="1746"/>
      <c r="AM1020" s="1746"/>
      <c r="AN1020" s="1746"/>
      <c r="AO1020" s="1746"/>
      <c r="AP1020" s="1746"/>
      <c r="AQ1020" s="1747"/>
      <c r="AR1020" s="68"/>
      <c r="AS1020" s="68"/>
      <c r="AT1020" s="68"/>
      <c r="AU1020" s="68"/>
      <c r="AV1020" s="68"/>
      <c r="AW1020" s="68"/>
      <c r="AX1020" s="68"/>
    </row>
    <row r="1021" spans="1:55" ht="14.25" customHeight="1">
      <c r="A1021" s="14"/>
      <c r="B1021" s="73"/>
      <c r="C1021" s="74"/>
      <c r="D1021" s="1754" t="s">
        <v>1287</v>
      </c>
      <c r="E1021" s="1755"/>
      <c r="F1021" s="1755"/>
      <c r="G1021" s="1755"/>
      <c r="H1021" s="1755"/>
      <c r="I1021" s="1755"/>
      <c r="J1021" s="1755"/>
      <c r="K1021" s="1755"/>
      <c r="L1021" s="1755"/>
      <c r="M1021" s="1755"/>
      <c r="N1021" s="1755"/>
      <c r="O1021" s="1755"/>
      <c r="P1021" s="1755"/>
      <c r="Q1021" s="1755"/>
      <c r="R1021" s="1755"/>
      <c r="S1021" s="1755"/>
      <c r="T1021" s="1755"/>
      <c r="U1021" s="1755"/>
      <c r="V1021" s="1755"/>
      <c r="W1021" s="1755"/>
      <c r="X1021" s="1755"/>
      <c r="Y1021" s="1755"/>
      <c r="Z1021" s="1755"/>
      <c r="AA1021" s="1755"/>
      <c r="AB1021" s="1755"/>
      <c r="AC1021" s="1755"/>
      <c r="AD1021" s="1755"/>
      <c r="AE1021" s="1756"/>
      <c r="AF1021" s="77"/>
      <c r="AG1021" s="7"/>
      <c r="AH1021" s="7"/>
      <c r="AI1021" s="78"/>
      <c r="AJ1021" s="1757"/>
      <c r="AK1021" s="1758"/>
      <c r="AL1021" s="1758"/>
      <c r="AM1021" s="1758"/>
      <c r="AN1021" s="1758"/>
      <c r="AO1021" s="1758"/>
      <c r="AP1021" s="1758"/>
      <c r="AQ1021" s="1759"/>
      <c r="AR1021" s="68"/>
      <c r="AS1021" s="68"/>
      <c r="AT1021" s="68"/>
      <c r="AU1021" s="68"/>
      <c r="AV1021" s="68"/>
      <c r="AW1021" s="68"/>
      <c r="AX1021" s="3" t="s">
        <v>1817</v>
      </c>
      <c r="AZ1021" s="3" t="s">
        <v>2533</v>
      </c>
    </row>
    <row r="1022" spans="1:55" ht="12.95" customHeight="1">
      <c r="A1022" s="14"/>
      <c r="B1022" s="79"/>
      <c r="C1022" s="80" t="s">
        <v>215</v>
      </c>
      <c r="D1022" s="1727" t="s">
        <v>1288</v>
      </c>
      <c r="E1022" s="1728"/>
      <c r="F1022" s="1728"/>
      <c r="G1022" s="1728"/>
      <c r="H1022" s="1728"/>
      <c r="I1022" s="1728"/>
      <c r="J1022" s="1728"/>
      <c r="K1022" s="1728"/>
      <c r="L1022" s="1728"/>
      <c r="M1022" s="1728"/>
      <c r="N1022" s="1728"/>
      <c r="O1022" s="1728"/>
      <c r="P1022" s="1728"/>
      <c r="Q1022" s="1728"/>
      <c r="R1022" s="1728"/>
      <c r="S1022" s="1728"/>
      <c r="T1022" s="1728"/>
      <c r="U1022" s="1728"/>
      <c r="V1022" s="1728"/>
      <c r="W1022" s="1728"/>
      <c r="X1022" s="1728"/>
      <c r="Y1022" s="1728"/>
      <c r="Z1022" s="1728"/>
      <c r="AA1022" s="1728"/>
      <c r="AB1022" s="1728"/>
      <c r="AC1022" s="1728"/>
      <c r="AD1022" s="1728"/>
      <c r="AE1022" s="1729"/>
      <c r="AF1022" s="79"/>
      <c r="AG1022" s="1772" t="s">
        <v>668</v>
      </c>
      <c r="AH1022" s="1773"/>
      <c r="AI1022" s="79"/>
      <c r="AJ1022" s="1745">
        <f>ROUND(IF(AG1022="yes",AJ1001*0.02,0),0)</f>
        <v>0</v>
      </c>
      <c r="AK1022" s="1746"/>
      <c r="AL1022" s="1746"/>
      <c r="AM1022" s="1746"/>
      <c r="AN1022" s="1746"/>
      <c r="AO1022" s="1746"/>
      <c r="AP1022" s="1746"/>
      <c r="AQ1022" s="1747"/>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51" t="s">
        <v>1289</v>
      </c>
      <c r="E1023" s="1752"/>
      <c r="F1023" s="1752"/>
      <c r="G1023" s="1752"/>
      <c r="H1023" s="1752"/>
      <c r="I1023" s="1752"/>
      <c r="J1023" s="1752"/>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1861" t="str">
        <f>IF(AND(AG1022="yes",T212&lt;&gt;1),"The project may not be eligible for this boost","")</f>
        <v/>
      </c>
      <c r="AG1023" s="1862"/>
      <c r="AH1023" s="1862"/>
      <c r="AI1023" s="1863"/>
      <c r="AJ1023" s="1748"/>
      <c r="AK1023" s="1749"/>
      <c r="AL1023" s="1749"/>
      <c r="AM1023" s="1749"/>
      <c r="AN1023" s="1749"/>
      <c r="AO1023" s="1749"/>
      <c r="AP1023" s="1749"/>
      <c r="AQ1023" s="1750"/>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54"/>
      <c r="E1024" s="1755"/>
      <c r="F1024" s="1755"/>
      <c r="G1024" s="1755"/>
      <c r="H1024" s="1755"/>
      <c r="I1024" s="1755"/>
      <c r="J1024" s="1755"/>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1864"/>
      <c r="AG1024" s="1865"/>
      <c r="AH1024" s="1865"/>
      <c r="AI1024" s="1866"/>
      <c r="AJ1024" s="1757"/>
      <c r="AK1024" s="1758"/>
      <c r="AL1024" s="1758"/>
      <c r="AM1024" s="1758"/>
      <c r="AN1024" s="1758"/>
      <c r="AO1024" s="1758"/>
      <c r="AP1024" s="1758"/>
      <c r="AQ1024" s="1759"/>
      <c r="AR1024" s="68"/>
      <c r="AS1024" s="68"/>
      <c r="AT1024" s="68"/>
      <c r="AU1024" s="68"/>
      <c r="AV1024" s="68"/>
      <c r="AW1024" s="68"/>
      <c r="AX1024" s="3">
        <v>3</v>
      </c>
      <c r="AY1024" s="200">
        <f t="shared" si="55"/>
        <v>0</v>
      </c>
      <c r="AZ1024" s="1189">
        <v>0.05</v>
      </c>
    </row>
    <row r="1025" spans="1:52" ht="12.95" customHeight="1">
      <c r="A1025" s="14"/>
      <c r="B1025" s="79"/>
      <c r="C1025" s="80" t="s">
        <v>218</v>
      </c>
      <c r="D1025" s="1766" t="s">
        <v>2190</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72" t="s">
        <v>668</v>
      </c>
      <c r="AH1025" s="1773"/>
      <c r="AI1025" s="87"/>
      <c r="AJ1025" s="1745">
        <f>IF(AG1025="yes",AJ1001*AY1033,0)</f>
        <v>0</v>
      </c>
      <c r="AK1025" s="1746"/>
      <c r="AL1025" s="1746"/>
      <c r="AM1025" s="1746"/>
      <c r="AN1025" s="1746"/>
      <c r="AO1025" s="1746"/>
      <c r="AP1025" s="1746"/>
      <c r="AQ1025" s="1747"/>
      <c r="AR1025" s="68"/>
      <c r="AS1025" s="68"/>
      <c r="AT1025" s="68"/>
      <c r="AU1025" s="68"/>
      <c r="AV1025" s="68"/>
      <c r="AW1025" s="68"/>
      <c r="AX1025" s="3">
        <v>4</v>
      </c>
      <c r="AY1025" s="200">
        <f t="shared" si="55"/>
        <v>0</v>
      </c>
      <c r="AZ1025" s="1189">
        <v>0.02</v>
      </c>
    </row>
    <row r="1026" spans="1:52" ht="12.95" customHeight="1">
      <c r="A1026" s="14"/>
      <c r="B1026" s="73"/>
      <c r="C1026" s="74"/>
      <c r="D1026" s="1751" t="s">
        <v>2599</v>
      </c>
      <c r="E1026" s="1752"/>
      <c r="F1026" s="1752"/>
      <c r="G1026" s="1752"/>
      <c r="H1026" s="1752"/>
      <c r="I1026" s="1752"/>
      <c r="J1026" s="1752"/>
      <c r="K1026" s="1752"/>
      <c r="L1026" s="1752"/>
      <c r="M1026" s="1752"/>
      <c r="N1026" s="1752"/>
      <c r="O1026" s="1752"/>
      <c r="P1026" s="1752"/>
      <c r="Q1026" s="1752"/>
      <c r="R1026" s="1752"/>
      <c r="S1026" s="1752"/>
      <c r="T1026" s="1752"/>
      <c r="U1026" s="1752"/>
      <c r="V1026" s="1752"/>
      <c r="W1026" s="1752"/>
      <c r="X1026" s="1752"/>
      <c r="Y1026" s="1752"/>
      <c r="Z1026" s="1752"/>
      <c r="AA1026" s="1752"/>
      <c r="AB1026" s="1752"/>
      <c r="AC1026" s="1752"/>
      <c r="AD1026" s="1752"/>
      <c r="AE1026" s="1753"/>
      <c r="AF1026" s="1855" t="str">
        <f>IF(AND(AG1025="Yes",AY1033=0),AY1036,"")</f>
        <v/>
      </c>
      <c r="AG1026" s="1856"/>
      <c r="AH1026" s="1856"/>
      <c r="AI1026" s="1857"/>
      <c r="AJ1026" s="1748"/>
      <c r="AK1026" s="1749"/>
      <c r="AL1026" s="1749"/>
      <c r="AM1026" s="1749"/>
      <c r="AN1026" s="1749"/>
      <c r="AO1026" s="1749"/>
      <c r="AP1026" s="1749"/>
      <c r="AQ1026" s="1750"/>
      <c r="AR1026" s="68"/>
      <c r="AS1026" s="68"/>
      <c r="AT1026" s="68"/>
      <c r="AU1026" s="68"/>
      <c r="AV1026" s="68"/>
      <c r="AW1026" s="68"/>
      <c r="AX1026" s="3">
        <v>5</v>
      </c>
      <c r="AY1026" s="200">
        <f t="shared" si="55"/>
        <v>0</v>
      </c>
      <c r="AZ1026" s="1189">
        <v>0.04</v>
      </c>
    </row>
    <row r="1027" spans="1:52" ht="12.95" customHeight="1">
      <c r="A1027" s="14"/>
      <c r="B1027" s="73"/>
      <c r="C1027" s="74"/>
      <c r="D1027" s="1751"/>
      <c r="E1027" s="1752"/>
      <c r="F1027" s="1752"/>
      <c r="G1027" s="1752"/>
      <c r="H1027" s="1752"/>
      <c r="I1027" s="1752"/>
      <c r="J1027" s="1752"/>
      <c r="K1027" s="1752"/>
      <c r="L1027" s="1752"/>
      <c r="M1027" s="1752"/>
      <c r="N1027" s="1752"/>
      <c r="O1027" s="1752"/>
      <c r="P1027" s="1752"/>
      <c r="Q1027" s="1752"/>
      <c r="R1027" s="1752"/>
      <c r="S1027" s="1752"/>
      <c r="T1027" s="1752"/>
      <c r="U1027" s="1752"/>
      <c r="V1027" s="1752"/>
      <c r="W1027" s="1752"/>
      <c r="X1027" s="1752"/>
      <c r="Y1027" s="1752"/>
      <c r="Z1027" s="1752"/>
      <c r="AA1027" s="1752"/>
      <c r="AB1027" s="1752"/>
      <c r="AC1027" s="1752"/>
      <c r="AD1027" s="1752"/>
      <c r="AE1027" s="1753"/>
      <c r="AF1027" s="1855"/>
      <c r="AG1027" s="1856"/>
      <c r="AH1027" s="1856"/>
      <c r="AI1027" s="1857"/>
      <c r="AJ1027" s="1748"/>
      <c r="AK1027" s="1749"/>
      <c r="AL1027" s="1749"/>
      <c r="AM1027" s="1749"/>
      <c r="AN1027" s="1749"/>
      <c r="AO1027" s="1749"/>
      <c r="AP1027" s="1749"/>
      <c r="AQ1027" s="1750"/>
      <c r="AR1027" s="68"/>
      <c r="AS1027" s="68"/>
      <c r="AT1027" s="68"/>
      <c r="AU1027" s="68"/>
      <c r="AV1027" s="68"/>
      <c r="AW1027" s="68"/>
      <c r="AX1027" s="3">
        <v>6</v>
      </c>
      <c r="AY1027" s="200">
        <f t="shared" si="55"/>
        <v>0</v>
      </c>
      <c r="AZ1027" s="1189">
        <v>0.04</v>
      </c>
    </row>
    <row r="1028" spans="1:52" ht="12.95" customHeight="1">
      <c r="A1028" s="14"/>
      <c r="B1028" s="81"/>
      <c r="C1028" s="82"/>
      <c r="D1028" s="1754"/>
      <c r="E1028" s="1755"/>
      <c r="F1028" s="1755"/>
      <c r="G1028" s="1755"/>
      <c r="H1028" s="1755"/>
      <c r="I1028" s="1755"/>
      <c r="J1028" s="1755"/>
      <c r="K1028" s="1755"/>
      <c r="L1028" s="1755"/>
      <c r="M1028" s="1755"/>
      <c r="N1028" s="1755"/>
      <c r="O1028" s="1755"/>
      <c r="P1028" s="1755"/>
      <c r="Q1028" s="1755"/>
      <c r="R1028" s="1755"/>
      <c r="S1028" s="1755"/>
      <c r="T1028" s="1755"/>
      <c r="U1028" s="1755"/>
      <c r="V1028" s="1755"/>
      <c r="W1028" s="1755"/>
      <c r="X1028" s="1755"/>
      <c r="Y1028" s="1755"/>
      <c r="Z1028" s="1755"/>
      <c r="AA1028" s="1755"/>
      <c r="AB1028" s="1755"/>
      <c r="AC1028" s="1755"/>
      <c r="AD1028" s="1755"/>
      <c r="AE1028" s="1756"/>
      <c r="AF1028" s="1858"/>
      <c r="AG1028" s="1859"/>
      <c r="AH1028" s="1859"/>
      <c r="AI1028" s="1860"/>
      <c r="AJ1028" s="1757"/>
      <c r="AK1028" s="1758"/>
      <c r="AL1028" s="1758"/>
      <c r="AM1028" s="1758"/>
      <c r="AN1028" s="1758"/>
      <c r="AO1028" s="1758"/>
      <c r="AP1028" s="1758"/>
      <c r="AQ1028" s="1759"/>
      <c r="AR1028" s="68"/>
      <c r="AS1028" s="68"/>
      <c r="AT1028" s="68"/>
      <c r="AU1028" s="68"/>
      <c r="AV1028" s="68"/>
      <c r="AW1028" s="68"/>
      <c r="AX1028" s="3">
        <v>7</v>
      </c>
      <c r="AY1028" s="200">
        <f t="shared" si="55"/>
        <v>0</v>
      </c>
      <c r="AZ1028" s="1189">
        <v>0.01</v>
      </c>
    </row>
    <row r="1029" spans="1:52" ht="12.95" customHeight="1">
      <c r="A1029" s="14"/>
      <c r="B1029" s="79"/>
      <c r="C1029" s="80" t="s">
        <v>223</v>
      </c>
      <c r="D1029" s="1792" t="s">
        <v>1290</v>
      </c>
      <c r="E1029" s="1793"/>
      <c r="F1029" s="1793"/>
      <c r="G1029" s="1793"/>
      <c r="H1029" s="1793"/>
      <c r="I1029" s="1793"/>
      <c r="J1029" s="1793"/>
      <c r="K1029" s="1793"/>
      <c r="L1029" s="1793"/>
      <c r="M1029" s="1793"/>
      <c r="N1029" s="1793"/>
      <c r="O1029" s="1793"/>
      <c r="P1029" s="1793"/>
      <c r="Q1029" s="1793"/>
      <c r="R1029" s="1793"/>
      <c r="S1029" s="1793"/>
      <c r="T1029" s="1793"/>
      <c r="U1029" s="1793"/>
      <c r="V1029" s="1793"/>
      <c r="W1029" s="1793"/>
      <c r="X1029" s="1793"/>
      <c r="Y1029" s="1793"/>
      <c r="Z1029" s="1793"/>
      <c r="AA1029" s="1793"/>
      <c r="AB1029" s="1793"/>
      <c r="AC1029" s="1793"/>
      <c r="AD1029" s="1793"/>
      <c r="AE1029" s="1794"/>
      <c r="AF1029" s="79"/>
      <c r="AG1029" s="1772" t="s">
        <v>668</v>
      </c>
      <c r="AH1029" s="1773"/>
      <c r="AI1029" s="87"/>
      <c r="AJ1029" s="1745">
        <f>ROUND(IF(AND(AG1029="Yes",J1033&lt;&gt;"N/A",AF1032&lt;&gt;""),MIN(AF1032,(0.15*AJ1001)),0),0)</f>
        <v>0</v>
      </c>
      <c r="AK1029" s="1746"/>
      <c r="AL1029" s="1746"/>
      <c r="AM1029" s="1746"/>
      <c r="AN1029" s="1746"/>
      <c r="AO1029" s="1746"/>
      <c r="AP1029" s="1746"/>
      <c r="AQ1029" s="1747"/>
      <c r="AR1029" s="68"/>
      <c r="AS1029" s="68"/>
      <c r="AT1029" s="68"/>
      <c r="AU1029" s="68"/>
      <c r="AV1029" s="68"/>
      <c r="AW1029" s="68"/>
      <c r="AX1029" s="3">
        <v>8</v>
      </c>
      <c r="AY1029" s="200">
        <f t="shared" si="55"/>
        <v>0</v>
      </c>
      <c r="AZ1029" s="1189">
        <v>0.01</v>
      </c>
    </row>
    <row r="1030" spans="1:52" ht="12.95" customHeight="1">
      <c r="A1030" s="14"/>
      <c r="B1030" s="81"/>
      <c r="C1030" s="84"/>
      <c r="D1030" s="1795"/>
      <c r="E1030" s="1796"/>
      <c r="F1030" s="1796"/>
      <c r="G1030" s="1796"/>
      <c r="H1030" s="1796"/>
      <c r="I1030" s="1796"/>
      <c r="J1030" s="1796"/>
      <c r="K1030" s="1796"/>
      <c r="L1030" s="1796"/>
      <c r="M1030" s="1796"/>
      <c r="N1030" s="1796"/>
      <c r="O1030" s="1796"/>
      <c r="P1030" s="1796"/>
      <c r="Q1030" s="1796"/>
      <c r="R1030" s="1796"/>
      <c r="S1030" s="1796"/>
      <c r="T1030" s="1796"/>
      <c r="U1030" s="1796"/>
      <c r="V1030" s="1796"/>
      <c r="W1030" s="1796"/>
      <c r="X1030" s="1796"/>
      <c r="Y1030" s="1796"/>
      <c r="Z1030" s="1796"/>
      <c r="AA1030" s="1796"/>
      <c r="AB1030" s="1796"/>
      <c r="AC1030" s="1796"/>
      <c r="AD1030" s="1796"/>
      <c r="AE1030" s="1797"/>
      <c r="AF1030" s="1817" t="str">
        <f>IF(AG1029="yes","Please Select Type and Enter Amount:","")</f>
        <v/>
      </c>
      <c r="AG1030" s="1818"/>
      <c r="AH1030" s="1818"/>
      <c r="AI1030" s="1819"/>
      <c r="AJ1030" s="1748"/>
      <c r="AK1030" s="1749"/>
      <c r="AL1030" s="1749"/>
      <c r="AM1030" s="1749"/>
      <c r="AN1030" s="1749"/>
      <c r="AO1030" s="1749"/>
      <c r="AP1030" s="1749"/>
      <c r="AQ1030" s="1750"/>
      <c r="AR1030" s="68"/>
      <c r="AS1030" s="68"/>
      <c r="AT1030" s="68"/>
      <c r="AU1030" s="68"/>
      <c r="AV1030" s="68"/>
      <c r="AW1030" s="68"/>
      <c r="AX1030" s="3">
        <v>9</v>
      </c>
      <c r="AY1030" s="200">
        <f t="shared" si="55"/>
        <v>0</v>
      </c>
      <c r="AZ1030" s="1189">
        <v>0.01</v>
      </c>
    </row>
    <row r="1031" spans="1:52" ht="12.95" customHeight="1">
      <c r="A1031" s="14"/>
      <c r="B1031" s="81"/>
      <c r="C1031" s="84"/>
      <c r="D1031" s="1751" t="s">
        <v>1291</v>
      </c>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1817"/>
      <c r="AG1031" s="1818"/>
      <c r="AH1031" s="1818"/>
      <c r="AI1031" s="1819"/>
      <c r="AJ1031" s="1748"/>
      <c r="AK1031" s="1749"/>
      <c r="AL1031" s="1749"/>
      <c r="AM1031" s="1749"/>
      <c r="AN1031" s="1749"/>
      <c r="AO1031" s="1749"/>
      <c r="AP1031" s="1749"/>
      <c r="AQ1031" s="1750"/>
      <c r="AR1031" s="68"/>
      <c r="AS1031" s="68"/>
      <c r="AT1031" s="68"/>
      <c r="AU1031" s="68"/>
      <c r="AV1031" s="68"/>
      <c r="AW1031" s="68"/>
      <c r="AX1031" s="3">
        <v>10</v>
      </c>
      <c r="AY1031" s="200">
        <f t="shared" si="55"/>
        <v>0</v>
      </c>
      <c r="AZ1031" s="1189">
        <v>0.02</v>
      </c>
    </row>
    <row r="1032" spans="1:52" ht="12.95" customHeight="1">
      <c r="A1032" s="14"/>
      <c r="B1032" s="81"/>
      <c r="C1032" s="84"/>
      <c r="D1032" s="1751"/>
      <c r="E1032" s="1752"/>
      <c r="F1032" s="1752"/>
      <c r="G1032" s="1752"/>
      <c r="H1032" s="1752"/>
      <c r="I1032" s="1752"/>
      <c r="J1032" s="1752"/>
      <c r="K1032" s="1752"/>
      <c r="L1032" s="1752"/>
      <c r="M1032" s="1752"/>
      <c r="N1032" s="1752"/>
      <c r="O1032" s="1752"/>
      <c r="P1032" s="1752"/>
      <c r="Q1032" s="1752"/>
      <c r="R1032" s="1752"/>
      <c r="S1032" s="1752"/>
      <c r="T1032" s="1752"/>
      <c r="U1032" s="1752"/>
      <c r="V1032" s="1752"/>
      <c r="W1032" s="1752"/>
      <c r="X1032" s="1752"/>
      <c r="Y1032" s="1752"/>
      <c r="Z1032" s="1752"/>
      <c r="AA1032" s="1752"/>
      <c r="AB1032" s="1752"/>
      <c r="AC1032" s="1752"/>
      <c r="AD1032" s="1752"/>
      <c r="AE1032" s="1753"/>
      <c r="AF1032" s="1813"/>
      <c r="AG1032" s="1813"/>
      <c r="AH1032" s="1813"/>
      <c r="AI1032" s="1813"/>
      <c r="AJ1032" s="1748"/>
      <c r="AK1032" s="1749"/>
      <c r="AL1032" s="1749"/>
      <c r="AM1032" s="1749"/>
      <c r="AN1032" s="1749"/>
      <c r="AO1032" s="1749"/>
      <c r="AP1032" s="1749"/>
      <c r="AQ1032" s="1750"/>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51" t="s">
        <v>590</v>
      </c>
      <c r="K1033" s="1852"/>
      <c r="L1033" s="1852"/>
      <c r="M1033" s="1852"/>
      <c r="N1033" s="1852"/>
      <c r="O1033" s="1852"/>
      <c r="P1033" s="1852"/>
      <c r="Q1033" s="1852"/>
      <c r="R1033" s="1852"/>
      <c r="S1033" s="1852"/>
      <c r="T1033" s="1852"/>
      <c r="U1033" s="1852"/>
      <c r="V1033" s="1852"/>
      <c r="W1033" s="1852"/>
      <c r="X1033" s="1852"/>
      <c r="Y1033" s="1852"/>
      <c r="Z1033" s="1852"/>
      <c r="AA1033" s="1852"/>
      <c r="AB1033" s="1852"/>
      <c r="AC1033" s="1852"/>
      <c r="AD1033" s="1852"/>
      <c r="AE1033" s="1853"/>
      <c r="AF1033" s="1813"/>
      <c r="AG1033" s="1813"/>
      <c r="AH1033" s="1813"/>
      <c r="AI1033" s="1813"/>
      <c r="AJ1033" s="1757"/>
      <c r="AK1033" s="1758"/>
      <c r="AL1033" s="1758"/>
      <c r="AM1033" s="1758"/>
      <c r="AN1033" s="1758"/>
      <c r="AO1033" s="1758"/>
      <c r="AP1033" s="1758"/>
      <c r="AQ1033" s="1759"/>
      <c r="AR1033" s="68"/>
      <c r="AS1033" s="68"/>
      <c r="AT1033" s="68"/>
      <c r="AU1033" s="68"/>
      <c r="AV1033" s="68"/>
      <c r="AW1033" s="68"/>
      <c r="AX1033" s="1027" t="s">
        <v>2532</v>
      </c>
      <c r="AY1033" s="201">
        <f>IF(SUM(AY1022:AY1032)&lt;=0.2,SUM(AY1022:AY1032),0.2)</f>
        <v>0.2</v>
      </c>
    </row>
    <row r="1034" spans="1:52" ht="12.95" customHeight="1">
      <c r="A1034" s="14"/>
      <c r="B1034" s="79"/>
      <c r="C1034" s="80" t="s">
        <v>229</v>
      </c>
      <c r="D1034" s="1727" t="s">
        <v>1292</v>
      </c>
      <c r="E1034" s="1728"/>
      <c r="F1034" s="1728"/>
      <c r="G1034" s="1728"/>
      <c r="H1034" s="1728"/>
      <c r="I1034" s="1728"/>
      <c r="J1034" s="1728"/>
      <c r="K1034" s="1728"/>
      <c r="L1034" s="1728"/>
      <c r="M1034" s="1728"/>
      <c r="N1034" s="1728"/>
      <c r="O1034" s="1728"/>
      <c r="P1034" s="1728"/>
      <c r="Q1034" s="1728"/>
      <c r="R1034" s="1728"/>
      <c r="S1034" s="1728"/>
      <c r="T1034" s="1728"/>
      <c r="U1034" s="1728"/>
      <c r="V1034" s="1728"/>
      <c r="W1034" s="1728"/>
      <c r="X1034" s="1728"/>
      <c r="Y1034" s="1728"/>
      <c r="Z1034" s="1728"/>
      <c r="AA1034" s="1728"/>
      <c r="AB1034" s="1728"/>
      <c r="AC1034" s="1728"/>
      <c r="AD1034" s="1728"/>
      <c r="AE1034" s="1729"/>
      <c r="AF1034" s="79"/>
      <c r="AG1034" s="1772" t="s">
        <v>544</v>
      </c>
      <c r="AH1034" s="1773"/>
      <c r="AI1034" s="87"/>
      <c r="AJ1034" s="1745">
        <f>ROUND(IF(AG1034="Yes",AF1036,0),0)</f>
        <v>600756</v>
      </c>
      <c r="AK1034" s="1746"/>
      <c r="AL1034" s="1746"/>
      <c r="AM1034" s="1746"/>
      <c r="AN1034" s="1746"/>
      <c r="AO1034" s="1746"/>
      <c r="AP1034" s="1746"/>
      <c r="AQ1034" s="1747"/>
      <c r="AR1034" s="68"/>
      <c r="AS1034" s="68"/>
      <c r="AT1034" s="68"/>
      <c r="AU1034" s="68"/>
      <c r="AV1034" s="68"/>
      <c r="AW1034" s="68"/>
      <c r="AX1034" s="68"/>
      <c r="AY1034" s="68"/>
    </row>
    <row r="1035" spans="1:52" ht="12.95" customHeight="1">
      <c r="A1035" s="14"/>
      <c r="B1035" s="73"/>
      <c r="C1035" s="74"/>
      <c r="D1035" s="1751" t="s">
        <v>1678</v>
      </c>
      <c r="E1035" s="1752"/>
      <c r="F1035" s="1752"/>
      <c r="G1035" s="1752"/>
      <c r="H1035" s="1752"/>
      <c r="I1035" s="1752"/>
      <c r="J1035" s="1752"/>
      <c r="K1035" s="1752"/>
      <c r="L1035" s="1752"/>
      <c r="M1035" s="1752"/>
      <c r="N1035" s="1752"/>
      <c r="O1035" s="1752"/>
      <c r="P1035" s="1752"/>
      <c r="Q1035" s="1752"/>
      <c r="R1035" s="1752"/>
      <c r="S1035" s="1752"/>
      <c r="T1035" s="1752"/>
      <c r="U1035" s="1752"/>
      <c r="V1035" s="1752"/>
      <c r="W1035" s="1752"/>
      <c r="X1035" s="1752"/>
      <c r="Y1035" s="1752"/>
      <c r="Z1035" s="1752"/>
      <c r="AA1035" s="1752"/>
      <c r="AB1035" s="1752"/>
      <c r="AC1035" s="1752"/>
      <c r="AD1035" s="1752"/>
      <c r="AE1035" s="1753"/>
      <c r="AF1035" s="1798" t="str">
        <f>IF(AG1034="yes","Enter Amount:","")</f>
        <v>Enter Amount:</v>
      </c>
      <c r="AG1035" s="1799"/>
      <c r="AH1035" s="1799"/>
      <c r="AI1035" s="1800"/>
      <c r="AJ1035" s="1748"/>
      <c r="AK1035" s="1749"/>
      <c r="AL1035" s="1749"/>
      <c r="AM1035" s="1749"/>
      <c r="AN1035" s="1749"/>
      <c r="AO1035" s="1749"/>
      <c r="AP1035" s="1749"/>
      <c r="AQ1035" s="1750"/>
      <c r="AR1035" s="68"/>
      <c r="AS1035" s="68"/>
      <c r="AT1035" s="68"/>
      <c r="AU1035" s="68"/>
      <c r="AV1035" s="68"/>
      <c r="AW1035" s="68"/>
      <c r="AX1035" s="68"/>
      <c r="AY1035" s="68"/>
    </row>
    <row r="1036" spans="1:52" ht="12.95" customHeight="1">
      <c r="A1036" s="14"/>
      <c r="B1036" s="73"/>
      <c r="C1036" s="74"/>
      <c r="D1036" s="1751"/>
      <c r="E1036" s="1752"/>
      <c r="F1036" s="1752"/>
      <c r="G1036" s="1752"/>
      <c r="H1036" s="1752"/>
      <c r="I1036" s="1752"/>
      <c r="J1036" s="1752"/>
      <c r="K1036" s="1752"/>
      <c r="L1036" s="1752"/>
      <c r="M1036" s="1752"/>
      <c r="N1036" s="1752"/>
      <c r="O1036" s="1752"/>
      <c r="P1036" s="1752"/>
      <c r="Q1036" s="1752"/>
      <c r="R1036" s="1752"/>
      <c r="S1036" s="1752"/>
      <c r="T1036" s="1752"/>
      <c r="U1036" s="1752"/>
      <c r="V1036" s="1752"/>
      <c r="W1036" s="1752"/>
      <c r="X1036" s="1752"/>
      <c r="Y1036" s="1752"/>
      <c r="Z1036" s="1752"/>
      <c r="AA1036" s="1752"/>
      <c r="AB1036" s="1752"/>
      <c r="AC1036" s="1752"/>
      <c r="AD1036" s="1752"/>
      <c r="AE1036" s="1753"/>
      <c r="AF1036" s="1813">
        <v>600756</v>
      </c>
      <c r="AG1036" s="1813"/>
      <c r="AH1036" s="1813"/>
      <c r="AI1036" s="1813"/>
      <c r="AJ1036" s="1748"/>
      <c r="AK1036" s="1749"/>
      <c r="AL1036" s="1749"/>
      <c r="AM1036" s="1749"/>
      <c r="AN1036" s="1749"/>
      <c r="AO1036" s="1749"/>
      <c r="AP1036" s="1749"/>
      <c r="AQ1036" s="1750"/>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4"/>
      <c r="E1037" s="1755"/>
      <c r="F1037" s="1755"/>
      <c r="G1037" s="1755"/>
      <c r="H1037" s="1755"/>
      <c r="I1037" s="1755"/>
      <c r="J1037" s="1755"/>
      <c r="K1037" s="1755"/>
      <c r="L1037" s="1755"/>
      <c r="M1037" s="1755"/>
      <c r="N1037" s="1755"/>
      <c r="O1037" s="1755"/>
      <c r="P1037" s="1755"/>
      <c r="Q1037" s="1755"/>
      <c r="R1037" s="1755"/>
      <c r="S1037" s="1755"/>
      <c r="T1037" s="1755"/>
      <c r="U1037" s="1755"/>
      <c r="V1037" s="1755"/>
      <c r="W1037" s="1755"/>
      <c r="X1037" s="1755"/>
      <c r="Y1037" s="1755"/>
      <c r="Z1037" s="1755"/>
      <c r="AA1037" s="1755"/>
      <c r="AB1037" s="1755"/>
      <c r="AC1037" s="1755"/>
      <c r="AD1037" s="1755"/>
      <c r="AE1037" s="1756"/>
      <c r="AF1037" s="1813"/>
      <c r="AG1037" s="1813"/>
      <c r="AH1037" s="1813"/>
      <c r="AI1037" s="1813"/>
      <c r="AJ1037" s="1757"/>
      <c r="AK1037" s="1758"/>
      <c r="AL1037" s="1758"/>
      <c r="AM1037" s="1758"/>
      <c r="AN1037" s="1758"/>
      <c r="AO1037" s="1758"/>
      <c r="AP1037" s="1758"/>
      <c r="AQ1037" s="1759"/>
      <c r="AR1037" s="68"/>
      <c r="AS1037" s="68"/>
      <c r="AT1037" s="68"/>
      <c r="AU1037" s="68"/>
      <c r="AV1037" s="68"/>
      <c r="AW1037" s="68"/>
      <c r="AX1037" s="68"/>
      <c r="AY1037" s="68"/>
    </row>
    <row r="1038" spans="1:52" ht="12.95" customHeight="1">
      <c r="A1038" s="14"/>
      <c r="B1038" s="79"/>
      <c r="C1038" s="80" t="s">
        <v>234</v>
      </c>
      <c r="D1038" s="1766" t="s">
        <v>1293</v>
      </c>
      <c r="E1038" s="1767"/>
      <c r="F1038" s="1767"/>
      <c r="G1038" s="1767"/>
      <c r="H1038" s="1767"/>
      <c r="I1038" s="1767"/>
      <c r="J1038" s="1767"/>
      <c r="K1038" s="1767"/>
      <c r="L1038" s="1767"/>
      <c r="M1038" s="1767"/>
      <c r="N1038" s="1767"/>
      <c r="O1038" s="1767"/>
      <c r="P1038" s="1767"/>
      <c r="Q1038" s="1767"/>
      <c r="R1038" s="1767"/>
      <c r="S1038" s="1767"/>
      <c r="T1038" s="1767"/>
      <c r="U1038" s="1767"/>
      <c r="V1038" s="1767"/>
      <c r="W1038" s="1767"/>
      <c r="X1038" s="1767"/>
      <c r="Y1038" s="1767"/>
      <c r="Z1038" s="1767"/>
      <c r="AA1038" s="1767"/>
      <c r="AB1038" s="1767"/>
      <c r="AC1038" s="1767"/>
      <c r="AD1038" s="1767"/>
      <c r="AE1038" s="1768"/>
      <c r="AF1038" s="79"/>
      <c r="AG1038" s="1772" t="s">
        <v>668</v>
      </c>
      <c r="AH1038" s="1773"/>
      <c r="AI1038" s="87"/>
      <c r="AJ1038" s="1745">
        <f>ROUND(IF(AG1038="yes",(AJ1001*0.1),0),0)</f>
        <v>0</v>
      </c>
      <c r="AK1038" s="1746"/>
      <c r="AL1038" s="1746"/>
      <c r="AM1038" s="1746"/>
      <c r="AN1038" s="1746"/>
      <c r="AO1038" s="1746"/>
      <c r="AP1038" s="1746"/>
      <c r="AQ1038" s="1747"/>
      <c r="AR1038" s="68"/>
      <c r="AS1038" s="68"/>
      <c r="AT1038" s="68"/>
      <c r="AU1038" s="68"/>
      <c r="AV1038" s="68"/>
      <c r="AW1038" s="68"/>
      <c r="AX1038" s="68"/>
      <c r="AY1038" s="68"/>
    </row>
    <row r="1039" spans="1:52" ht="12.95" customHeight="1">
      <c r="A1039" s="14"/>
      <c r="B1039" s="73"/>
      <c r="C1039" s="74"/>
      <c r="D1039" s="1751" t="s">
        <v>1294</v>
      </c>
      <c r="E1039" s="1752"/>
      <c r="F1039" s="1752"/>
      <c r="G1039" s="1752"/>
      <c r="H1039" s="1752"/>
      <c r="I1039" s="1752"/>
      <c r="J1039" s="1752"/>
      <c r="K1039" s="1752"/>
      <c r="L1039" s="1752"/>
      <c r="M1039" s="1752"/>
      <c r="N1039" s="1752"/>
      <c r="O1039" s="1752"/>
      <c r="P1039" s="1752"/>
      <c r="Q1039" s="1752"/>
      <c r="R1039" s="1752"/>
      <c r="S1039" s="1752"/>
      <c r="T1039" s="1752"/>
      <c r="U1039" s="1752"/>
      <c r="V1039" s="1752"/>
      <c r="W1039" s="1752"/>
      <c r="X1039" s="1752"/>
      <c r="Y1039" s="1752"/>
      <c r="Z1039" s="1752"/>
      <c r="AA1039" s="1752"/>
      <c r="AB1039" s="1752"/>
      <c r="AC1039" s="1752"/>
      <c r="AD1039" s="1752"/>
      <c r="AE1039" s="1753"/>
      <c r="AF1039" s="73"/>
      <c r="AG1039" s="14"/>
      <c r="AH1039" s="14"/>
      <c r="AI1039" s="83"/>
      <c r="AJ1039" s="1748"/>
      <c r="AK1039" s="1749"/>
      <c r="AL1039" s="1749"/>
      <c r="AM1039" s="1749"/>
      <c r="AN1039" s="1749"/>
      <c r="AO1039" s="1749"/>
      <c r="AP1039" s="1749"/>
      <c r="AQ1039" s="1750"/>
      <c r="AR1039" s="68"/>
      <c r="AS1039" s="68"/>
      <c r="AT1039" s="68"/>
      <c r="AU1039" s="68"/>
      <c r="AV1039" s="68"/>
      <c r="AW1039" s="68"/>
      <c r="AX1039" s="68"/>
      <c r="AY1039" s="68"/>
    </row>
    <row r="1040" spans="1:52" ht="12.95" customHeight="1">
      <c r="A1040" s="14"/>
      <c r="B1040" s="77"/>
      <c r="C1040" s="74"/>
      <c r="D1040" s="1754"/>
      <c r="E1040" s="1755"/>
      <c r="F1040" s="1755"/>
      <c r="G1040" s="1755"/>
      <c r="H1040" s="1755"/>
      <c r="I1040" s="1755"/>
      <c r="J1040" s="1755"/>
      <c r="K1040" s="1755"/>
      <c r="L1040" s="1755"/>
      <c r="M1040" s="1755"/>
      <c r="N1040" s="1755"/>
      <c r="O1040" s="1755"/>
      <c r="P1040" s="1755"/>
      <c r="Q1040" s="1755"/>
      <c r="R1040" s="1755"/>
      <c r="S1040" s="1755"/>
      <c r="T1040" s="1755"/>
      <c r="U1040" s="1755"/>
      <c r="V1040" s="1755"/>
      <c r="W1040" s="1755"/>
      <c r="X1040" s="1755"/>
      <c r="Y1040" s="1755"/>
      <c r="Z1040" s="1755"/>
      <c r="AA1040" s="1755"/>
      <c r="AB1040" s="1755"/>
      <c r="AC1040" s="1755"/>
      <c r="AD1040" s="1755"/>
      <c r="AE1040" s="1756"/>
      <c r="AF1040" s="73"/>
      <c r="AG1040" s="14"/>
      <c r="AH1040" s="14"/>
      <c r="AI1040" s="83"/>
      <c r="AJ1040" s="1757"/>
      <c r="AK1040" s="1758"/>
      <c r="AL1040" s="1758"/>
      <c r="AM1040" s="1758"/>
      <c r="AN1040" s="1758"/>
      <c r="AO1040" s="1758"/>
      <c r="AP1040" s="1758"/>
      <c r="AQ1040" s="1759"/>
      <c r="AR1040" s="68"/>
      <c r="AS1040" s="68"/>
      <c r="AT1040" s="68"/>
      <c r="AU1040" s="68"/>
      <c r="AV1040" s="68"/>
      <c r="AW1040" s="68"/>
      <c r="AX1040" s="68"/>
      <c r="AY1040" s="68"/>
    </row>
    <row r="1041" spans="1:57" ht="12.95" customHeight="1">
      <c r="A1041" s="14"/>
      <c r="B1041" s="73"/>
      <c r="C1041" s="339" t="s">
        <v>686</v>
      </c>
      <c r="D1041" s="1727" t="s">
        <v>1674</v>
      </c>
      <c r="E1041" s="1728"/>
      <c r="F1041" s="1728"/>
      <c r="G1041" s="1728"/>
      <c r="H1041" s="1728"/>
      <c r="I1041" s="1728"/>
      <c r="J1041" s="1728"/>
      <c r="K1041" s="1728"/>
      <c r="L1041" s="1728"/>
      <c r="M1041" s="1728"/>
      <c r="N1041" s="1728"/>
      <c r="O1041" s="1728"/>
      <c r="P1041" s="1728"/>
      <c r="Q1041" s="1728"/>
      <c r="R1041" s="1728"/>
      <c r="S1041" s="1728"/>
      <c r="T1041" s="1728"/>
      <c r="U1041" s="1728"/>
      <c r="V1041" s="1728"/>
      <c r="W1041" s="1728"/>
      <c r="X1041" s="1728"/>
      <c r="Y1041" s="1728"/>
      <c r="Z1041" s="1728"/>
      <c r="AA1041" s="1728"/>
      <c r="AB1041" s="1728"/>
      <c r="AC1041" s="1728"/>
      <c r="AD1041" s="1728"/>
      <c r="AE1041" s="1729"/>
      <c r="AF1041" s="79"/>
      <c r="AG1041" s="1772" t="s">
        <v>668</v>
      </c>
      <c r="AH1041" s="1773"/>
      <c r="AI1041" s="87"/>
      <c r="AJ1041" s="1745">
        <f>ROUND(IF(AG1041="yes",(AJ1001*0.15),0),0)</f>
        <v>0</v>
      </c>
      <c r="AK1041" s="1746"/>
      <c r="AL1041" s="1746"/>
      <c r="AM1041" s="1746"/>
      <c r="AN1041" s="1746"/>
      <c r="AO1041" s="1746"/>
      <c r="AP1041" s="1746"/>
      <c r="AQ1041" s="1747"/>
      <c r="AR1041" s="68"/>
      <c r="AS1041" s="68"/>
      <c r="AT1041" s="68"/>
      <c r="AU1041" s="68"/>
      <c r="AV1041" s="68"/>
      <c r="AW1041" s="68"/>
      <c r="AX1041" s="68"/>
      <c r="AY1041" s="68"/>
    </row>
    <row r="1042" spans="1:57" ht="12.95" customHeight="1">
      <c r="A1042" s="14"/>
      <c r="B1042" s="73"/>
      <c r="C1042" s="74"/>
      <c r="D1042" s="1774"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5"/>
      <c r="AF1042" s="911"/>
      <c r="AG1042" s="912"/>
      <c r="AH1042" s="912"/>
      <c r="AI1042" s="913"/>
      <c r="AJ1042" s="1748"/>
      <c r="AK1042" s="1749"/>
      <c r="AL1042" s="1749"/>
      <c r="AM1042" s="1749"/>
      <c r="AN1042" s="1749"/>
      <c r="AO1042" s="1749"/>
      <c r="AP1042" s="1749"/>
      <c r="AQ1042" s="1750"/>
      <c r="AR1042" s="68"/>
      <c r="AS1042" s="68"/>
      <c r="AT1042" s="68"/>
      <c r="AU1042" s="68"/>
      <c r="AV1042" s="68"/>
      <c r="AW1042" s="68"/>
      <c r="AX1042" s="68"/>
      <c r="AY1042" s="68"/>
    </row>
    <row r="1043" spans="1:57" ht="12.95" customHeight="1">
      <c r="A1043" s="14"/>
      <c r="B1043" s="73"/>
      <c r="C1043" s="74"/>
      <c r="D1043" s="1774"/>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5"/>
      <c r="AF1043" s="911"/>
      <c r="AG1043" s="912"/>
      <c r="AH1043" s="912"/>
      <c r="AI1043" s="913"/>
      <c r="AJ1043" s="1748"/>
      <c r="AK1043" s="1749"/>
      <c r="AL1043" s="1749"/>
      <c r="AM1043" s="1749"/>
      <c r="AN1043" s="1749"/>
      <c r="AO1043" s="1749"/>
      <c r="AP1043" s="1749"/>
      <c r="AQ1043" s="1750"/>
      <c r="AR1043" s="68"/>
      <c r="AS1043" s="68"/>
      <c r="AT1043" s="68"/>
      <c r="AU1043" s="68"/>
      <c r="AV1043" s="68"/>
      <c r="AW1043" s="68"/>
      <c r="AX1043" s="68"/>
      <c r="AY1043" s="68"/>
    </row>
    <row r="1044" spans="1:57" ht="12.95" customHeight="1">
      <c r="A1044" s="14"/>
      <c r="B1044" s="73"/>
      <c r="C1044" s="74"/>
      <c r="D1044" s="1776"/>
      <c r="E1044" s="1777"/>
      <c r="F1044" s="1777"/>
      <c r="G1044" s="1777"/>
      <c r="H1044" s="1777"/>
      <c r="I1044" s="1777"/>
      <c r="J1044" s="1777"/>
      <c r="K1044" s="1777"/>
      <c r="L1044" s="1777"/>
      <c r="M1044" s="1777"/>
      <c r="N1044" s="1777"/>
      <c r="O1044" s="1777"/>
      <c r="P1044" s="1777"/>
      <c r="Q1044" s="1777"/>
      <c r="R1044" s="1777"/>
      <c r="S1044" s="1777"/>
      <c r="T1044" s="1777"/>
      <c r="U1044" s="1777"/>
      <c r="V1044" s="1777"/>
      <c r="W1044" s="1777"/>
      <c r="X1044" s="1777"/>
      <c r="Y1044" s="1777"/>
      <c r="Z1044" s="1777"/>
      <c r="AA1044" s="1777"/>
      <c r="AB1044" s="1777"/>
      <c r="AC1044" s="1777"/>
      <c r="AD1044" s="1777"/>
      <c r="AE1044" s="1778"/>
      <c r="AF1044" s="914"/>
      <c r="AG1044" s="915"/>
      <c r="AH1044" s="915"/>
      <c r="AI1044" s="916"/>
      <c r="AJ1044" s="1757"/>
      <c r="AK1044" s="1758"/>
      <c r="AL1044" s="1758"/>
      <c r="AM1044" s="1758"/>
      <c r="AN1044" s="1758"/>
      <c r="AO1044" s="1758"/>
      <c r="AP1044" s="1758"/>
      <c r="AQ1044" s="1759"/>
      <c r="AR1044" s="68"/>
      <c r="AS1044" s="68"/>
      <c r="AT1044" s="68"/>
      <c r="AU1044" s="68"/>
      <c r="AV1044" s="68"/>
      <c r="AW1044" s="68"/>
      <c r="AX1044" s="68"/>
      <c r="AY1044" s="68"/>
    </row>
    <row r="1045" spans="1:57" ht="12.95" customHeight="1">
      <c r="A1045" s="14"/>
      <c r="B1045" s="73"/>
      <c r="C1045" s="339" t="s">
        <v>686</v>
      </c>
      <c r="D1045" s="1766" t="s">
        <v>1676</v>
      </c>
      <c r="E1045" s="1767"/>
      <c r="F1045" s="1767"/>
      <c r="G1045" s="1767"/>
      <c r="H1045" s="1767"/>
      <c r="I1045" s="1767"/>
      <c r="J1045" s="1767"/>
      <c r="K1045" s="1767"/>
      <c r="L1045" s="1767"/>
      <c r="M1045" s="1767"/>
      <c r="N1045" s="1767"/>
      <c r="O1045" s="1767"/>
      <c r="P1045" s="1767"/>
      <c r="Q1045" s="1767"/>
      <c r="R1045" s="1767"/>
      <c r="S1045" s="1767"/>
      <c r="T1045" s="1767"/>
      <c r="U1045" s="1767"/>
      <c r="V1045" s="1767"/>
      <c r="W1045" s="1767"/>
      <c r="X1045" s="1767"/>
      <c r="Y1045" s="1767"/>
      <c r="Z1045" s="1767"/>
      <c r="AA1045" s="1767"/>
      <c r="AB1045" s="1767"/>
      <c r="AC1045" s="1767"/>
      <c r="AD1045" s="1767"/>
      <c r="AE1045" s="1768"/>
      <c r="AF1045" s="73"/>
      <c r="AG1045" s="1781" t="s">
        <v>668</v>
      </c>
      <c r="AH1045" s="1782"/>
      <c r="AI1045" s="83"/>
      <c r="AJ1045" s="1745">
        <f>ROUND(IF(AND(AG1045="yes",AJ1041=0),(AJ1001*0.1),0),0)</f>
        <v>0</v>
      </c>
      <c r="AK1045" s="1746"/>
      <c r="AL1045" s="1746"/>
      <c r="AM1045" s="1746"/>
      <c r="AN1045" s="1746"/>
      <c r="AO1045" s="1746"/>
      <c r="AP1045" s="1746"/>
      <c r="AQ1045" s="1747"/>
      <c r="AR1045" s="68"/>
      <c r="AS1045" s="68"/>
      <c r="AT1045" s="68"/>
      <c r="AU1045" s="68"/>
      <c r="AV1045" s="68"/>
      <c r="AW1045" s="68"/>
      <c r="AX1045" s="68"/>
      <c r="AY1045" s="68"/>
    </row>
    <row r="1046" spans="1:57" ht="12.95" customHeight="1">
      <c r="A1046" s="14"/>
      <c r="B1046" s="73"/>
      <c r="C1046" s="74"/>
      <c r="D1046" s="1774"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5"/>
      <c r="AF1046" s="73"/>
      <c r="AG1046" s="14"/>
      <c r="AH1046" s="14"/>
      <c r="AI1046" s="83"/>
      <c r="AJ1046" s="1748"/>
      <c r="AK1046" s="1749"/>
      <c r="AL1046" s="1749"/>
      <c r="AM1046" s="1749"/>
      <c r="AN1046" s="1749"/>
      <c r="AO1046" s="1749"/>
      <c r="AP1046" s="1749"/>
      <c r="AQ1046" s="1750"/>
      <c r="AR1046" s="68"/>
      <c r="AS1046" s="68"/>
      <c r="AT1046" s="68"/>
      <c r="AU1046" s="68"/>
      <c r="AV1046" s="68"/>
      <c r="AW1046" s="68"/>
      <c r="AX1046" s="68"/>
      <c r="AY1046" s="68"/>
    </row>
    <row r="1047" spans="1:57" ht="12.95" customHeight="1">
      <c r="A1047" s="14"/>
      <c r="B1047" s="73"/>
      <c r="C1047" s="74"/>
      <c r="D1047" s="1774"/>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5"/>
      <c r="AF1047" s="73"/>
      <c r="AG1047" s="14"/>
      <c r="AH1047" s="14"/>
      <c r="AI1047" s="83"/>
      <c r="AJ1047" s="1748"/>
      <c r="AK1047" s="1749"/>
      <c r="AL1047" s="1749"/>
      <c r="AM1047" s="1749"/>
      <c r="AN1047" s="1749"/>
      <c r="AO1047" s="1749"/>
      <c r="AP1047" s="1749"/>
      <c r="AQ1047" s="1750"/>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774"/>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5"/>
      <c r="AF1048" s="73"/>
      <c r="AG1048" s="14"/>
      <c r="AH1048" s="14"/>
      <c r="AI1048" s="83"/>
      <c r="AJ1048" s="1748"/>
      <c r="AK1048" s="1749"/>
      <c r="AL1048" s="1749"/>
      <c r="AM1048" s="1749"/>
      <c r="AN1048" s="1749"/>
      <c r="AO1048" s="1749"/>
      <c r="AP1048" s="1749"/>
      <c r="AQ1048" s="1750"/>
      <c r="AR1048" s="68"/>
      <c r="AS1048" s="68"/>
      <c r="AT1048" s="68"/>
      <c r="AU1048" s="68"/>
      <c r="AV1048" s="68"/>
      <c r="AW1048" s="68"/>
      <c r="AX1048" s="68"/>
      <c r="AY1048" s="68"/>
      <c r="BA1048">
        <f>IFERROR((($CI$761+$CM$761)/$AG$449),0)</f>
        <v>0.6428571428571429</v>
      </c>
      <c r="BB1048" s="3" t="s">
        <v>2424</v>
      </c>
    </row>
    <row r="1049" spans="1:57" ht="12.95" customHeight="1">
      <c r="A1049" s="14"/>
      <c r="B1049" s="73"/>
      <c r="C1049" s="74"/>
      <c r="D1049" s="1776"/>
      <c r="E1049" s="1777"/>
      <c r="F1049" s="1777"/>
      <c r="G1049" s="1777"/>
      <c r="H1049" s="1777"/>
      <c r="I1049" s="1777"/>
      <c r="J1049" s="1777"/>
      <c r="K1049" s="1777"/>
      <c r="L1049" s="1777"/>
      <c r="M1049" s="1777"/>
      <c r="N1049" s="1777"/>
      <c r="O1049" s="1777"/>
      <c r="P1049" s="1777"/>
      <c r="Q1049" s="1777"/>
      <c r="R1049" s="1777"/>
      <c r="S1049" s="1777"/>
      <c r="T1049" s="1777"/>
      <c r="U1049" s="1777"/>
      <c r="V1049" s="1777"/>
      <c r="W1049" s="1777"/>
      <c r="X1049" s="1777"/>
      <c r="Y1049" s="1777"/>
      <c r="Z1049" s="1777"/>
      <c r="AA1049" s="1777"/>
      <c r="AB1049" s="1777"/>
      <c r="AC1049" s="1777"/>
      <c r="AD1049" s="1777"/>
      <c r="AE1049" s="1778"/>
      <c r="AF1049" s="73"/>
      <c r="AG1049" s="14"/>
      <c r="AH1049" s="14"/>
      <c r="AI1049" s="83"/>
      <c r="AJ1049" s="1748"/>
      <c r="AK1049" s="1749"/>
      <c r="AL1049" s="1749"/>
      <c r="AM1049" s="1749"/>
      <c r="AN1049" s="1749"/>
      <c r="AO1049" s="1749"/>
      <c r="AP1049" s="1749"/>
      <c r="AQ1049" s="1750"/>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727" t="s">
        <v>1295</v>
      </c>
      <c r="E1050" s="1728"/>
      <c r="F1050" s="1728"/>
      <c r="G1050" s="1728"/>
      <c r="H1050" s="1728"/>
      <c r="I1050" s="1728"/>
      <c r="J1050" s="1728"/>
      <c r="K1050" s="1728"/>
      <c r="L1050" s="1728"/>
      <c r="M1050" s="1728"/>
      <c r="N1050" s="1728"/>
      <c r="O1050" s="1728"/>
      <c r="P1050" s="1728"/>
      <c r="Q1050" s="1728"/>
      <c r="R1050" s="1728"/>
      <c r="S1050" s="1728"/>
      <c r="T1050" s="1728"/>
      <c r="U1050" s="1728"/>
      <c r="V1050" s="1728"/>
      <c r="W1050" s="1728"/>
      <c r="X1050" s="1728"/>
      <c r="Y1050" s="1728"/>
      <c r="Z1050" s="1728"/>
      <c r="AA1050" s="1728"/>
      <c r="AB1050" s="1728"/>
      <c r="AC1050" s="1728"/>
      <c r="AD1050" s="1728"/>
      <c r="AE1050" s="1729"/>
      <c r="AF1050" s="79"/>
      <c r="AG1050" s="1772" t="s">
        <v>668</v>
      </c>
      <c r="AH1050" s="1773"/>
      <c r="AI1050" s="87"/>
      <c r="AJ1050" s="1745">
        <f>ROUND(IF(AG1050="yes",(AJ1001*0.1),0),0)</f>
        <v>0</v>
      </c>
      <c r="AK1050" s="1746"/>
      <c r="AL1050" s="1746"/>
      <c r="AM1050" s="1746"/>
      <c r="AN1050" s="1746"/>
      <c r="AO1050" s="1746"/>
      <c r="AP1050" s="1746"/>
      <c r="AQ1050" s="1747"/>
      <c r="AR1050" s="68"/>
      <c r="AS1050" s="68"/>
      <c r="AT1050" s="68"/>
      <c r="AU1050" s="68"/>
      <c r="AV1050" s="68"/>
      <c r="AW1050" s="68"/>
      <c r="AX1050" s="68"/>
      <c r="AY1050" s="68"/>
      <c r="BA1050">
        <f>Q212</f>
        <v>0</v>
      </c>
      <c r="BB1050" s="3" t="s">
        <v>2422</v>
      </c>
    </row>
    <row r="1051" spans="1:57" ht="12.95" customHeight="1">
      <c r="A1051" s="14"/>
      <c r="B1051" s="73"/>
      <c r="C1051" s="74"/>
      <c r="D1051" s="1751" t="s">
        <v>2099</v>
      </c>
      <c r="E1051" s="1752"/>
      <c r="F1051" s="1752"/>
      <c r="G1051" s="1752"/>
      <c r="H1051" s="1752"/>
      <c r="I1051" s="1752"/>
      <c r="J1051" s="1752"/>
      <c r="K1051" s="1752"/>
      <c r="L1051" s="1752"/>
      <c r="M1051" s="1752"/>
      <c r="N1051" s="1752"/>
      <c r="O1051" s="1752"/>
      <c r="P1051" s="1752"/>
      <c r="Q1051" s="1752"/>
      <c r="R1051" s="1752"/>
      <c r="S1051" s="1752"/>
      <c r="T1051" s="1752"/>
      <c r="U1051" s="1752"/>
      <c r="V1051" s="1752"/>
      <c r="W1051" s="1752"/>
      <c r="X1051" s="1752"/>
      <c r="Y1051" s="1752"/>
      <c r="Z1051" s="1752"/>
      <c r="AA1051" s="1752"/>
      <c r="AB1051" s="1752"/>
      <c r="AC1051" s="1752"/>
      <c r="AD1051" s="1752"/>
      <c r="AE1051" s="1753"/>
      <c r="AF1051" s="73"/>
      <c r="AG1051" s="14"/>
      <c r="AH1051" s="14"/>
      <c r="AI1051" s="83"/>
      <c r="AJ1051" s="1748"/>
      <c r="AK1051" s="1749"/>
      <c r="AL1051" s="1749"/>
      <c r="AM1051" s="1749"/>
      <c r="AN1051" s="1749"/>
      <c r="AO1051" s="1749"/>
      <c r="AP1051" s="1749"/>
      <c r="AQ1051" s="1750"/>
      <c r="AR1051" s="68"/>
      <c r="AS1051" s="68"/>
      <c r="AT1051" s="68"/>
      <c r="AU1051" s="68"/>
      <c r="AV1051" s="68"/>
      <c r="AW1051" s="68"/>
      <c r="AX1051" s="68"/>
      <c r="AY1051" s="68"/>
      <c r="BA1051" s="1177">
        <f>T212</f>
        <v>0</v>
      </c>
      <c r="BB1051" s="3" t="s">
        <v>2423</v>
      </c>
    </row>
    <row r="1052" spans="1:57" ht="12.95" customHeight="1">
      <c r="A1052" s="14"/>
      <c r="B1052" s="73"/>
      <c r="C1052" s="74"/>
      <c r="D1052" s="1751"/>
      <c r="E1052" s="1752"/>
      <c r="F1052" s="1752"/>
      <c r="G1052" s="1752"/>
      <c r="H1052" s="1752"/>
      <c r="I1052" s="1752"/>
      <c r="J1052" s="1752"/>
      <c r="K1052" s="1752"/>
      <c r="L1052" s="1752"/>
      <c r="M1052" s="1752"/>
      <c r="N1052" s="1752"/>
      <c r="O1052" s="1752"/>
      <c r="P1052" s="1752"/>
      <c r="Q1052" s="1752"/>
      <c r="R1052" s="1752"/>
      <c r="S1052" s="1752"/>
      <c r="T1052" s="1752"/>
      <c r="U1052" s="1752"/>
      <c r="V1052" s="1752"/>
      <c r="W1052" s="1752"/>
      <c r="X1052" s="1752"/>
      <c r="Y1052" s="1752"/>
      <c r="Z1052" s="1752"/>
      <c r="AA1052" s="1752"/>
      <c r="AB1052" s="1752"/>
      <c r="AC1052" s="1752"/>
      <c r="AD1052" s="1752"/>
      <c r="AE1052" s="1753"/>
      <c r="AF1052" s="73"/>
      <c r="AG1052" s="14"/>
      <c r="AH1052" s="14"/>
      <c r="AI1052" s="83"/>
      <c r="AJ1052" s="1748"/>
      <c r="AK1052" s="1749"/>
      <c r="AL1052" s="1749"/>
      <c r="AM1052" s="1749"/>
      <c r="AN1052" s="1749"/>
      <c r="AO1052" s="1749"/>
      <c r="AP1052" s="1749"/>
      <c r="AQ1052" s="1750"/>
      <c r="AR1052" s="68"/>
      <c r="AS1052" s="68"/>
      <c r="AT1052" s="68"/>
      <c r="AU1052" s="68"/>
      <c r="AV1052" s="68"/>
      <c r="AW1052" s="68"/>
      <c r="AX1052" s="68"/>
      <c r="AY1052" s="68"/>
    </row>
    <row r="1053" spans="1:57" ht="12.95" customHeight="1">
      <c r="A1053" s="14"/>
      <c r="B1053" s="73"/>
      <c r="C1053" s="74"/>
      <c r="D1053" s="1754"/>
      <c r="E1053" s="1755"/>
      <c r="F1053" s="1755"/>
      <c r="G1053" s="1755"/>
      <c r="H1053" s="1755"/>
      <c r="I1053" s="1755"/>
      <c r="J1053" s="1755"/>
      <c r="K1053" s="1755"/>
      <c r="L1053" s="1755"/>
      <c r="M1053" s="1755"/>
      <c r="N1053" s="1755"/>
      <c r="O1053" s="1755"/>
      <c r="P1053" s="1755"/>
      <c r="Q1053" s="1755"/>
      <c r="R1053" s="1755"/>
      <c r="S1053" s="1755"/>
      <c r="T1053" s="1755"/>
      <c r="U1053" s="1755"/>
      <c r="V1053" s="1755"/>
      <c r="W1053" s="1755"/>
      <c r="X1053" s="1755"/>
      <c r="Y1053" s="1755"/>
      <c r="Z1053" s="1755"/>
      <c r="AA1053" s="1755"/>
      <c r="AB1053" s="1755"/>
      <c r="AC1053" s="1755"/>
      <c r="AD1053" s="1755"/>
      <c r="AE1053" s="1756"/>
      <c r="AF1053" s="73"/>
      <c r="AG1053" s="14"/>
      <c r="AH1053" s="14"/>
      <c r="AI1053" s="83"/>
      <c r="AJ1053" s="1757"/>
      <c r="AK1053" s="1758"/>
      <c r="AL1053" s="1758"/>
      <c r="AM1053" s="1758"/>
      <c r="AN1053" s="1758"/>
      <c r="AO1053" s="1758"/>
      <c r="AP1053" s="1758"/>
      <c r="AQ1053" s="1759"/>
      <c r="AR1053" s="68"/>
      <c r="AS1053" s="68"/>
      <c r="AT1053" s="68"/>
      <c r="AU1053" s="68"/>
      <c r="AV1053" s="68"/>
      <c r="AW1053" s="68"/>
      <c r="AX1053" s="68"/>
      <c r="AY1053" s="68"/>
    </row>
    <row r="1054" spans="1:57" ht="12.95" customHeight="1">
      <c r="A1054" s="14"/>
      <c r="B1054" s="79"/>
      <c r="C1054" s="131" t="s">
        <v>1672</v>
      </c>
      <c r="D1054" s="1766" t="s">
        <v>1838</v>
      </c>
      <c r="E1054" s="1767"/>
      <c r="F1054" s="1767"/>
      <c r="G1054" s="1767"/>
      <c r="H1054" s="1767"/>
      <c r="I1054" s="1767"/>
      <c r="J1054" s="1767"/>
      <c r="K1054" s="1767"/>
      <c r="L1054" s="1767"/>
      <c r="M1054" s="1767"/>
      <c r="N1054" s="1767"/>
      <c r="O1054" s="1767"/>
      <c r="P1054" s="1767"/>
      <c r="Q1054" s="1767"/>
      <c r="R1054" s="1767"/>
      <c r="S1054" s="1767"/>
      <c r="T1054" s="1767"/>
      <c r="U1054" s="1767"/>
      <c r="V1054" s="1767"/>
      <c r="W1054" s="1767"/>
      <c r="X1054" s="1767"/>
      <c r="Y1054" s="1767"/>
      <c r="Z1054" s="1767"/>
      <c r="AA1054" s="1767"/>
      <c r="AB1054" s="1767"/>
      <c r="AC1054" s="1767"/>
      <c r="AD1054" s="1767"/>
      <c r="AE1054" s="1768"/>
      <c r="AF1054" s="79"/>
      <c r="AG1054" s="1779" t="str">
        <f>IF(X1057&gt;0,"Yes","No")</f>
        <v>Yes</v>
      </c>
      <c r="AH1054" s="1780"/>
      <c r="AI1054" s="87"/>
      <c r="AJ1054" s="1745">
        <f>IF((X1057=0),0,AY1014*AJ1001)</f>
        <v>3690640.8</v>
      </c>
      <c r="AK1054" s="1746"/>
      <c r="AL1054" s="1746"/>
      <c r="AM1054" s="1746"/>
      <c r="AN1054" s="1746"/>
      <c r="AO1054" s="1746"/>
      <c r="AP1054" s="1746"/>
      <c r="AQ1054" s="174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5" customHeight="1">
      <c r="A1055" s="14"/>
      <c r="B1055" s="73"/>
      <c r="C1055" s="442"/>
      <c r="D1055" s="1751" t="s">
        <v>1297</v>
      </c>
      <c r="E1055" s="1752"/>
      <c r="F1055" s="1752"/>
      <c r="G1055" s="1752"/>
      <c r="H1055" s="1752"/>
      <c r="I1055" s="1752"/>
      <c r="J1055" s="1752"/>
      <c r="K1055" s="1752"/>
      <c r="L1055" s="1752"/>
      <c r="M1055" s="1752"/>
      <c r="N1055" s="1752"/>
      <c r="O1055" s="1752"/>
      <c r="P1055" s="1752"/>
      <c r="Q1055" s="1752"/>
      <c r="R1055" s="1752"/>
      <c r="S1055" s="1752"/>
      <c r="T1055" s="1752"/>
      <c r="U1055" s="1752"/>
      <c r="V1055" s="1752"/>
      <c r="W1055" s="1752"/>
      <c r="X1055" s="1752"/>
      <c r="Y1055" s="1752"/>
      <c r="Z1055" s="1752"/>
      <c r="AA1055" s="1752"/>
      <c r="AB1055" s="1752"/>
      <c r="AC1055" s="1752"/>
      <c r="AD1055" s="1752"/>
      <c r="AE1055" s="1753"/>
      <c r="AF1055" s="73"/>
      <c r="AG1055" s="443"/>
      <c r="AH1055" s="443"/>
      <c r="AI1055" s="83"/>
      <c r="AJ1055" s="1748"/>
      <c r="AK1055" s="1749"/>
      <c r="AL1055" s="1749"/>
      <c r="AM1055" s="1749"/>
      <c r="AN1055" s="1749"/>
      <c r="AO1055" s="1749"/>
      <c r="AP1055" s="1749"/>
      <c r="AQ1055" s="1750"/>
      <c r="AR1055" s="68"/>
      <c r="AS1055" s="68"/>
      <c r="AT1055" s="68"/>
      <c r="AU1055" s="13"/>
      <c r="AV1055" s="68"/>
      <c r="AW1055" s="68"/>
      <c r="AX1055" s="68"/>
      <c r="AY1055" s="68"/>
      <c r="AZ1055" s="958">
        <f>'Sources and Uses Budget'!S97*BA1055</f>
        <v>3047304.15</v>
      </c>
      <c r="BA1055" s="1175">
        <f>IF(BA1049,20%,15%)</f>
        <v>0.15</v>
      </c>
      <c r="BB1055" s="3" t="s">
        <v>2410</v>
      </c>
      <c r="BC1055" s="3" t="s">
        <v>2411</v>
      </c>
      <c r="BD1055" s="3"/>
    </row>
    <row r="1056" spans="1:57" ht="12.95" customHeight="1">
      <c r="A1056" s="14"/>
      <c r="B1056" s="73"/>
      <c r="C1056" s="442"/>
      <c r="D1056" s="1751"/>
      <c r="E1056" s="1752"/>
      <c r="F1056" s="1752"/>
      <c r="G1056" s="1752"/>
      <c r="H1056" s="1752"/>
      <c r="I1056" s="1752"/>
      <c r="J1056" s="1752"/>
      <c r="K1056" s="1752"/>
      <c r="L1056" s="1752"/>
      <c r="M1056" s="1752"/>
      <c r="N1056" s="1752"/>
      <c r="O1056" s="1752"/>
      <c r="P1056" s="1752"/>
      <c r="Q1056" s="1752"/>
      <c r="R1056" s="1752"/>
      <c r="S1056" s="1752"/>
      <c r="T1056" s="1752"/>
      <c r="U1056" s="1752"/>
      <c r="V1056" s="1752"/>
      <c r="W1056" s="1752"/>
      <c r="X1056" s="1752"/>
      <c r="Y1056" s="1752"/>
      <c r="Z1056" s="1752"/>
      <c r="AA1056" s="1752"/>
      <c r="AB1056" s="1752"/>
      <c r="AC1056" s="1752"/>
      <c r="AD1056" s="1752"/>
      <c r="AE1056" s="1753"/>
      <c r="AF1056" s="73"/>
      <c r="AG1056" s="443"/>
      <c r="AH1056" s="443"/>
      <c r="AI1056" s="83"/>
      <c r="AJ1056" s="1748"/>
      <c r="AK1056" s="1749"/>
      <c r="AL1056" s="1749"/>
      <c r="AM1056" s="1749"/>
      <c r="AN1056" s="1749"/>
      <c r="AO1056" s="1749"/>
      <c r="AP1056" s="1749"/>
      <c r="AQ1056" s="1750"/>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808">
        <f>AY1012</f>
        <v>28</v>
      </c>
      <c r="J1057" s="1809"/>
      <c r="K1057" s="7"/>
      <c r="L1057" s="133"/>
      <c r="M1057" s="133"/>
      <c r="N1057" s="133"/>
      <c r="O1057" s="133"/>
      <c r="P1057" s="133"/>
      <c r="Q1057" s="133"/>
      <c r="R1057" s="133"/>
      <c r="S1057" s="133"/>
      <c r="T1057" s="133"/>
      <c r="U1057" s="133"/>
      <c r="V1057" s="134" t="s">
        <v>972</v>
      </c>
      <c r="W1057" s="48"/>
      <c r="X1057" s="1806">
        <f>CI761</f>
        <v>6</v>
      </c>
      <c r="Y1057" s="1807"/>
      <c r="Z1057" s="48"/>
      <c r="AA1057" s="48"/>
      <c r="AB1057" s="48"/>
      <c r="AC1057" s="48"/>
      <c r="AD1057" s="48"/>
      <c r="AE1057" s="49"/>
      <c r="AF1057" s="920"/>
      <c r="AG1057" s="921"/>
      <c r="AH1057" s="921"/>
      <c r="AI1057" s="922"/>
      <c r="AJ1057" s="1757"/>
      <c r="AK1057" s="1758"/>
      <c r="AL1057" s="1758"/>
      <c r="AM1057" s="1758"/>
      <c r="AN1057" s="1758"/>
      <c r="AO1057" s="1758"/>
      <c r="AP1057" s="1758"/>
      <c r="AQ1057" s="1759"/>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2.95" customHeight="1">
      <c r="A1058" s="14"/>
      <c r="B1058" s="79"/>
      <c r="C1058" s="131" t="s">
        <v>1673</v>
      </c>
      <c r="D1058" s="1727" t="s">
        <v>2125</v>
      </c>
      <c r="E1058" s="1728"/>
      <c r="F1058" s="1728"/>
      <c r="G1058" s="1728"/>
      <c r="H1058" s="1728"/>
      <c r="I1058" s="1728"/>
      <c r="J1058" s="1728"/>
      <c r="K1058" s="1728"/>
      <c r="L1058" s="1728"/>
      <c r="M1058" s="1728"/>
      <c r="N1058" s="1728"/>
      <c r="O1058" s="1728"/>
      <c r="P1058" s="1728"/>
      <c r="Q1058" s="1728"/>
      <c r="R1058" s="1728"/>
      <c r="S1058" s="1728"/>
      <c r="T1058" s="1728"/>
      <c r="U1058" s="1728"/>
      <c r="V1058" s="1728"/>
      <c r="W1058" s="1728"/>
      <c r="X1058" s="1728"/>
      <c r="Y1058" s="1728"/>
      <c r="Z1058" s="1728"/>
      <c r="AA1058" s="1728"/>
      <c r="AB1058" s="1728"/>
      <c r="AC1058" s="1728"/>
      <c r="AD1058" s="1728"/>
      <c r="AE1058" s="1729"/>
      <c r="AF1058" s="73"/>
      <c r="AG1058" s="1779" t="str">
        <f>IF(X1061&gt;0,"Yes","No")</f>
        <v>Yes</v>
      </c>
      <c r="AH1058" s="1780"/>
      <c r="AI1058" s="83"/>
      <c r="AJ1058" s="1745">
        <f>IF((X1061=0),0,(2*AY1015)*AJ1001)</f>
        <v>14762563.199999999</v>
      </c>
      <c r="AK1058" s="1746"/>
      <c r="AL1058" s="1746"/>
      <c r="AM1058" s="1746"/>
      <c r="AN1058" s="1746"/>
      <c r="AO1058" s="1746"/>
      <c r="AP1058" s="1746"/>
      <c r="AQ1058" s="1747"/>
      <c r="AR1058" s="68"/>
      <c r="AS1058" s="68"/>
      <c r="AT1058" s="68"/>
      <c r="AU1058" s="14"/>
      <c r="AV1058" s="68"/>
      <c r="AW1058" s="68"/>
      <c r="AX1058" s="68"/>
      <c r="AY1058" s="68"/>
      <c r="AZ1058" s="958">
        <f>AZ1054*BA1058</f>
        <v>0</v>
      </c>
      <c r="BA1058" s="1175">
        <v>0.15</v>
      </c>
      <c r="BB1058" s="3" t="s">
        <v>2410</v>
      </c>
      <c r="BC1058" s="3" t="s">
        <v>2414</v>
      </c>
      <c r="BD1058" s="3"/>
    </row>
    <row r="1059" spans="1:56" ht="12.95" customHeight="1">
      <c r="A1059" s="14"/>
      <c r="B1059" s="73"/>
      <c r="C1059" s="442"/>
      <c r="D1059" s="1751" t="s">
        <v>1296</v>
      </c>
      <c r="E1059" s="1752"/>
      <c r="F1059" s="1752"/>
      <c r="G1059" s="1752"/>
      <c r="H1059" s="1752"/>
      <c r="I1059" s="1752"/>
      <c r="J1059" s="1752"/>
      <c r="K1059" s="1752"/>
      <c r="L1059" s="1752"/>
      <c r="M1059" s="1752"/>
      <c r="N1059" s="1752"/>
      <c r="O1059" s="1752"/>
      <c r="P1059" s="1752"/>
      <c r="Q1059" s="1752"/>
      <c r="R1059" s="1752"/>
      <c r="S1059" s="1752"/>
      <c r="T1059" s="1752"/>
      <c r="U1059" s="1752"/>
      <c r="V1059" s="1752"/>
      <c r="W1059" s="1752"/>
      <c r="X1059" s="1752"/>
      <c r="Y1059" s="1752"/>
      <c r="Z1059" s="1752"/>
      <c r="AA1059" s="1752"/>
      <c r="AB1059" s="1752"/>
      <c r="AC1059" s="1752"/>
      <c r="AD1059" s="1752"/>
      <c r="AE1059" s="1753"/>
      <c r="AF1059" s="73"/>
      <c r="AG1059" s="443"/>
      <c r="AH1059" s="443"/>
      <c r="AI1059" s="83"/>
      <c r="AJ1059" s="1748"/>
      <c r="AK1059" s="1749"/>
      <c r="AL1059" s="1749"/>
      <c r="AM1059" s="1749"/>
      <c r="AN1059" s="1749"/>
      <c r="AO1059" s="1749"/>
      <c r="AP1059" s="1749"/>
      <c r="AQ1059" s="1750"/>
      <c r="AR1059" s="68"/>
      <c r="AS1059" s="68"/>
      <c r="AT1059" s="68"/>
      <c r="AU1059" s="68"/>
      <c r="AV1059" s="68"/>
      <c r="AW1059" s="68"/>
      <c r="AX1059" s="68"/>
      <c r="AY1059" s="68"/>
      <c r="AZ1059" s="958"/>
      <c r="BA1059" s="3"/>
      <c r="BB1059" s="3"/>
      <c r="BC1059" s="3"/>
      <c r="BD1059" s="3"/>
    </row>
    <row r="1060" spans="1:56" ht="12.95" customHeight="1">
      <c r="A1060" s="14"/>
      <c r="B1060" s="73"/>
      <c r="C1060" s="83"/>
      <c r="D1060" s="1751"/>
      <c r="E1060" s="1752"/>
      <c r="F1060" s="1752"/>
      <c r="G1060" s="1752"/>
      <c r="H1060" s="1752"/>
      <c r="I1060" s="1752"/>
      <c r="J1060" s="1752"/>
      <c r="K1060" s="1752"/>
      <c r="L1060" s="1752"/>
      <c r="M1060" s="1752"/>
      <c r="N1060" s="1752"/>
      <c r="O1060" s="1752"/>
      <c r="P1060" s="1752"/>
      <c r="Q1060" s="1752"/>
      <c r="R1060" s="1752"/>
      <c r="S1060" s="1752"/>
      <c r="T1060" s="1752"/>
      <c r="U1060" s="1752"/>
      <c r="V1060" s="1752"/>
      <c r="W1060" s="1752"/>
      <c r="X1060" s="1752"/>
      <c r="Y1060" s="1752"/>
      <c r="Z1060" s="1752"/>
      <c r="AA1060" s="1752"/>
      <c r="AB1060" s="1752"/>
      <c r="AC1060" s="1752"/>
      <c r="AD1060" s="1752"/>
      <c r="AE1060" s="1753"/>
      <c r="AF1060" s="917"/>
      <c r="AG1060" s="918"/>
      <c r="AH1060" s="918"/>
      <c r="AI1060" s="919"/>
      <c r="AJ1060" s="1748"/>
      <c r="AK1060" s="1749"/>
      <c r="AL1060" s="1749"/>
      <c r="AM1060" s="1749"/>
      <c r="AN1060" s="1749"/>
      <c r="AO1060" s="1749"/>
      <c r="AP1060" s="1749"/>
      <c r="AQ1060" s="1750"/>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08">
        <f>AY1012</f>
        <v>28</v>
      </c>
      <c r="J1061" s="1809"/>
      <c r="K1061" s="14"/>
      <c r="L1061" s="133"/>
      <c r="M1061" s="133"/>
      <c r="N1061" s="133"/>
      <c r="O1061" s="133"/>
      <c r="P1061" s="133"/>
      <c r="Q1061" s="133"/>
      <c r="R1061" s="133"/>
      <c r="S1061" s="133"/>
      <c r="T1061" s="133"/>
      <c r="U1061" s="133"/>
      <c r="V1061" s="134" t="s">
        <v>973</v>
      </c>
      <c r="X1061" s="1806">
        <f>CM761</f>
        <v>12</v>
      </c>
      <c r="Y1061" s="1807"/>
      <c r="AF1061" s="920"/>
      <c r="AG1061" s="921"/>
      <c r="AH1061" s="921"/>
      <c r="AI1061" s="922"/>
      <c r="AJ1061" s="1757"/>
      <c r="AK1061" s="1758"/>
      <c r="AL1061" s="1758"/>
      <c r="AM1061" s="1758"/>
      <c r="AN1061" s="1758"/>
      <c r="AO1061" s="1758"/>
      <c r="AP1061" s="1758"/>
      <c r="AQ1061" s="1759"/>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804" t="s">
        <v>512</v>
      </c>
      <c r="E1062" s="1804"/>
      <c r="F1062" s="1804"/>
      <c r="G1062" s="1804"/>
      <c r="H1062" s="1804"/>
      <c r="I1062" s="1804"/>
      <c r="J1062" s="1804"/>
      <c r="K1062" s="1804"/>
      <c r="L1062" s="1804"/>
      <c r="M1062" s="1804"/>
      <c r="N1062" s="1804"/>
      <c r="O1062" s="1804"/>
      <c r="P1062" s="1804"/>
      <c r="Q1062" s="1804"/>
      <c r="R1062" s="1804"/>
      <c r="S1062" s="1804"/>
      <c r="T1062" s="1804"/>
      <c r="U1062" s="1804"/>
      <c r="V1062" s="1804"/>
      <c r="W1062" s="1804"/>
      <c r="X1062" s="1804"/>
      <c r="Y1062" s="1804"/>
      <c r="Z1062" s="1804"/>
      <c r="AA1062" s="1804"/>
      <c r="AB1062" s="1804"/>
      <c r="AC1062" s="1804"/>
      <c r="AD1062" s="1804"/>
      <c r="AE1062" s="1804"/>
      <c r="AF1062" s="1804"/>
      <c r="AG1062" s="1804"/>
      <c r="AH1062" s="1804"/>
      <c r="AI1062" s="1805"/>
      <c r="AJ1062" s="1820">
        <f>SUM(AJ1001:AQ1061)</f>
        <v>36628440</v>
      </c>
      <c r="AK1062" s="1821"/>
      <c r="AL1062" s="1821"/>
      <c r="AM1062" s="1821"/>
      <c r="AN1062" s="1821"/>
      <c r="AO1062" s="1821"/>
      <c r="AP1062" s="1821"/>
      <c r="AQ1062" s="1822"/>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23362665</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3047304.15</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1.2552992984520257</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3047304</v>
      </c>
      <c r="BB1067" s="3" t="s">
        <v>2425</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547304</v>
      </c>
      <c r="BB1068" s="3" t="s">
        <v>2426</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30" t="s">
        <v>793</v>
      </c>
      <c r="B1070" s="1830"/>
      <c r="C1070" s="1830"/>
      <c r="D1070" s="1830"/>
      <c r="E1070" s="1830"/>
      <c r="F1070" s="1830"/>
      <c r="G1070" s="1830"/>
      <c r="H1070" s="1830"/>
      <c r="I1070" s="1830"/>
      <c r="J1070" s="1830"/>
      <c r="K1070" s="1830"/>
      <c r="L1070" s="1830"/>
      <c r="M1070" s="1830"/>
      <c r="N1070" s="1830"/>
      <c r="O1070" s="1830"/>
      <c r="P1070" s="1830"/>
      <c r="Q1070" s="1830"/>
      <c r="R1070" s="1830"/>
      <c r="S1070" s="1830"/>
      <c r="T1070" s="1830"/>
      <c r="U1070" s="1830"/>
      <c r="V1070" s="1830"/>
      <c r="W1070" s="1830"/>
      <c r="X1070" s="1830"/>
      <c r="Y1070" s="1830"/>
      <c r="Z1070" s="1830"/>
      <c r="AA1070" s="1830"/>
      <c r="AB1070" s="1830"/>
      <c r="AC1070" s="1830"/>
      <c r="AD1070" s="1830"/>
      <c r="AE1070" s="1830"/>
      <c r="AF1070" s="1830"/>
      <c r="AG1070" s="1830"/>
      <c r="AH1070" s="1830"/>
      <c r="AI1070" s="1830"/>
      <c r="AJ1070" s="1830"/>
      <c r="AK1070" s="1830"/>
      <c r="AL1070" s="1830"/>
      <c r="AM1070" s="1830"/>
      <c r="AN1070" s="1830"/>
      <c r="AO1070" s="1830"/>
      <c r="AP1070" s="1830"/>
      <c r="AQ1070" s="1830"/>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10" t="s">
        <v>544</v>
      </c>
      <c r="B1074" s="1410"/>
      <c r="C1074" s="1868">
        <v>1</v>
      </c>
      <c r="D1074" s="1868"/>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8"/>
      <c r="D1075" s="186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10" t="s">
        <v>590</v>
      </c>
      <c r="B1076" s="1410"/>
      <c r="C1076" s="1868">
        <v>2</v>
      </c>
      <c r="D1076" s="1868"/>
      <c r="E1076" s="1869" t="s">
        <v>2192</v>
      </c>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c r="AL1076" s="1869"/>
      <c r="AM1076" s="1869"/>
      <c r="AN1076" s="1869"/>
      <c r="AO1076" s="1869"/>
      <c r="AP1076" s="1869"/>
      <c r="AQ1076" s="1869"/>
      <c r="AR1076" s="1869"/>
      <c r="AS1076" s="14"/>
      <c r="AT1076" s="14"/>
      <c r="AV1076" s="68"/>
      <c r="AW1076" s="68"/>
      <c r="AX1076" s="68"/>
      <c r="AY1076" s="68"/>
    </row>
    <row r="1077" spans="1:51" ht="12.95" customHeight="1">
      <c r="A1077" s="198"/>
      <c r="B1077" s="67"/>
      <c r="C1077" s="1868"/>
      <c r="D1077" s="1868"/>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869"/>
      <c r="AM1077" s="1869"/>
      <c r="AN1077" s="1869"/>
      <c r="AO1077" s="1869"/>
      <c r="AP1077" s="1869"/>
      <c r="AQ1077" s="1869"/>
      <c r="AR1077" s="1869"/>
      <c r="AS1077" s="14"/>
      <c r="AT1077" s="14"/>
      <c r="AV1077" s="68"/>
      <c r="AW1077" s="68"/>
      <c r="AX1077" s="68"/>
      <c r="AY1077" s="68"/>
    </row>
    <row r="1078" spans="1:51" ht="12.95" customHeight="1">
      <c r="A1078" s="198"/>
      <c r="B1078" s="67"/>
      <c r="C1078" s="1868"/>
      <c r="D1078" s="186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10" t="s">
        <v>590</v>
      </c>
      <c r="B1079" s="1410"/>
      <c r="C1079" s="1400">
        <v>3</v>
      </c>
      <c r="D1079" s="1400"/>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00"/>
      <c r="D1080" s="1400"/>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00"/>
      <c r="D1081" s="1400"/>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00"/>
      <c r="D1082" s="1400"/>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00"/>
      <c r="D1083" s="140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10" t="s">
        <v>590</v>
      </c>
      <c r="B1084" s="1410"/>
      <c r="C1084" s="1400">
        <v>4</v>
      </c>
      <c r="D1084" s="1400"/>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00"/>
      <c r="D1085" s="1400"/>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00"/>
      <c r="D1086" s="1400"/>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00"/>
      <c r="D1087" s="1400"/>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00"/>
      <c r="D1088" s="1400"/>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00"/>
      <c r="D1089" s="140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10" t="s">
        <v>590</v>
      </c>
      <c r="B1090" s="1410"/>
      <c r="C1090" s="1400">
        <v>5</v>
      </c>
      <c r="D1090" s="1400"/>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00"/>
      <c r="D1091" s="1400"/>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00"/>
      <c r="D1092" s="1400"/>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00"/>
      <c r="D1093" s="140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10" t="s">
        <v>590</v>
      </c>
      <c r="B1094" s="1410"/>
      <c r="C1094" s="1400">
        <v>6</v>
      </c>
      <c r="D1094" s="1400"/>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00"/>
      <c r="D1096" s="1400"/>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00"/>
      <c r="D1097" s="140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10" t="s">
        <v>590</v>
      </c>
      <c r="B1098" s="1410"/>
      <c r="C1098" s="1400">
        <v>7</v>
      </c>
      <c r="D1098" s="1400"/>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00"/>
      <c r="D1099" s="1400"/>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00"/>
      <c r="D1100" s="1400"/>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00"/>
      <c r="D1101" s="140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00"/>
      <c r="D1102" s="140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10" t="s">
        <v>590</v>
      </c>
      <c r="B1103" s="1410"/>
      <c r="C1103" s="1400">
        <v>8</v>
      </c>
      <c r="D1103" s="1400"/>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00"/>
      <c r="D1104" s="1400"/>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00"/>
      <c r="D1105" s="140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10" t="s">
        <v>590</v>
      </c>
      <c r="B1106" s="1410"/>
      <c r="C1106" s="1868">
        <v>9</v>
      </c>
      <c r="D1106" s="1868"/>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8"/>
      <c r="D1107" s="1868"/>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8"/>
      <c r="D1108" s="186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10" t="s">
        <v>590</v>
      </c>
      <c r="B1109" s="1410"/>
      <c r="C1109" s="1868">
        <v>10</v>
      </c>
      <c r="D1109" s="1868"/>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10" t="s">
        <v>590</v>
      </c>
      <c r="B1112" s="1410"/>
      <c r="C1112" s="1868">
        <v>11</v>
      </c>
      <c r="D1112" s="1868"/>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10" t="s">
        <v>590</v>
      </c>
      <c r="B1134" s="1410"/>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H345:R345"/>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M965:S965"/>
    <mergeCell ref="AB966:AK966"/>
    <mergeCell ref="AA979:AG979"/>
    <mergeCell ref="AF1032:AI1033"/>
    <mergeCell ref="M979:S979"/>
    <mergeCell ref="AA980:AG980"/>
    <mergeCell ref="T981:Z981"/>
    <mergeCell ref="M984:S984"/>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AK641:AN641"/>
    <mergeCell ref="G663:L663"/>
    <mergeCell ref="H664:R664"/>
    <mergeCell ref="AC741:AG741"/>
    <mergeCell ref="AG657:AH657"/>
    <mergeCell ref="H696:R696"/>
    <mergeCell ref="AM572:AS572"/>
    <mergeCell ref="AM574:AS574"/>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H540:AK540"/>
    <mergeCell ref="AC530:AF530"/>
    <mergeCell ref="AC548:AF548"/>
    <mergeCell ref="AC516:AF516"/>
    <mergeCell ref="AH545:AK545"/>
    <mergeCell ref="AC542:AF542"/>
    <mergeCell ref="AH550:AK550"/>
    <mergeCell ref="AH515:AK515"/>
    <mergeCell ref="AH534:AK5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AC511:AF511"/>
    <mergeCell ref="AC521:AF521"/>
    <mergeCell ref="Z619:AK619"/>
    <mergeCell ref="AC526:AF526"/>
    <mergeCell ref="AH512:AK512"/>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AK734:AO734"/>
    <mergeCell ref="DJ742:DN742"/>
    <mergeCell ref="CP797:CT797"/>
    <mergeCell ref="CP795:CT795"/>
    <mergeCell ref="DO733:DS733"/>
    <mergeCell ref="AK758:AO758"/>
    <mergeCell ref="CG744:CH744"/>
    <mergeCell ref="CI748:CJ748"/>
    <mergeCell ref="DJ738:DN738"/>
    <mergeCell ref="DJ735:DN735"/>
    <mergeCell ref="DJ734:DN734"/>
    <mergeCell ref="CI733:CJ733"/>
    <mergeCell ref="CZ740:DD740"/>
    <mergeCell ref="DO781:DS781"/>
    <mergeCell ref="DJ759:DN759"/>
    <mergeCell ref="CP785:CT785"/>
    <mergeCell ref="CP781:CT781"/>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DZ729:ED729"/>
    <mergeCell ref="DZ730:ED730"/>
    <mergeCell ref="DU725:DY725"/>
    <mergeCell ref="DU747:DY747"/>
    <mergeCell ref="DZ747:ED747"/>
    <mergeCell ref="EJ725:EN725"/>
    <mergeCell ref="EO740:ES740"/>
    <mergeCell ref="EJ747:EN747"/>
    <mergeCell ref="DJ746:DN746"/>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CP761:CT761"/>
    <mergeCell ref="DO747:DS747"/>
    <mergeCell ref="CZ783:DD783"/>
    <mergeCell ref="CZ784:DD784"/>
    <mergeCell ref="DE784:DI784"/>
    <mergeCell ref="DJ754:DN754"/>
    <mergeCell ref="DE758:DI758"/>
    <mergeCell ref="DO762:DS762"/>
    <mergeCell ref="DE761:DI761"/>
    <mergeCell ref="DO759:DS759"/>
    <mergeCell ref="DO760:DS760"/>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EE747:EI747"/>
    <mergeCell ref="DO761:DS761"/>
    <mergeCell ref="DJ758:DN758"/>
    <mergeCell ref="DO757:DS757"/>
    <mergeCell ref="DE756:DI756"/>
    <mergeCell ref="DJ756:DN756"/>
    <mergeCell ref="DO756:DS756"/>
    <mergeCell ref="EE743:EI743"/>
    <mergeCell ref="EO745:ES745"/>
    <mergeCell ref="EO748:ES748"/>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DZ743:ED743"/>
    <mergeCell ref="ET745:EX745"/>
    <mergeCell ref="EJ761:EN761"/>
    <mergeCell ref="DO748:DS748"/>
    <mergeCell ref="DJ748:DN748"/>
    <mergeCell ref="DE759:DI75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W663:FA663"/>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X653:EB653"/>
    <mergeCell ref="EW649:FA649"/>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M678:EQ678"/>
    <mergeCell ref="EW668:FA668"/>
    <mergeCell ref="DX669:EB669"/>
    <mergeCell ref="ER661:EV661"/>
    <mergeCell ref="ER674:EV674"/>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R677:EV677"/>
    <mergeCell ref="ER676:EV676"/>
    <mergeCell ref="EE733:EI733"/>
    <mergeCell ref="EE734:EI734"/>
    <mergeCell ref="EJ734:EN734"/>
    <mergeCell ref="ER678:EV678"/>
    <mergeCell ref="EM649:EQ649"/>
    <mergeCell ref="ER663:EV663"/>
    <mergeCell ref="EH656:EL656"/>
    <mergeCell ref="EH659:EL65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DX672:EB672"/>
    <mergeCell ref="EJ732:EN732"/>
    <mergeCell ref="DX664:EB664"/>
    <mergeCell ref="EC664:EG664"/>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EW676:FA676"/>
    <mergeCell ref="FE732:FI732"/>
    <mergeCell ref="FE734:FI734"/>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J748:FN748"/>
    <mergeCell ref="FE741:FI741"/>
    <mergeCell ref="DZ742:ED742"/>
    <mergeCell ref="DU734:DY734"/>
    <mergeCell ref="FT757:FX757"/>
    <mergeCell ref="FJ755:FN755"/>
    <mergeCell ref="FO755:FS755"/>
    <mergeCell ref="FT755:FX755"/>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ET740:EX740"/>
    <mergeCell ref="DU738:DY738"/>
    <mergeCell ref="EE736:EI736"/>
    <mergeCell ref="EJ736:EN736"/>
    <mergeCell ref="EO735:ES735"/>
    <mergeCell ref="FY735:GC735"/>
    <mergeCell ref="FE735:FI735"/>
    <mergeCell ref="FJ735:FN735"/>
    <mergeCell ref="FO735:FS735"/>
    <mergeCell ref="FT735:FX735"/>
    <mergeCell ref="FJ734:FN734"/>
    <mergeCell ref="FO734:FS734"/>
    <mergeCell ref="FT734:FX734"/>
    <mergeCell ref="EZ736:FD736"/>
    <mergeCell ref="FE736:FI736"/>
    <mergeCell ref="FJ736:FN736"/>
    <mergeCell ref="FO736:FS736"/>
    <mergeCell ref="FT736:FX736"/>
    <mergeCell ref="FY734:GC734"/>
    <mergeCell ref="DZ740:ED740"/>
    <mergeCell ref="EE740:EI740"/>
    <mergeCell ref="EJ740:EN740"/>
    <mergeCell ref="DU739:DY739"/>
    <mergeCell ref="EO739:ES739"/>
    <mergeCell ref="EZ734:FD734"/>
    <mergeCell ref="EJ737:EN737"/>
    <mergeCell ref="ET737:EX737"/>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D994:Q994"/>
    <mergeCell ref="AB994:AI994"/>
    <mergeCell ref="AH740:AJ740"/>
    <mergeCell ref="G746:J746"/>
    <mergeCell ref="O745:S745"/>
    <mergeCell ref="O746:S746"/>
    <mergeCell ref="T747:W747"/>
    <mergeCell ref="AG764:AJ764"/>
    <mergeCell ref="AK757:AO757"/>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CZ756:DD756"/>
    <mergeCell ref="ET744:EX744"/>
    <mergeCell ref="DZ731:ED731"/>
    <mergeCell ref="EJ742:EN742"/>
    <mergeCell ref="EE741:EI741"/>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EO731:ES731"/>
    <mergeCell ref="CU729:CY729"/>
    <mergeCell ref="CM732:CN732"/>
    <mergeCell ref="CP728:CT728"/>
    <mergeCell ref="CI728:CJ728"/>
    <mergeCell ref="EO729:ES729"/>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AA656:AK656"/>
    <mergeCell ref="AK645:AN645"/>
    <mergeCell ref="DX677:EB677"/>
    <mergeCell ref="EC678:EG678"/>
    <mergeCell ref="DX657:EB657"/>
    <mergeCell ref="DX663:EB663"/>
    <mergeCell ref="AE707:AI707"/>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DO730:DS730"/>
    <mergeCell ref="DO729:DS729"/>
    <mergeCell ref="CI725:CJ725"/>
    <mergeCell ref="AA688:AK688"/>
    <mergeCell ref="CP727:CT727"/>
    <mergeCell ref="EE727:EI727"/>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G726:CH726"/>
    <mergeCell ref="EE730:EI730"/>
    <mergeCell ref="DZ726:ED726"/>
    <mergeCell ref="EE726:EI726"/>
    <mergeCell ref="AC640:AE640"/>
    <mergeCell ref="Z670:AK670"/>
    <mergeCell ref="AK639:AN639"/>
    <mergeCell ref="AK640:AN640"/>
    <mergeCell ref="AF640:AJ640"/>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U734:CY734"/>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J712:X712"/>
    <mergeCell ref="T722:W725"/>
    <mergeCell ref="H672:R672"/>
    <mergeCell ref="G686:R686"/>
    <mergeCell ref="P687:R687"/>
    <mergeCell ref="G611:R611"/>
    <mergeCell ref="AC637:AE637"/>
    <mergeCell ref="M632:P634"/>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C645:L645"/>
    <mergeCell ref="C640:L640"/>
    <mergeCell ref="M640:P640"/>
    <mergeCell ref="Q641:S641"/>
    <mergeCell ref="AF639:AJ639"/>
    <mergeCell ref="Z637:AB637"/>
    <mergeCell ref="AC639:AE639"/>
    <mergeCell ref="AC642:AE642"/>
    <mergeCell ref="G659:R659"/>
    <mergeCell ref="G660:R660"/>
    <mergeCell ref="Q638:S638"/>
    <mergeCell ref="AH509:AK509"/>
    <mergeCell ref="G482:V482"/>
    <mergeCell ref="M569:P569"/>
    <mergeCell ref="C573:L573"/>
    <mergeCell ref="AE570:AH570"/>
    <mergeCell ref="Q570:S570"/>
    <mergeCell ref="G576:R576"/>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Z663:AE663"/>
    <mergeCell ref="AG673:AH673"/>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G745:CH745"/>
    <mergeCell ref="CZ737:DD737"/>
    <mergeCell ref="CZ739:DD739"/>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G733:CH733"/>
    <mergeCell ref="CU738:CY738"/>
    <mergeCell ref="CK736:CL736"/>
    <mergeCell ref="CM736:CN736"/>
    <mergeCell ref="CZ734:DD734"/>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49:CH749"/>
    <mergeCell ref="CU744:CY744"/>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CM728:CN72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X739:AB739"/>
    <mergeCell ref="G736:J736"/>
    <mergeCell ref="AK738:AO738"/>
    <mergeCell ref="AC732:AG732"/>
    <mergeCell ref="AC738:AG738"/>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U948:Z948"/>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AG402:AJ402"/>
    <mergeCell ref="AG400:AJ400"/>
    <mergeCell ref="K413:AJ413"/>
    <mergeCell ref="AC395:AJ395"/>
    <mergeCell ref="K412:AJ412"/>
    <mergeCell ref="P355:AE355"/>
    <mergeCell ref="W477:Y477"/>
    <mergeCell ref="Q500:AK500"/>
    <mergeCell ref="AF427:AH427"/>
    <mergeCell ref="AC465:AF465"/>
    <mergeCell ref="P430:R430"/>
    <mergeCell ref="Q398:U398"/>
    <mergeCell ref="AJ366:AK366"/>
    <mergeCell ref="D453:AF453"/>
    <mergeCell ref="R420:S420"/>
    <mergeCell ref="W473:Y473"/>
    <mergeCell ref="H347:R347"/>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H322:R322"/>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P354:AE354"/>
    <mergeCell ref="R421:S421"/>
    <mergeCell ref="Q438:R438"/>
    <mergeCell ref="S414:AJ414"/>
    <mergeCell ref="AC394:AJ394"/>
    <mergeCell ref="S411:U411"/>
    <mergeCell ref="AE411:AJ411"/>
    <mergeCell ref="AG388:AH388"/>
    <mergeCell ref="S401:U401"/>
    <mergeCell ref="AG399:AJ399"/>
    <mergeCell ref="AA345:AK345"/>
    <mergeCell ref="H344:R344"/>
    <mergeCell ref="H346:R346"/>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Q402:U402"/>
    <mergeCell ref="AG389:AH389"/>
    <mergeCell ref="M364:N364"/>
    <mergeCell ref="T564:V564"/>
    <mergeCell ref="W559:Y56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D455:AF455"/>
    <mergeCell ref="D449:AF449"/>
    <mergeCell ref="W565:Y565"/>
    <mergeCell ref="AC534:AF534"/>
    <mergeCell ref="AE565:AH565"/>
    <mergeCell ref="T570:V570"/>
    <mergeCell ref="AH511:AK511"/>
    <mergeCell ref="AC508:AF508"/>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Z667:AK667"/>
    <mergeCell ref="AH747:AJ747"/>
    <mergeCell ref="AK750:AO750"/>
    <mergeCell ref="CP753:CT753"/>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G452:AJ452"/>
    <mergeCell ref="AG453:AJ453"/>
    <mergeCell ref="AC549:AF549"/>
    <mergeCell ref="AG459:AJ459"/>
    <mergeCell ref="D475:V475"/>
    <mergeCell ref="AG450:AJ450"/>
    <mergeCell ref="AC546:AF546"/>
    <mergeCell ref="Z562:AD562"/>
    <mergeCell ref="AH539:AK539"/>
    <mergeCell ref="AH548:AK548"/>
    <mergeCell ref="AC523:AF523"/>
    <mergeCell ref="D456:AF456"/>
    <mergeCell ref="W474:Y474"/>
    <mergeCell ref="Q493:AK493"/>
    <mergeCell ref="AC533:AF533"/>
    <mergeCell ref="W482:Y482"/>
    <mergeCell ref="D457:AF457"/>
    <mergeCell ref="AG454:AJ454"/>
    <mergeCell ref="D450:AF450"/>
    <mergeCell ref="AG455:AJ455"/>
    <mergeCell ref="W475:Y475"/>
    <mergeCell ref="W478:Y478"/>
    <mergeCell ref="D479:V479"/>
    <mergeCell ref="O540:AA540"/>
    <mergeCell ref="AH513:AK51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K642:AN642"/>
    <mergeCell ref="AK643:AN643"/>
    <mergeCell ref="AM565:AS565"/>
    <mergeCell ref="W638:Y638"/>
    <mergeCell ref="G580:L580"/>
    <mergeCell ref="CM750:CN750"/>
    <mergeCell ref="T562:V562"/>
    <mergeCell ref="AC532:AF532"/>
    <mergeCell ref="AH514:AK514"/>
    <mergeCell ref="AH516:AK516"/>
    <mergeCell ref="CU755:CY755"/>
    <mergeCell ref="CZ755:DD755"/>
    <mergeCell ref="DE755:DI755"/>
    <mergeCell ref="EM671:EQ671"/>
    <mergeCell ref="ER671:EV671"/>
    <mergeCell ref="EW671:FA671"/>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FT754:FX754"/>
    <mergeCell ref="FY754:GC754"/>
    <mergeCell ref="DJ736:DN736"/>
    <mergeCell ref="DE745:DI745"/>
    <mergeCell ref="DE725:DI725"/>
    <mergeCell ref="CU727:CY727"/>
    <mergeCell ref="ET726:EX726"/>
    <mergeCell ref="DU733:DY733"/>
    <mergeCell ref="DZ733:ED733"/>
    <mergeCell ref="DU731:DY731"/>
    <mergeCell ref="EC667:EG667"/>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EM667:EQ667"/>
    <mergeCell ref="ER667:EV667"/>
    <mergeCell ref="EW667:FA667"/>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EZ755:FD755"/>
    <mergeCell ref="FE755:FI755"/>
    <mergeCell ref="CP757:CT75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CU757:CY757"/>
    <mergeCell ref="CZ757:DD757"/>
    <mergeCell ref="DE757:DI757"/>
    <mergeCell ref="DJ757:DN757"/>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4" workbookViewId="0">
      <selection activeCell="S80" sqref="S8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6" t="s">
        <v>620</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Application!B635&amp;Application!C635</f>
        <v>1)County of San Luis Obispo HOME/HOME ARP</v>
      </c>
      <c r="G2" s="139" t="str">
        <f>Application!B636&amp;Application!C636</f>
        <v>2)HCD, Joe Serna Jr. FWHG</v>
      </c>
      <c r="H2" s="139" t="str">
        <f>Application!B637&amp;Application!C637</f>
        <v xml:space="preserve">3)GP Captial - Sponsor People's Self-Help Housing Corp. </v>
      </c>
      <c r="I2" s="139" t="str">
        <f>Application!B638&amp;Application!C638</f>
        <v>4)Deferred Developer Fee</v>
      </c>
      <c r="J2" s="139" t="str">
        <f>Application!B639&amp;Application!C639</f>
        <v>5)Deferred Interest - Serna/HOME/HOME ARP</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1800000</v>
      </c>
      <c r="C4" s="147">
        <v>1800000</v>
      </c>
      <c r="D4" s="147"/>
      <c r="E4" s="147">
        <f>C4-SUM(F4:Q4)</f>
        <v>1800000</v>
      </c>
      <c r="F4" s="147"/>
      <c r="G4" s="147"/>
      <c r="H4" s="147"/>
      <c r="I4" s="147"/>
      <c r="J4" s="147"/>
      <c r="K4" s="147"/>
      <c r="L4" s="147"/>
      <c r="M4" s="147"/>
      <c r="N4" s="147"/>
      <c r="O4" s="147"/>
      <c r="P4" s="147"/>
      <c r="Q4" s="147"/>
      <c r="R4" s="516">
        <f>SUM(E4:Q4)</f>
        <v>1800000</v>
      </c>
      <c r="S4" s="148"/>
      <c r="T4" s="148"/>
      <c r="U4" s="143"/>
    </row>
    <row r="5" spans="1:21" s="144" customFormat="1">
      <c r="A5" s="145" t="s">
        <v>28</v>
      </c>
      <c r="B5" s="146">
        <f>SUM(C5+D5)</f>
        <v>9873</v>
      </c>
      <c r="C5" s="147">
        <v>9873</v>
      </c>
      <c r="D5" s="147"/>
      <c r="E5" s="147">
        <f t="shared" ref="E5:E6" si="0">C5-SUM(F5:Q5)</f>
        <v>9873</v>
      </c>
      <c r="F5" s="147"/>
      <c r="G5" s="147"/>
      <c r="H5" s="147"/>
      <c r="I5" s="147"/>
      <c r="J5" s="147"/>
      <c r="K5" s="147"/>
      <c r="L5" s="147"/>
      <c r="M5" s="147"/>
      <c r="N5" s="147"/>
      <c r="O5" s="147"/>
      <c r="P5" s="147"/>
      <c r="Q5" s="147"/>
      <c r="R5" s="516">
        <f>SUM(E5:Q5)</f>
        <v>9873</v>
      </c>
      <c r="S5" s="148"/>
      <c r="T5" s="148"/>
      <c r="U5" s="143"/>
    </row>
    <row r="6" spans="1:21" s="144" customFormat="1">
      <c r="A6" s="145" t="s">
        <v>29</v>
      </c>
      <c r="B6" s="146">
        <f>SUM(C6+D6)</f>
        <v>7624</v>
      </c>
      <c r="C6" s="147">
        <v>7624</v>
      </c>
      <c r="D6" s="147"/>
      <c r="E6" s="147">
        <f t="shared" si="0"/>
        <v>7624</v>
      </c>
      <c r="F6" s="147"/>
      <c r="G6" s="147"/>
      <c r="H6" s="147"/>
      <c r="I6" s="147"/>
      <c r="J6" s="147"/>
      <c r="K6" s="147"/>
      <c r="L6" s="147"/>
      <c r="M6" s="147"/>
      <c r="N6" s="147"/>
      <c r="O6" s="147"/>
      <c r="P6" s="147"/>
      <c r="Q6" s="147"/>
      <c r="R6" s="516">
        <f>SUM(E6:Q6)</f>
        <v>7624</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1817497</v>
      </c>
      <c r="C8" s="146">
        <f t="shared" ref="C8:Q8" si="1">SUM(C4:C7)</f>
        <v>1817497</v>
      </c>
      <c r="D8" s="146">
        <f t="shared" si="1"/>
        <v>0</v>
      </c>
      <c r="E8" s="146">
        <f t="shared" si="1"/>
        <v>1817497</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1817497</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272448</v>
      </c>
      <c r="C10" s="147">
        <v>272448</v>
      </c>
      <c r="D10" s="147"/>
      <c r="E10" s="147">
        <f>C10-SUM(F10:Q10)</f>
        <v>272448</v>
      </c>
      <c r="F10" s="147"/>
      <c r="G10" s="147"/>
      <c r="H10" s="147"/>
      <c r="I10" s="147"/>
      <c r="J10" s="147"/>
      <c r="K10" s="147"/>
      <c r="L10" s="147"/>
      <c r="M10" s="147"/>
      <c r="N10" s="147"/>
      <c r="O10" s="147"/>
      <c r="P10" s="147"/>
      <c r="Q10" s="147"/>
      <c r="R10" s="516">
        <f>SUM(E10:Q10)</f>
        <v>272448</v>
      </c>
      <c r="S10" s="147">
        <v>272448</v>
      </c>
      <c r="T10" s="147"/>
      <c r="U10" s="143"/>
    </row>
    <row r="11" spans="1:21" s="144" customFormat="1">
      <c r="A11" s="149" t="s">
        <v>595</v>
      </c>
      <c r="B11" s="146">
        <f>SUM(C11:D11)</f>
        <v>272448</v>
      </c>
      <c r="C11" s="146">
        <f t="shared" ref="C11:Q11" si="2">SUM(C9:C10)</f>
        <v>272448</v>
      </c>
      <c r="D11" s="146">
        <f t="shared" si="2"/>
        <v>0</v>
      </c>
      <c r="E11" s="146">
        <f t="shared" si="2"/>
        <v>272448</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272448</v>
      </c>
      <c r="S11" s="148"/>
      <c r="T11" s="150">
        <f>SUM(T9:T10)</f>
        <v>0</v>
      </c>
      <c r="U11" s="143"/>
    </row>
    <row r="12" spans="1:21" s="144" customFormat="1">
      <c r="A12" s="149" t="s">
        <v>84</v>
      </c>
      <c r="B12" s="146">
        <f t="shared" ref="B12:Q12" si="3">SUM(B8+B11)</f>
        <v>2089945</v>
      </c>
      <c r="C12" s="146">
        <f t="shared" si="3"/>
        <v>2089945</v>
      </c>
      <c r="D12" s="146">
        <f t="shared" si="3"/>
        <v>0</v>
      </c>
      <c r="E12" s="146">
        <f t="shared" si="3"/>
        <v>2089945</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2089945</v>
      </c>
      <c r="S12" s="148"/>
      <c r="T12" s="148"/>
      <c r="U12" s="143"/>
    </row>
    <row r="13" spans="1:21" s="144" customFormat="1">
      <c r="A13" s="287" t="s">
        <v>901</v>
      </c>
      <c r="B13" s="146">
        <f>SUM(C13+D13)</f>
        <v>981575</v>
      </c>
      <c r="C13" s="147">
        <f>956575+25000</f>
        <v>981575</v>
      </c>
      <c r="D13" s="147"/>
      <c r="E13" s="147">
        <f>C13-SUM(F13:Q13)</f>
        <v>981575</v>
      </c>
      <c r="F13" s="147"/>
      <c r="G13" s="147"/>
      <c r="H13" s="147"/>
      <c r="I13" s="147"/>
      <c r="J13" s="147"/>
      <c r="K13" s="147"/>
      <c r="L13" s="147"/>
      <c r="M13" s="147"/>
      <c r="N13" s="147"/>
      <c r="O13" s="147"/>
      <c r="P13" s="147"/>
      <c r="Q13" s="147"/>
      <c r="R13" s="516">
        <f>SUM(E13:Q13)</f>
        <v>981575</v>
      </c>
      <c r="S13" s="147">
        <v>956575</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1628</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3"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598</v>
      </c>
      <c r="B30" s="146">
        <f t="shared" si="7"/>
        <v>11579796</v>
      </c>
      <c r="C30" s="147">
        <v>11579796</v>
      </c>
      <c r="D30" s="147"/>
      <c r="E30" s="147">
        <f>C30-SUM(F30:Q30)</f>
        <v>2894666</v>
      </c>
      <c r="F30" s="147">
        <v>1144144</v>
      </c>
      <c r="G30" s="147">
        <v>7540886</v>
      </c>
      <c r="H30" s="147">
        <v>100</v>
      </c>
      <c r="I30" s="147"/>
      <c r="J30" s="147"/>
      <c r="K30" s="147"/>
      <c r="L30" s="147"/>
      <c r="M30" s="147"/>
      <c r="N30" s="147"/>
      <c r="O30" s="147"/>
      <c r="P30" s="147"/>
      <c r="Q30" s="147"/>
      <c r="R30" s="516">
        <f t="shared" si="8"/>
        <v>11579796</v>
      </c>
      <c r="S30" s="147">
        <f>R30</f>
        <v>11579796</v>
      </c>
      <c r="T30" s="147"/>
      <c r="U30" s="143"/>
    </row>
    <row r="31" spans="1:21" s="144" customFormat="1">
      <c r="A31" s="145" t="s">
        <v>599</v>
      </c>
      <c r="B31" s="146">
        <f t="shared" si="7"/>
        <v>890760</v>
      </c>
      <c r="C31" s="147">
        <v>890760</v>
      </c>
      <c r="D31" s="147"/>
      <c r="E31" s="147">
        <f t="shared" ref="E31:E37" si="9">C31-SUM(F31:Q31)</f>
        <v>890760</v>
      </c>
      <c r="F31" s="147"/>
      <c r="G31" s="147"/>
      <c r="H31" s="147"/>
      <c r="I31" s="147"/>
      <c r="J31" s="147"/>
      <c r="K31" s="147"/>
      <c r="L31" s="147"/>
      <c r="M31" s="147"/>
      <c r="N31" s="147"/>
      <c r="O31" s="147"/>
      <c r="P31" s="147"/>
      <c r="Q31" s="147"/>
      <c r="R31" s="516">
        <f t="shared" si="8"/>
        <v>890760</v>
      </c>
      <c r="S31" s="147">
        <f t="shared" ref="S31:S32" si="10">R31</f>
        <v>890760</v>
      </c>
      <c r="T31" s="147"/>
      <c r="U31" s="143"/>
    </row>
    <row r="32" spans="1:21" s="144" customFormat="1">
      <c r="A32" s="145" t="s">
        <v>137</v>
      </c>
      <c r="B32" s="146">
        <f t="shared" si="7"/>
        <v>1014668</v>
      </c>
      <c r="C32" s="147">
        <v>1014668</v>
      </c>
      <c r="D32" s="147"/>
      <c r="E32" s="147">
        <f t="shared" si="9"/>
        <v>1014668</v>
      </c>
      <c r="F32" s="147"/>
      <c r="G32" s="147"/>
      <c r="H32" s="147"/>
      <c r="I32" s="147"/>
      <c r="J32" s="147"/>
      <c r="K32" s="147"/>
      <c r="L32" s="147"/>
      <c r="M32" s="147"/>
      <c r="N32" s="147"/>
      <c r="O32" s="147"/>
      <c r="P32" s="147"/>
      <c r="Q32" s="147"/>
      <c r="R32" s="516">
        <f t="shared" si="8"/>
        <v>1014668</v>
      </c>
      <c r="S32" s="147">
        <f t="shared" si="10"/>
        <v>1014668</v>
      </c>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SUM(C34+D34)</f>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SUM(C35+D35)</f>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1628</v>
      </c>
      <c r="B36" s="146">
        <f t="shared" si="7"/>
        <v>10000</v>
      </c>
      <c r="C36" s="147">
        <v>10000</v>
      </c>
      <c r="D36" s="147"/>
      <c r="E36" s="147">
        <f t="shared" si="9"/>
        <v>10000</v>
      </c>
      <c r="F36" s="147"/>
      <c r="G36" s="147"/>
      <c r="H36" s="147"/>
      <c r="I36" s="147"/>
      <c r="J36" s="147"/>
      <c r="K36" s="147"/>
      <c r="L36" s="147"/>
      <c r="M36" s="147"/>
      <c r="N36" s="147"/>
      <c r="O36" s="147"/>
      <c r="P36" s="147"/>
      <c r="Q36" s="147"/>
      <c r="R36" s="516">
        <f t="shared" si="8"/>
        <v>10000</v>
      </c>
      <c r="S36" s="147">
        <f>R36</f>
        <v>10000</v>
      </c>
      <c r="T36" s="147"/>
      <c r="U36" s="143"/>
    </row>
    <row r="37" spans="1:21" s="144" customFormat="1">
      <c r="A37" s="1143"/>
      <c r="B37" s="146">
        <f t="shared" si="7"/>
        <v>0</v>
      </c>
      <c r="C37" s="147"/>
      <c r="D37" s="147"/>
      <c r="E37" s="147">
        <f t="shared" si="9"/>
        <v>0</v>
      </c>
      <c r="F37" s="147"/>
      <c r="G37" s="147"/>
      <c r="H37" s="147"/>
      <c r="I37" s="147"/>
      <c r="J37" s="147"/>
      <c r="K37" s="147"/>
      <c r="L37" s="147"/>
      <c r="M37" s="147"/>
      <c r="N37" s="147"/>
      <c r="O37" s="147"/>
      <c r="P37" s="147"/>
      <c r="Q37" s="147"/>
      <c r="R37" s="516">
        <f t="shared" si="8"/>
        <v>0</v>
      </c>
      <c r="S37" s="147">
        <f>R37</f>
        <v>0</v>
      </c>
      <c r="T37" s="147"/>
      <c r="U37" s="143"/>
    </row>
    <row r="38" spans="1:21" s="144" customFormat="1">
      <c r="A38" s="149" t="s">
        <v>143</v>
      </c>
      <c r="B38" s="146">
        <f t="shared" si="7"/>
        <v>13495224</v>
      </c>
      <c r="C38" s="146">
        <f>SUM(C29:C37)</f>
        <v>13495224</v>
      </c>
      <c r="D38" s="146">
        <f t="shared" ref="D38:Q38" si="11">SUM(D29:D37)</f>
        <v>0</v>
      </c>
      <c r="E38" s="146">
        <f t="shared" si="11"/>
        <v>4810094</v>
      </c>
      <c r="F38" s="146">
        <f t="shared" si="11"/>
        <v>1144144</v>
      </c>
      <c r="G38" s="146">
        <f t="shared" si="11"/>
        <v>7540886</v>
      </c>
      <c r="H38" s="146">
        <f t="shared" si="11"/>
        <v>100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13495224</v>
      </c>
      <c r="S38" s="150">
        <f>SUM(S29:S37)</f>
        <v>13495224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1177022</v>
      </c>
      <c r="C40" s="147">
        <v>1177022</v>
      </c>
      <c r="D40" s="147"/>
      <c r="E40" s="147">
        <f>C40-SUM(F40:Q40)</f>
        <v>1177022</v>
      </c>
      <c r="F40" s="147"/>
      <c r="G40" s="147"/>
      <c r="H40" s="147"/>
      <c r="I40" s="147"/>
      <c r="J40" s="147"/>
      <c r="K40" s="147"/>
      <c r="L40" s="147"/>
      <c r="M40" s="147"/>
      <c r="N40" s="147"/>
      <c r="O40" s="147"/>
      <c r="P40" s="147"/>
      <c r="Q40" s="147"/>
      <c r="R40" s="516">
        <f>SUM(E40:Q40)</f>
        <v>1177022</v>
      </c>
      <c r="S40" s="147">
        <v>1177022</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1177022</v>
      </c>
      <c r="C42" s="146">
        <f>SUM(C39:C41)</f>
        <v>1177022</v>
      </c>
      <c r="D42" s="146">
        <f>SUM(D39:D41)</f>
        <v>0</v>
      </c>
      <c r="E42" s="146">
        <f t="shared" ref="E42:T42" si="12">SUM(E40:E41)</f>
        <v>1177022</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1177022</v>
      </c>
      <c r="S42" s="150">
        <f t="shared" si="12"/>
        <v>1177022</v>
      </c>
      <c r="T42" s="150">
        <f t="shared" si="12"/>
        <v>0</v>
      </c>
      <c r="U42" s="143"/>
    </row>
    <row r="43" spans="1:21" s="144" customFormat="1">
      <c r="A43" s="149" t="s">
        <v>148</v>
      </c>
      <c r="B43" s="146">
        <f>SUM(C43:D43)</f>
        <v>371000</v>
      </c>
      <c r="C43" s="147">
        <f>155000+170000+11000+35000</f>
        <v>371000</v>
      </c>
      <c r="D43" s="147"/>
      <c r="E43" s="147">
        <f>C43-SUM(F43:Q43)</f>
        <v>371000</v>
      </c>
      <c r="F43" s="147"/>
      <c r="G43" s="147"/>
      <c r="H43" s="147"/>
      <c r="I43" s="147"/>
      <c r="J43" s="147"/>
      <c r="K43" s="147"/>
      <c r="L43" s="147"/>
      <c r="M43" s="147"/>
      <c r="N43" s="147"/>
      <c r="O43" s="147"/>
      <c r="P43" s="147"/>
      <c r="Q43" s="147"/>
      <c r="R43" s="516">
        <f>SUM(E43:Q43)</f>
        <v>371000</v>
      </c>
      <c r="S43" s="147">
        <f>R43</f>
        <v>371000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1378296</v>
      </c>
      <c r="C45" s="147">
        <f>725650+333852+263123+55670+1</f>
        <v>1378296</v>
      </c>
      <c r="D45" s="147"/>
      <c r="E45" s="147">
        <f>C45-SUM(F45:Q45)</f>
        <v>1059502</v>
      </c>
      <c r="F45" s="147"/>
      <c r="G45" s="147"/>
      <c r="H45" s="147"/>
      <c r="I45" s="147"/>
      <c r="J45" s="147">
        <v>318794</v>
      </c>
      <c r="K45" s="147"/>
      <c r="L45" s="147"/>
      <c r="M45" s="147"/>
      <c r="N45" s="147"/>
      <c r="O45" s="147"/>
      <c r="P45" s="147"/>
      <c r="Q45" s="147"/>
      <c r="R45" s="516">
        <f t="shared" ref="R45:R53" si="14">SUM(E45:Q45)</f>
        <v>1378296</v>
      </c>
      <c r="S45" s="147">
        <f>435390+111284+263123+55670+1</f>
        <v>865468</v>
      </c>
      <c r="T45" s="147"/>
      <c r="U45" s="143"/>
    </row>
    <row r="46" spans="1:21" s="144" customFormat="1">
      <c r="A46" s="145" t="s">
        <v>151</v>
      </c>
      <c r="B46" s="146">
        <f t="shared" si="13"/>
        <v>90342</v>
      </c>
      <c r="C46" s="147">
        <v>90342</v>
      </c>
      <c r="D46" s="147"/>
      <c r="E46" s="147">
        <f t="shared" ref="E46:E53" si="15">C46-SUM(F46:Q46)</f>
        <v>90342</v>
      </c>
      <c r="F46" s="147"/>
      <c r="G46" s="147"/>
      <c r="H46" s="147"/>
      <c r="I46" s="147"/>
      <c r="J46" s="147"/>
      <c r="K46" s="147"/>
      <c r="L46" s="147"/>
      <c r="M46" s="147"/>
      <c r="N46" s="147"/>
      <c r="O46" s="147"/>
      <c r="P46" s="147"/>
      <c r="Q46" s="147"/>
      <c r="R46" s="516">
        <f t="shared" si="14"/>
        <v>90342</v>
      </c>
      <c r="S46" s="147">
        <v>46815</v>
      </c>
      <c r="T46" s="147"/>
      <c r="U46" s="143"/>
    </row>
    <row r="47" spans="1:21" s="144" customFormat="1">
      <c r="A47" s="186" t="s">
        <v>152</v>
      </c>
      <c r="B47" s="146">
        <f t="shared" si="13"/>
        <v>0</v>
      </c>
      <c r="C47" s="147"/>
      <c r="D47" s="147"/>
      <c r="E47" s="147">
        <f t="shared" si="15"/>
        <v>0</v>
      </c>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3"/>
        <v>0</v>
      </c>
      <c r="C48" s="147"/>
      <c r="D48" s="147"/>
      <c r="E48" s="147">
        <f t="shared" si="15"/>
        <v>0</v>
      </c>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3"/>
        <v>48014</v>
      </c>
      <c r="C49" s="147">
        <f>22585+18068+2000+3627+1734</f>
        <v>48014</v>
      </c>
      <c r="D49" s="147"/>
      <c r="E49" s="147">
        <f t="shared" si="15"/>
        <v>48014</v>
      </c>
      <c r="F49" s="147"/>
      <c r="G49" s="147"/>
      <c r="H49" s="147"/>
      <c r="I49" s="147"/>
      <c r="J49" s="147"/>
      <c r="K49" s="147"/>
      <c r="L49" s="147"/>
      <c r="M49" s="147"/>
      <c r="N49" s="147"/>
      <c r="O49" s="147"/>
      <c r="P49" s="147"/>
      <c r="Q49" s="147"/>
      <c r="R49" s="516">
        <f t="shared" si="14"/>
        <v>48014</v>
      </c>
      <c r="S49" s="147">
        <f>11704+9363+1036+1880+899</f>
        <v>24882</v>
      </c>
      <c r="T49" s="147"/>
      <c r="U49" s="143"/>
    </row>
    <row r="50" spans="1:21" s="144" customFormat="1">
      <c r="A50" s="145" t="s">
        <v>156</v>
      </c>
      <c r="B50" s="146">
        <f t="shared" si="13"/>
        <v>60000</v>
      </c>
      <c r="C50" s="147">
        <v>60000</v>
      </c>
      <c r="D50" s="147"/>
      <c r="E50" s="147">
        <f t="shared" si="15"/>
        <v>60000</v>
      </c>
      <c r="F50" s="147"/>
      <c r="G50" s="147"/>
      <c r="H50" s="147"/>
      <c r="I50" s="147"/>
      <c r="J50" s="147"/>
      <c r="K50" s="147"/>
      <c r="L50" s="147"/>
      <c r="M50" s="147"/>
      <c r="N50" s="147"/>
      <c r="O50" s="147"/>
      <c r="P50" s="147"/>
      <c r="Q50" s="147"/>
      <c r="R50" s="516">
        <f t="shared" si="14"/>
        <v>60000</v>
      </c>
      <c r="S50" s="147">
        <f>R50</f>
        <v>60000</v>
      </c>
      <c r="T50" s="147"/>
      <c r="U50" s="143"/>
    </row>
    <row r="51" spans="1:21" s="144" customFormat="1">
      <c r="A51" s="283" t="s">
        <v>154</v>
      </c>
      <c r="B51" s="146">
        <f t="shared" si="13"/>
        <v>151416</v>
      </c>
      <c r="C51" s="147">
        <v>151416</v>
      </c>
      <c r="D51" s="147"/>
      <c r="E51" s="147">
        <f t="shared" si="15"/>
        <v>151416</v>
      </c>
      <c r="F51" s="147"/>
      <c r="G51" s="147"/>
      <c r="H51" s="147"/>
      <c r="I51" s="147"/>
      <c r="J51" s="147"/>
      <c r="K51" s="147"/>
      <c r="L51" s="147"/>
      <c r="M51" s="147"/>
      <c r="N51" s="147"/>
      <c r="O51" s="147"/>
      <c r="P51" s="147"/>
      <c r="Q51" s="147"/>
      <c r="R51" s="516">
        <f t="shared" si="14"/>
        <v>151416</v>
      </c>
      <c r="S51" s="147">
        <f>R51</f>
        <v>151416</v>
      </c>
      <c r="T51" s="147"/>
      <c r="U51" s="143"/>
    </row>
    <row r="52" spans="1:21" s="144" customFormat="1">
      <c r="A52" s="145" t="s">
        <v>155</v>
      </c>
      <c r="B52" s="146">
        <f t="shared" si="13"/>
        <v>200000</v>
      </c>
      <c r="C52" s="147">
        <v>200000</v>
      </c>
      <c r="D52" s="147"/>
      <c r="E52" s="147">
        <f t="shared" si="15"/>
        <v>200000</v>
      </c>
      <c r="F52" s="147"/>
      <c r="G52" s="147"/>
      <c r="H52" s="147"/>
      <c r="I52" s="147"/>
      <c r="J52" s="147"/>
      <c r="K52" s="147"/>
      <c r="L52" s="147"/>
      <c r="M52" s="147"/>
      <c r="N52" s="147"/>
      <c r="O52" s="147"/>
      <c r="P52" s="147"/>
      <c r="Q52" s="147"/>
      <c r="R52" s="516">
        <f t="shared" si="14"/>
        <v>200000</v>
      </c>
      <c r="S52" s="147">
        <f>R52</f>
        <v>200000</v>
      </c>
      <c r="T52" s="147"/>
      <c r="U52" s="143"/>
    </row>
    <row r="53" spans="1:21" s="144" customFormat="1">
      <c r="A53" s="1143" t="s">
        <v>2776</v>
      </c>
      <c r="B53" s="146">
        <f t="shared" si="13"/>
        <v>40000</v>
      </c>
      <c r="C53" s="147">
        <v>40000</v>
      </c>
      <c r="D53" s="147"/>
      <c r="E53" s="147">
        <f t="shared" si="15"/>
        <v>40000</v>
      </c>
      <c r="F53" s="147"/>
      <c r="G53" s="147"/>
      <c r="H53" s="147"/>
      <c r="I53" s="147"/>
      <c r="J53" s="147"/>
      <c r="K53" s="147"/>
      <c r="L53" s="147"/>
      <c r="M53" s="147"/>
      <c r="N53" s="147"/>
      <c r="O53" s="147"/>
      <c r="P53" s="147"/>
      <c r="Q53" s="147"/>
      <c r="R53" s="516">
        <f t="shared" si="14"/>
        <v>40000</v>
      </c>
      <c r="S53" s="147">
        <v>20728</v>
      </c>
      <c r="T53" s="147"/>
      <c r="U53" s="143"/>
    </row>
    <row r="54" spans="1:21" s="153" customFormat="1">
      <c r="A54" s="149" t="s">
        <v>157</v>
      </c>
      <c r="B54" s="150">
        <f>SUM(C54:D54)</f>
        <v>1968068</v>
      </c>
      <c r="C54" s="150">
        <f t="shared" ref="C54:T54" si="16">SUM(C45:C53)</f>
        <v>1968068</v>
      </c>
      <c r="D54" s="150">
        <f t="shared" si="16"/>
        <v>0</v>
      </c>
      <c r="E54" s="150">
        <f t="shared" si="16"/>
        <v>1649274</v>
      </c>
      <c r="F54" s="150">
        <f t="shared" si="16"/>
        <v>0</v>
      </c>
      <c r="G54" s="150">
        <f t="shared" si="16"/>
        <v>0</v>
      </c>
      <c r="H54" s="150">
        <f t="shared" si="16"/>
        <v>0</v>
      </c>
      <c r="I54" s="150">
        <f t="shared" si="16"/>
        <v>0</v>
      </c>
      <c r="J54" s="150">
        <f t="shared" si="16"/>
        <v>318794</v>
      </c>
      <c r="K54" s="150">
        <f t="shared" si="16"/>
        <v>0</v>
      </c>
      <c r="L54" s="150">
        <f t="shared" si="16"/>
        <v>0</v>
      </c>
      <c r="M54" s="150">
        <f t="shared" si="16"/>
        <v>0</v>
      </c>
      <c r="N54" s="150">
        <f t="shared" si="16"/>
        <v>0</v>
      </c>
      <c r="O54" s="150">
        <f t="shared" si="16"/>
        <v>0</v>
      </c>
      <c r="P54" s="150">
        <f t="shared" si="16"/>
        <v>0</v>
      </c>
      <c r="Q54" s="150">
        <f t="shared" si="16"/>
        <v>0</v>
      </c>
      <c r="R54" s="342">
        <f t="shared" si="16"/>
        <v>1968068</v>
      </c>
      <c r="S54" s="150">
        <f t="shared" si="16"/>
        <v>1369309</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0</v>
      </c>
      <c r="C56" s="147"/>
      <c r="D56" s="147"/>
      <c r="E56" s="147"/>
      <c r="F56" s="147"/>
      <c r="G56" s="147"/>
      <c r="H56" s="147"/>
      <c r="I56" s="147"/>
      <c r="J56" s="147"/>
      <c r="K56" s="147"/>
      <c r="L56" s="147"/>
      <c r="M56" s="147"/>
      <c r="N56" s="147"/>
      <c r="O56" s="147"/>
      <c r="P56" s="147"/>
      <c r="Q56" s="147"/>
      <c r="R56" s="516">
        <f t="shared" ref="R56:R61" si="18">SUM(E56:Q56)</f>
        <v>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30000</v>
      </c>
      <c r="C58" s="147">
        <v>30000</v>
      </c>
      <c r="D58" s="147"/>
      <c r="E58" s="147">
        <f>C58-SUM(F58:Q58)</f>
        <v>30000</v>
      </c>
      <c r="F58" s="147"/>
      <c r="G58" s="147"/>
      <c r="H58" s="147"/>
      <c r="I58" s="147"/>
      <c r="J58" s="147"/>
      <c r="K58" s="147"/>
      <c r="L58" s="147"/>
      <c r="M58" s="147"/>
      <c r="N58" s="147"/>
      <c r="O58" s="147"/>
      <c r="P58" s="147"/>
      <c r="Q58" s="147"/>
      <c r="R58" s="516">
        <f t="shared" si="18"/>
        <v>30000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3" t="s">
        <v>2747</v>
      </c>
      <c r="B61" s="146">
        <f t="shared" si="17"/>
        <v>40000</v>
      </c>
      <c r="C61" s="147">
        <v>40000</v>
      </c>
      <c r="D61" s="147"/>
      <c r="E61" s="147">
        <f t="shared" ref="E61" si="19">C61-SUM(F61:Q61)</f>
        <v>40000</v>
      </c>
      <c r="F61" s="147"/>
      <c r="G61" s="147"/>
      <c r="H61" s="147"/>
      <c r="I61" s="147"/>
      <c r="J61" s="147"/>
      <c r="K61" s="147"/>
      <c r="L61" s="147"/>
      <c r="M61" s="147"/>
      <c r="N61" s="147"/>
      <c r="O61" s="147"/>
      <c r="P61" s="147"/>
      <c r="Q61" s="147"/>
      <c r="R61" s="516">
        <f t="shared" si="18"/>
        <v>40000</v>
      </c>
      <c r="S61" s="148"/>
      <c r="T61" s="148"/>
      <c r="U61" s="143"/>
    </row>
    <row r="62" spans="1:21" s="144" customFormat="1" ht="13.7" customHeight="1">
      <c r="A62" s="149" t="s">
        <v>301</v>
      </c>
      <c r="B62" s="146">
        <f>SUM(C62:D62)</f>
        <v>70000</v>
      </c>
      <c r="C62" s="146">
        <f t="shared" ref="C62:R62" si="20">SUM(C56:C61)</f>
        <v>70000</v>
      </c>
      <c r="D62" s="146">
        <f t="shared" si="20"/>
        <v>0</v>
      </c>
      <c r="E62" s="146">
        <f t="shared" si="20"/>
        <v>70000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70000</v>
      </c>
      <c r="S62" s="148"/>
      <c r="T62" s="148"/>
      <c r="U62" s="143"/>
    </row>
    <row r="63" spans="1:21" s="144" customFormat="1">
      <c r="A63" s="154" t="s">
        <v>302</v>
      </c>
      <c r="B63" s="146">
        <f t="shared" ref="B63:R63" si="21">SUM(B8+B11+B13+B14+B15+B26+B27+B38+B42+B43+B54+B62)</f>
        <v>20152834</v>
      </c>
      <c r="C63" s="146">
        <f t="shared" si="21"/>
        <v>20152834</v>
      </c>
      <c r="D63" s="146">
        <f t="shared" si="21"/>
        <v>0</v>
      </c>
      <c r="E63" s="146">
        <f t="shared" si="21"/>
        <v>11148910</v>
      </c>
      <c r="F63" s="146">
        <f t="shared" si="21"/>
        <v>1144144</v>
      </c>
      <c r="G63" s="146">
        <f t="shared" si="21"/>
        <v>7540886</v>
      </c>
      <c r="H63" s="146">
        <f t="shared" si="21"/>
        <v>100</v>
      </c>
      <c r="I63" s="146">
        <f t="shared" si="21"/>
        <v>0</v>
      </c>
      <c r="J63" s="146">
        <f t="shared" si="21"/>
        <v>318794</v>
      </c>
      <c r="K63" s="146">
        <f t="shared" si="21"/>
        <v>0</v>
      </c>
      <c r="L63" s="146">
        <f t="shared" si="21"/>
        <v>0</v>
      </c>
      <c r="M63" s="146">
        <f t="shared" si="21"/>
        <v>0</v>
      </c>
      <c r="N63" s="146">
        <f t="shared" si="21"/>
        <v>0</v>
      </c>
      <c r="O63" s="146">
        <f t="shared" si="21"/>
        <v>0</v>
      </c>
      <c r="P63" s="146">
        <f t="shared" si="21"/>
        <v>0</v>
      </c>
      <c r="Q63" s="146">
        <f t="shared" si="21"/>
        <v>0</v>
      </c>
      <c r="R63" s="342">
        <f t="shared" si="21"/>
        <v>20152834</v>
      </c>
      <c r="S63" s="146">
        <f>SUM(S10+S13+S14+S15+S26+S27+S38+S42+S43+S54)</f>
        <v>17641578</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f>C65-SUM(F65:Q65)</f>
        <v>60000</v>
      </c>
      <c r="F65" s="147"/>
      <c r="G65" s="147"/>
      <c r="H65" s="147"/>
      <c r="I65" s="147"/>
      <c r="J65" s="147"/>
      <c r="K65" s="147"/>
      <c r="L65" s="147"/>
      <c r="M65" s="147"/>
      <c r="N65" s="147"/>
      <c r="O65" s="147"/>
      <c r="P65" s="147"/>
      <c r="Q65" s="147"/>
      <c r="R65" s="516">
        <f>SUM(E65:Q65)</f>
        <v>60000</v>
      </c>
      <c r="S65" s="147">
        <v>31092</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60000</v>
      </c>
      <c r="C67" s="147">
        <f>30000+30000</f>
        <v>60000</v>
      </c>
      <c r="D67" s="147"/>
      <c r="E67" s="147">
        <f t="shared" ref="E67" si="22">C67-SUM(F67:Q67)</f>
        <v>60000</v>
      </c>
      <c r="F67" s="147"/>
      <c r="G67" s="147"/>
      <c r="H67" s="147"/>
      <c r="I67" s="147"/>
      <c r="J67" s="147"/>
      <c r="K67" s="147"/>
      <c r="L67" s="147"/>
      <c r="M67" s="147"/>
      <c r="N67" s="147"/>
      <c r="O67" s="147"/>
      <c r="P67" s="147"/>
      <c r="Q67" s="147"/>
      <c r="R67" s="516">
        <f>SUM(E67:Q67)</f>
        <v>60000</v>
      </c>
      <c r="S67" s="147">
        <f>R67</f>
        <v>60000</v>
      </c>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2745</v>
      </c>
      <c r="B69" s="146">
        <f>SUM(C69+D69)</f>
        <v>40000</v>
      </c>
      <c r="C69" s="147">
        <v>40000</v>
      </c>
      <c r="D69" s="147"/>
      <c r="E69" s="147">
        <f>C69</f>
        <v>40000</v>
      </c>
      <c r="F69" s="147"/>
      <c r="G69" s="147"/>
      <c r="H69" s="147"/>
      <c r="I69" s="147"/>
      <c r="J69" s="147"/>
      <c r="K69" s="147"/>
      <c r="L69" s="147"/>
      <c r="M69" s="147"/>
      <c r="N69" s="147"/>
      <c r="O69" s="147"/>
      <c r="P69" s="147"/>
      <c r="Q69" s="147"/>
      <c r="R69" s="516">
        <f>SUM(E69:Q69)</f>
        <v>40000</v>
      </c>
      <c r="S69" s="147">
        <f>40000</f>
        <v>40000</v>
      </c>
      <c r="T69" s="147"/>
      <c r="U69" s="143"/>
    </row>
    <row r="70" spans="1:21" s="144" customFormat="1">
      <c r="A70" s="149" t="s">
        <v>1633</v>
      </c>
      <c r="B70" s="146">
        <f>SUM(C70:D70)</f>
        <v>160000</v>
      </c>
      <c r="C70" s="146">
        <f>SUM(C65:C69)</f>
        <v>160000</v>
      </c>
      <c r="D70" s="146">
        <f>SUM(D65:D69)</f>
        <v>0</v>
      </c>
      <c r="E70" s="146">
        <f t="shared" ref="E70:T70" si="23">SUM(E65:E69)</f>
        <v>160000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160000</v>
      </c>
      <c r="S70" s="150">
        <f t="shared" si="23"/>
        <v>131092</v>
      </c>
      <c r="T70" s="150">
        <f t="shared" si="23"/>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85950</v>
      </c>
      <c r="C75" s="147">
        <v>85950</v>
      </c>
      <c r="D75" s="147"/>
      <c r="E75" s="147">
        <f>C75-SUM(F75:Q75)</f>
        <v>85950</v>
      </c>
      <c r="F75" s="147"/>
      <c r="G75" s="147"/>
      <c r="H75" s="147"/>
      <c r="I75" s="147"/>
      <c r="J75" s="147"/>
      <c r="K75" s="147"/>
      <c r="L75" s="147"/>
      <c r="M75" s="147"/>
      <c r="N75" s="147"/>
      <c r="O75" s="147"/>
      <c r="P75" s="147"/>
      <c r="Q75" s="147"/>
      <c r="R75" s="516">
        <f>SUM(E75:Q75)</f>
        <v>85950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85950</v>
      </c>
      <c r="C77" s="146">
        <f>SUM(C72:C76)</f>
        <v>85950</v>
      </c>
      <c r="D77" s="146">
        <f>SUM(D72:D76)</f>
        <v>0</v>
      </c>
      <c r="E77" s="146">
        <f t="shared" ref="E77:Q77" si="24">SUM(E72:E76)</f>
        <v>85950</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85950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688377</v>
      </c>
      <c r="C79" s="147">
        <v>688377</v>
      </c>
      <c r="D79" s="147"/>
      <c r="E79" s="147">
        <f>C79-SUM(F79:Q79)</f>
        <v>688377</v>
      </c>
      <c r="F79" s="147"/>
      <c r="G79" s="147"/>
      <c r="H79" s="147"/>
      <c r="I79" s="147"/>
      <c r="J79" s="147"/>
      <c r="K79" s="147"/>
      <c r="L79" s="147"/>
      <c r="M79" s="147"/>
      <c r="N79" s="147"/>
      <c r="O79" s="147"/>
      <c r="P79" s="147"/>
      <c r="Q79" s="147"/>
      <c r="R79" s="516">
        <f>SUM(E79:Q79)</f>
        <v>688377</v>
      </c>
      <c r="S79" s="147">
        <v>688377</v>
      </c>
      <c r="T79" s="147"/>
      <c r="U79" s="143"/>
    </row>
    <row r="80" spans="1:21" s="144" customFormat="1">
      <c r="A80" s="283" t="s">
        <v>58</v>
      </c>
      <c r="B80" s="146">
        <f>SUM(C80:D80)</f>
        <v>267022</v>
      </c>
      <c r="C80" s="147">
        <f>267023-1</f>
        <v>267022</v>
      </c>
      <c r="D80" s="147"/>
      <c r="E80" s="147">
        <f>C80-SUM(F80:Q80)</f>
        <v>267022</v>
      </c>
      <c r="F80" s="147"/>
      <c r="G80" s="147"/>
      <c r="H80" s="147"/>
      <c r="I80" s="147"/>
      <c r="J80" s="147"/>
      <c r="K80" s="147"/>
      <c r="L80" s="147"/>
      <c r="M80" s="147"/>
      <c r="N80" s="147"/>
      <c r="O80" s="147"/>
      <c r="P80" s="147"/>
      <c r="Q80" s="147"/>
      <c r="R80" s="516">
        <f>SUM(E80:Q80)</f>
        <v>267022</v>
      </c>
      <c r="S80" s="147">
        <f>R80</f>
        <v>267022</v>
      </c>
      <c r="T80" s="147"/>
      <c r="U80" s="143"/>
    </row>
    <row r="81" spans="1:21" s="144" customFormat="1">
      <c r="A81" s="149" t="s">
        <v>1208</v>
      </c>
      <c r="B81" s="146">
        <f>SUM(C81:D81)</f>
        <v>955399</v>
      </c>
      <c r="C81" s="509">
        <f>SUM(C79:C80)</f>
        <v>955399</v>
      </c>
      <c r="D81" s="509">
        <f t="shared" ref="D81:T81" si="25">SUM(D79:D80)</f>
        <v>0</v>
      </c>
      <c r="E81" s="509">
        <f t="shared" si="25"/>
        <v>955399</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955399</v>
      </c>
      <c r="S81" s="509">
        <f t="shared" si="25"/>
        <v>955399</v>
      </c>
      <c r="T81" s="509">
        <f t="shared" si="25"/>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6">SUM(C83+D83)</f>
        <v>33249</v>
      </c>
      <c r="C83" s="147">
        <v>33249</v>
      </c>
      <c r="D83" s="147"/>
      <c r="E83" s="147">
        <f>C83-SUM(F83:Q83)</f>
        <v>33249</v>
      </c>
      <c r="F83" s="147"/>
      <c r="G83" s="147"/>
      <c r="H83" s="147"/>
      <c r="I83" s="147"/>
      <c r="J83" s="147"/>
      <c r="K83" s="147"/>
      <c r="L83" s="147"/>
      <c r="M83" s="147"/>
      <c r="N83" s="147"/>
      <c r="O83" s="147"/>
      <c r="P83" s="147"/>
      <c r="Q83" s="147"/>
      <c r="R83" s="516">
        <f t="shared" ref="R83:R95" si="27">SUM(E83:Q83)</f>
        <v>33249</v>
      </c>
      <c r="S83" s="148"/>
      <c r="T83" s="148"/>
      <c r="U83" s="143"/>
    </row>
    <row r="84" spans="1:21" s="144" customFormat="1">
      <c r="A84" s="145" t="s">
        <v>766</v>
      </c>
      <c r="B84" s="146">
        <f t="shared" si="26"/>
        <v>16580</v>
      </c>
      <c r="C84" s="147">
        <v>16580</v>
      </c>
      <c r="D84" s="147"/>
      <c r="E84" s="147">
        <f t="shared" ref="E84:E94" si="28">C84-SUM(F84:Q84)</f>
        <v>16580</v>
      </c>
      <c r="F84" s="147"/>
      <c r="G84" s="147"/>
      <c r="H84" s="147"/>
      <c r="I84" s="147"/>
      <c r="J84" s="147"/>
      <c r="K84" s="147"/>
      <c r="L84" s="147"/>
      <c r="M84" s="147"/>
      <c r="N84" s="147"/>
      <c r="O84" s="147"/>
      <c r="P84" s="147"/>
      <c r="Q84" s="147"/>
      <c r="R84" s="516">
        <f t="shared" si="27"/>
        <v>16580</v>
      </c>
      <c r="S84" s="147">
        <f>R84</f>
        <v>16580</v>
      </c>
      <c r="T84" s="147"/>
      <c r="U84" s="143"/>
    </row>
    <row r="85" spans="1:21" s="144" customFormat="1">
      <c r="A85" s="145" t="s">
        <v>767</v>
      </c>
      <c r="B85" s="146">
        <f t="shared" si="26"/>
        <v>600756</v>
      </c>
      <c r="C85" s="147">
        <v>600756</v>
      </c>
      <c r="D85" s="147"/>
      <c r="E85" s="147">
        <f t="shared" si="28"/>
        <v>600756</v>
      </c>
      <c r="F85" s="147"/>
      <c r="G85" s="147"/>
      <c r="H85" s="147"/>
      <c r="I85" s="147"/>
      <c r="J85" s="147"/>
      <c r="K85" s="147"/>
      <c r="L85" s="147"/>
      <c r="M85" s="147"/>
      <c r="N85" s="147"/>
      <c r="O85" s="147"/>
      <c r="P85" s="147"/>
      <c r="Q85" s="147"/>
      <c r="R85" s="516">
        <f t="shared" si="27"/>
        <v>600756</v>
      </c>
      <c r="S85" s="147">
        <v>600756</v>
      </c>
      <c r="T85" s="147"/>
      <c r="U85" s="143"/>
    </row>
    <row r="86" spans="1:21" s="144" customFormat="1">
      <c r="A86" s="145" t="s">
        <v>768</v>
      </c>
      <c r="B86" s="146">
        <f t="shared" si="26"/>
        <v>311563</v>
      </c>
      <c r="C86" s="147">
        <v>311563</v>
      </c>
      <c r="D86" s="147"/>
      <c r="E86" s="147">
        <f t="shared" si="28"/>
        <v>311563</v>
      </c>
      <c r="F86" s="147"/>
      <c r="G86" s="147"/>
      <c r="H86" s="147"/>
      <c r="I86" s="147"/>
      <c r="J86" s="147"/>
      <c r="K86" s="147"/>
      <c r="L86" s="147"/>
      <c r="M86" s="147"/>
      <c r="N86" s="147"/>
      <c r="O86" s="147"/>
      <c r="P86" s="147"/>
      <c r="Q86" s="147"/>
      <c r="R86" s="516">
        <f t="shared" si="27"/>
        <v>311563</v>
      </c>
      <c r="S86" s="147">
        <v>311563</v>
      </c>
      <c r="T86" s="147"/>
      <c r="U86" s="143"/>
    </row>
    <row r="87" spans="1:21" s="144" customFormat="1">
      <c r="A87" s="145" t="s">
        <v>769</v>
      </c>
      <c r="B87" s="146">
        <f t="shared" si="26"/>
        <v>0</v>
      </c>
      <c r="C87" s="147"/>
      <c r="D87" s="147"/>
      <c r="E87" s="147"/>
      <c r="F87" s="147"/>
      <c r="G87" s="147"/>
      <c r="H87" s="147"/>
      <c r="I87" s="147"/>
      <c r="J87" s="147"/>
      <c r="K87" s="147"/>
      <c r="L87" s="147"/>
      <c r="M87" s="147"/>
      <c r="N87" s="147"/>
      <c r="O87" s="147"/>
      <c r="P87" s="147"/>
      <c r="Q87" s="147"/>
      <c r="R87" s="516">
        <f t="shared" si="27"/>
        <v>0</v>
      </c>
      <c r="S87" s="147"/>
      <c r="T87" s="147"/>
      <c r="U87" s="143"/>
    </row>
    <row r="88" spans="1:21" s="144" customFormat="1">
      <c r="A88" s="145" t="s">
        <v>770</v>
      </c>
      <c r="B88" s="146">
        <f t="shared" si="26"/>
        <v>37580</v>
      </c>
      <c r="C88" s="147">
        <v>37580</v>
      </c>
      <c r="D88" s="147"/>
      <c r="E88" s="147">
        <f t="shared" si="28"/>
        <v>37580</v>
      </c>
      <c r="F88" s="147"/>
      <c r="G88" s="147"/>
      <c r="H88" s="147"/>
      <c r="I88" s="147"/>
      <c r="J88" s="147"/>
      <c r="K88" s="147"/>
      <c r="L88" s="147"/>
      <c r="M88" s="147"/>
      <c r="N88" s="147"/>
      <c r="O88" s="147"/>
      <c r="P88" s="147"/>
      <c r="Q88" s="147"/>
      <c r="R88" s="516">
        <f t="shared" si="27"/>
        <v>37580</v>
      </c>
      <c r="S88" s="148"/>
      <c r="T88" s="148"/>
      <c r="U88" s="143"/>
    </row>
    <row r="89" spans="1:21" s="144" customFormat="1">
      <c r="A89" s="145" t="s">
        <v>771</v>
      </c>
      <c r="B89" s="146">
        <f t="shared" si="26"/>
        <v>60000</v>
      </c>
      <c r="C89" s="147">
        <v>60000</v>
      </c>
      <c r="D89" s="147"/>
      <c r="E89" s="147">
        <f t="shared" si="28"/>
        <v>60000</v>
      </c>
      <c r="F89" s="147"/>
      <c r="G89" s="147"/>
      <c r="H89" s="147"/>
      <c r="I89" s="147"/>
      <c r="J89" s="147"/>
      <c r="K89" s="147"/>
      <c r="L89" s="147"/>
      <c r="M89" s="147"/>
      <c r="N89" s="147"/>
      <c r="O89" s="147"/>
      <c r="P89" s="147"/>
      <c r="Q89" s="147"/>
      <c r="R89" s="516">
        <f t="shared" si="27"/>
        <v>60000</v>
      </c>
      <c r="S89" s="147">
        <v>60000</v>
      </c>
      <c r="T89" s="147"/>
      <c r="U89" s="143"/>
    </row>
    <row r="90" spans="1:21" s="144" customFormat="1">
      <c r="A90" s="145" t="s">
        <v>772</v>
      </c>
      <c r="B90" s="146">
        <f t="shared" si="26"/>
        <v>30000</v>
      </c>
      <c r="C90" s="147">
        <v>30000</v>
      </c>
      <c r="D90" s="147"/>
      <c r="E90" s="147">
        <f t="shared" si="28"/>
        <v>30000</v>
      </c>
      <c r="F90" s="147"/>
      <c r="G90" s="147"/>
      <c r="H90" s="147"/>
      <c r="I90" s="147"/>
      <c r="J90" s="147"/>
      <c r="K90" s="147"/>
      <c r="L90" s="147"/>
      <c r="M90" s="147"/>
      <c r="N90" s="147"/>
      <c r="O90" s="147"/>
      <c r="P90" s="147"/>
      <c r="Q90" s="147"/>
      <c r="R90" s="516">
        <f t="shared" si="27"/>
        <v>30000</v>
      </c>
      <c r="S90" s="147"/>
      <c r="T90" s="147"/>
      <c r="U90" s="143"/>
    </row>
    <row r="91" spans="1:21" s="144" customFormat="1">
      <c r="A91" s="145" t="s">
        <v>372</v>
      </c>
      <c r="B91" s="146">
        <f t="shared" si="26"/>
        <v>0</v>
      </c>
      <c r="C91" s="147"/>
      <c r="D91" s="147"/>
      <c r="E91" s="147">
        <f t="shared" si="28"/>
        <v>0</v>
      </c>
      <c r="F91" s="147"/>
      <c r="G91" s="147"/>
      <c r="H91" s="147"/>
      <c r="I91" s="147"/>
      <c r="J91" s="147"/>
      <c r="K91" s="147"/>
      <c r="L91" s="147"/>
      <c r="M91" s="147"/>
      <c r="N91" s="147"/>
      <c r="O91" s="147"/>
      <c r="P91" s="147"/>
      <c r="Q91" s="147"/>
      <c r="R91" s="516">
        <f t="shared" si="27"/>
        <v>0</v>
      </c>
      <c r="S91" s="147"/>
      <c r="T91" s="147"/>
      <c r="U91" s="143"/>
    </row>
    <row r="92" spans="1:21" s="144" customFormat="1">
      <c r="A92" s="283" t="s">
        <v>1210</v>
      </c>
      <c r="B92" s="146">
        <f t="shared" si="26"/>
        <v>25000</v>
      </c>
      <c r="C92" s="147">
        <v>25000</v>
      </c>
      <c r="D92" s="147"/>
      <c r="E92" s="147">
        <f t="shared" si="28"/>
        <v>25000</v>
      </c>
      <c r="F92" s="147"/>
      <c r="G92" s="147"/>
      <c r="H92" s="147"/>
      <c r="I92" s="147"/>
      <c r="J92" s="147"/>
      <c r="K92" s="147"/>
      <c r="L92" s="147"/>
      <c r="M92" s="147"/>
      <c r="N92" s="147"/>
      <c r="O92" s="147"/>
      <c r="P92" s="147"/>
      <c r="Q92" s="147"/>
      <c r="R92" s="516">
        <f t="shared" si="27"/>
        <v>25000</v>
      </c>
      <c r="S92" s="147">
        <v>25000</v>
      </c>
      <c r="T92" s="147"/>
      <c r="U92" s="143"/>
    </row>
    <row r="93" spans="1:21" s="144" customFormat="1" ht="36">
      <c r="A93" s="1143" t="s">
        <v>2777</v>
      </c>
      <c r="B93" s="146">
        <f t="shared" si="26"/>
        <v>573393</v>
      </c>
      <c r="C93" s="147">
        <f>24401+428992+50000+50000+20000</f>
        <v>573393</v>
      </c>
      <c r="D93" s="147"/>
      <c r="E93" s="147">
        <f>C93-SUM(F93:Q93)</f>
        <v>573393</v>
      </c>
      <c r="F93" s="147"/>
      <c r="G93" s="147"/>
      <c r="H93" s="147"/>
      <c r="I93" s="147"/>
      <c r="J93" s="147"/>
      <c r="K93" s="147"/>
      <c r="L93" s="147"/>
      <c r="M93" s="147"/>
      <c r="N93" s="147"/>
      <c r="O93" s="147"/>
      <c r="P93" s="147"/>
      <c r="Q93" s="147"/>
      <c r="R93" s="516">
        <f t="shared" si="27"/>
        <v>573393</v>
      </c>
      <c r="S93" s="147">
        <f>R93</f>
        <v>573393</v>
      </c>
      <c r="T93" s="147"/>
      <c r="U93" s="143"/>
    </row>
    <row r="94" spans="1:21" s="144" customFormat="1" ht="24">
      <c r="A94" s="1143" t="s">
        <v>2753</v>
      </c>
      <c r="B94" s="146">
        <f t="shared" si="26"/>
        <v>28483</v>
      </c>
      <c r="C94" s="147">
        <f>5600+22883</f>
        <v>28483</v>
      </c>
      <c r="D94" s="147"/>
      <c r="E94" s="147">
        <f t="shared" si="28"/>
        <v>28483</v>
      </c>
      <c r="F94" s="147"/>
      <c r="G94" s="147"/>
      <c r="H94" s="147"/>
      <c r="I94" s="147"/>
      <c r="J94" s="147"/>
      <c r="K94" s="147"/>
      <c r="L94" s="147"/>
      <c r="M94" s="147"/>
      <c r="N94" s="147"/>
      <c r="O94" s="147"/>
      <c r="P94" s="147"/>
      <c r="Q94" s="147"/>
      <c r="R94" s="516">
        <f t="shared" si="27"/>
        <v>28483</v>
      </c>
      <c r="S94" s="147"/>
      <c r="T94" s="147"/>
      <c r="U94" s="143"/>
    </row>
    <row r="95" spans="1:21" s="144" customFormat="1">
      <c r="A95" s="1143" t="s">
        <v>2778</v>
      </c>
      <c r="B95" s="146">
        <f t="shared" si="26"/>
        <v>25000</v>
      </c>
      <c r="C95" s="147">
        <v>25000</v>
      </c>
      <c r="D95" s="147"/>
      <c r="E95" s="147">
        <v>25000</v>
      </c>
      <c r="F95" s="147"/>
      <c r="G95" s="147"/>
      <c r="H95" s="147"/>
      <c r="I95" s="147"/>
      <c r="J95" s="147"/>
      <c r="K95" s="147"/>
      <c r="L95" s="147"/>
      <c r="M95" s="147"/>
      <c r="N95" s="147"/>
      <c r="O95" s="147"/>
      <c r="P95" s="147"/>
      <c r="Q95" s="147"/>
      <c r="R95" s="516">
        <f t="shared" si="27"/>
        <v>25000</v>
      </c>
      <c r="S95" s="147"/>
      <c r="T95" s="147"/>
      <c r="U95" s="143"/>
    </row>
    <row r="96" spans="1:21" s="144" customFormat="1">
      <c r="A96" s="149" t="s">
        <v>773</v>
      </c>
      <c r="B96" s="146">
        <f>SUM(C96:D96)</f>
        <v>1741604</v>
      </c>
      <c r="C96" s="146">
        <f t="shared" ref="C96:R96" si="29">SUM(C83:C95)</f>
        <v>1741604</v>
      </c>
      <c r="D96" s="146">
        <f t="shared" si="29"/>
        <v>0</v>
      </c>
      <c r="E96" s="146">
        <f t="shared" si="29"/>
        <v>1741604</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1741604</v>
      </c>
      <c r="S96" s="150">
        <f>SUM(S84:S87,S89:S95)</f>
        <v>1587292</v>
      </c>
      <c r="T96" s="146">
        <f>SUM(T84:T87,T89:T95)</f>
        <v>0</v>
      </c>
      <c r="U96" s="143"/>
    </row>
    <row r="97" spans="1:21" s="144" customFormat="1">
      <c r="A97" s="149" t="s">
        <v>774</v>
      </c>
      <c r="B97" s="146">
        <f>SUM(C97:D97)</f>
        <v>23095787</v>
      </c>
      <c r="C97" s="146">
        <f t="shared" ref="C97:R97" si="30">SUM(C63+C70+C77+C81+C96)</f>
        <v>23095787</v>
      </c>
      <c r="D97" s="146">
        <f t="shared" si="30"/>
        <v>0</v>
      </c>
      <c r="E97" s="146">
        <f t="shared" si="30"/>
        <v>14091863</v>
      </c>
      <c r="F97" s="146">
        <f t="shared" si="30"/>
        <v>1144144</v>
      </c>
      <c r="G97" s="146">
        <f t="shared" si="30"/>
        <v>7540886</v>
      </c>
      <c r="H97" s="146">
        <f t="shared" si="30"/>
        <v>100</v>
      </c>
      <c r="I97" s="146">
        <f t="shared" si="30"/>
        <v>0</v>
      </c>
      <c r="J97" s="146">
        <f t="shared" si="30"/>
        <v>318794</v>
      </c>
      <c r="K97" s="146">
        <f t="shared" si="30"/>
        <v>0</v>
      </c>
      <c r="L97" s="146">
        <f t="shared" si="30"/>
        <v>0</v>
      </c>
      <c r="M97" s="146">
        <f t="shared" si="30"/>
        <v>0</v>
      </c>
      <c r="N97" s="146">
        <f t="shared" si="30"/>
        <v>0</v>
      </c>
      <c r="O97" s="146">
        <f t="shared" si="30"/>
        <v>0</v>
      </c>
      <c r="P97" s="146">
        <f t="shared" si="30"/>
        <v>0</v>
      </c>
      <c r="Q97" s="146">
        <f t="shared" si="30"/>
        <v>0</v>
      </c>
      <c r="R97" s="146">
        <f t="shared" si="30"/>
        <v>23095787</v>
      </c>
      <c r="S97" s="146">
        <f>SUM(S63+S70+S81+S96)</f>
        <v>20315361</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3047304</v>
      </c>
      <c r="C99" s="974">
        <v>3047304</v>
      </c>
      <c r="D99" s="974"/>
      <c r="E99" s="974">
        <f>C99-SUM(F99:Q99)</f>
        <v>1062898</v>
      </c>
      <c r="F99" s="147"/>
      <c r="G99" s="147"/>
      <c r="H99" s="147"/>
      <c r="I99" s="147">
        <v>1984406</v>
      </c>
      <c r="J99" s="147"/>
      <c r="K99" s="147"/>
      <c r="L99" s="147"/>
      <c r="M99" s="147"/>
      <c r="N99" s="147"/>
      <c r="O99" s="147"/>
      <c r="P99" s="147"/>
      <c r="Q99" s="147"/>
      <c r="R99" s="516">
        <f>SUM(E99:Q99)</f>
        <v>3047304</v>
      </c>
      <c r="S99" s="147">
        <f>R99</f>
        <v>3047304</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3047304</v>
      </c>
      <c r="C104" s="146">
        <f>SUM(C99:C103)</f>
        <v>3047304</v>
      </c>
      <c r="D104" s="146">
        <f t="shared" ref="D104:T104" si="31">SUM(D99:D103)</f>
        <v>0</v>
      </c>
      <c r="E104" s="146">
        <f t="shared" si="31"/>
        <v>1062898</v>
      </c>
      <c r="F104" s="146">
        <f t="shared" si="31"/>
        <v>0</v>
      </c>
      <c r="G104" s="146">
        <f t="shared" si="31"/>
        <v>0</v>
      </c>
      <c r="H104" s="146">
        <f t="shared" si="31"/>
        <v>0</v>
      </c>
      <c r="I104" s="146">
        <f t="shared" si="31"/>
        <v>1984406</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42">
        <f t="shared" si="31"/>
        <v>3047304</v>
      </c>
      <c r="S104" s="150">
        <f t="shared" si="31"/>
        <v>3047304</v>
      </c>
      <c r="T104" s="150">
        <f t="shared" si="31"/>
        <v>0</v>
      </c>
      <c r="U104" s="143"/>
    </row>
    <row r="105" spans="1:21" s="144" customFormat="1">
      <c r="A105" s="149" t="s">
        <v>779</v>
      </c>
      <c r="B105" s="150">
        <f>SUM(C105:D105)</f>
        <v>26143091</v>
      </c>
      <c r="C105" s="150">
        <f t="shared" ref="C105:R105" si="32">SUM(C97+C104)</f>
        <v>26143091</v>
      </c>
      <c r="D105" s="150">
        <f t="shared" si="32"/>
        <v>0</v>
      </c>
      <c r="E105" s="150">
        <f t="shared" si="32"/>
        <v>15154761</v>
      </c>
      <c r="F105" s="150">
        <f t="shared" si="32"/>
        <v>1144144</v>
      </c>
      <c r="G105" s="150">
        <f t="shared" si="32"/>
        <v>7540886</v>
      </c>
      <c r="H105" s="150">
        <f t="shared" si="32"/>
        <v>100</v>
      </c>
      <c r="I105" s="150">
        <f t="shared" si="32"/>
        <v>1984406</v>
      </c>
      <c r="J105" s="150">
        <f t="shared" si="32"/>
        <v>318794</v>
      </c>
      <c r="K105" s="150">
        <f t="shared" si="32"/>
        <v>0</v>
      </c>
      <c r="L105" s="150">
        <f t="shared" si="32"/>
        <v>0</v>
      </c>
      <c r="M105" s="150">
        <f t="shared" si="32"/>
        <v>0</v>
      </c>
      <c r="N105" s="150">
        <f t="shared" si="32"/>
        <v>0</v>
      </c>
      <c r="O105" s="150">
        <f t="shared" si="32"/>
        <v>0</v>
      </c>
      <c r="P105" s="150">
        <f t="shared" si="32"/>
        <v>0</v>
      </c>
      <c r="Q105" s="150">
        <f t="shared" si="32"/>
        <v>0</v>
      </c>
      <c r="R105" s="342">
        <f t="shared" si="32"/>
        <v>26143091</v>
      </c>
      <c r="S105" s="150">
        <f>S97+S104</f>
        <v>23362665</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23362665</v>
      </c>
      <c r="T107" s="150">
        <f>T105+T106</f>
        <v>0</v>
      </c>
    </row>
    <row r="108" spans="1:21" s="189" customFormat="1">
      <c r="A108" s="162" t="s">
        <v>878</v>
      </c>
      <c r="B108" s="157"/>
      <c r="C108" s="157"/>
      <c r="D108" s="157"/>
      <c r="E108" s="301">
        <f>Application!AO648</f>
        <v>15154761</v>
      </c>
      <c r="F108" s="301">
        <f>Application!AO635</f>
        <v>1144144</v>
      </c>
      <c r="G108" s="301">
        <f>Application!AO636</f>
        <v>7540886</v>
      </c>
      <c r="H108" s="301">
        <f>Application!AO637</f>
        <v>100</v>
      </c>
      <c r="I108" s="301">
        <f>Application!AO638</f>
        <v>1984406</v>
      </c>
      <c r="J108" s="301">
        <f>Application!AO639</f>
        <v>318794</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80" t="s">
        <v>989</v>
      </c>
      <c r="E122" s="1880"/>
      <c r="F122" s="1880"/>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2" t="s">
        <v>1223</v>
      </c>
      <c r="E123" s="1548"/>
      <c r="F123" s="1548"/>
      <c r="G123" s="1548"/>
      <c r="H123" s="1548"/>
      <c r="I123" s="1548"/>
      <c r="J123" s="1548"/>
      <c r="K123" s="1548"/>
      <c r="L123" s="1548"/>
      <c r="M123" s="1548"/>
      <c r="N123" s="1548"/>
      <c r="O123" s="1548"/>
      <c r="P123" s="1548"/>
      <c r="Q123" s="1548"/>
      <c r="R123" s="1548"/>
      <c r="S123" s="1548"/>
      <c r="T123" s="324"/>
      <c r="U123" s="326"/>
    </row>
    <row r="124" spans="1:21" ht="12.75">
      <c r="A124" s="117" t="s">
        <v>991</v>
      </c>
      <c r="B124" s="333"/>
      <c r="C124" s="117"/>
      <c r="D124" s="1548"/>
      <c r="E124" s="1548"/>
      <c r="F124" s="1548"/>
      <c r="G124" s="1548"/>
      <c r="H124" s="1548"/>
      <c r="I124" s="1548"/>
      <c r="J124" s="1548"/>
      <c r="K124" s="1548"/>
      <c r="L124" s="1548"/>
      <c r="M124" s="1548"/>
      <c r="N124" s="1548"/>
      <c r="O124" s="1548"/>
      <c r="P124" s="1548"/>
      <c r="Q124" s="1548"/>
      <c r="R124" s="1548"/>
      <c r="S124" s="1548"/>
      <c r="T124" s="324"/>
      <c r="U124" s="326"/>
    </row>
    <row r="125" spans="1:21" ht="12.75">
      <c r="A125" s="117" t="s">
        <v>992</v>
      </c>
      <c r="B125" s="333"/>
      <c r="C125" s="117"/>
      <c r="D125" s="1548"/>
      <c r="E125" s="1548"/>
      <c r="F125" s="1548"/>
      <c r="G125" s="1548"/>
      <c r="H125" s="1548"/>
      <c r="I125" s="1548"/>
      <c r="J125" s="1548"/>
      <c r="K125" s="1548"/>
      <c r="L125" s="1548"/>
      <c r="M125" s="1548"/>
      <c r="N125" s="1548"/>
      <c r="O125" s="1548"/>
      <c r="P125" s="1548"/>
      <c r="Q125" s="1548"/>
      <c r="R125" s="1548"/>
      <c r="S125" s="1548"/>
      <c r="T125" s="324"/>
      <c r="U125" s="326"/>
    </row>
    <row r="126" spans="1:21" ht="12.75">
      <c r="A126" s="117" t="s">
        <v>993</v>
      </c>
      <c r="B126" s="333">
        <v>82500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v>25000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5"/>
      <c r="E128" s="1875"/>
      <c r="F128" s="1875"/>
      <c r="G128" s="1875"/>
      <c r="H128" s="1875"/>
      <c r="I128" s="117"/>
      <c r="J128" s="1871"/>
      <c r="K128" s="1871"/>
      <c r="L128" s="117"/>
      <c r="M128" s="117"/>
      <c r="N128" s="117"/>
      <c r="O128" s="117"/>
      <c r="P128" s="117"/>
      <c r="Q128" s="117"/>
      <c r="R128" s="117"/>
      <c r="S128" s="117"/>
      <c r="T128" s="324"/>
      <c r="U128" s="326"/>
    </row>
    <row r="129" spans="1:21" ht="12.75">
      <c r="A129" s="117" t="s">
        <v>300</v>
      </c>
      <c r="B129" s="333"/>
      <c r="C129" s="117"/>
      <c r="D129" s="1879" t="s">
        <v>996</v>
      </c>
      <c r="E129" s="1879"/>
      <c r="F129" s="1879"/>
      <c r="G129" s="1879"/>
      <c r="H129" s="1879"/>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107500</v>
      </c>
      <c r="C131" s="117"/>
      <c r="D131" s="1514"/>
      <c r="E131" s="1514"/>
      <c r="F131" s="1514"/>
      <c r="G131" s="1514"/>
      <c r="H131" s="1514"/>
      <c r="I131" s="117"/>
      <c r="J131" s="1514"/>
      <c r="K131" s="1514"/>
      <c r="L131" s="1514"/>
      <c r="M131" s="1514"/>
      <c r="N131" s="117"/>
      <c r="O131" s="117"/>
      <c r="P131" s="117"/>
      <c r="Q131" s="117"/>
      <c r="R131" s="117"/>
      <c r="S131" s="117"/>
      <c r="T131" s="324"/>
      <c r="U131" s="326"/>
    </row>
    <row r="132" spans="1:21" ht="12" customHeight="1">
      <c r="A132" s="336"/>
      <c r="B132" s="117"/>
      <c r="C132" s="117"/>
      <c r="D132" s="1873" t="s">
        <v>999</v>
      </c>
      <c r="E132" s="1873"/>
      <c r="F132" s="1873"/>
      <c r="G132" s="1873"/>
      <c r="H132" s="1873"/>
      <c r="I132" s="117"/>
      <c r="J132" s="1873" t="s">
        <v>1000</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75"/>
      <c r="C138" s="1875"/>
      <c r="D138" s="328"/>
      <c r="E138" s="1871"/>
      <c r="F138" s="1871"/>
      <c r="G138" s="117"/>
      <c r="H138" s="117"/>
      <c r="I138" s="117"/>
      <c r="J138" s="117"/>
      <c r="K138" s="117"/>
      <c r="L138" s="117"/>
      <c r="M138" s="117"/>
      <c r="N138" s="117"/>
      <c r="O138" s="117"/>
      <c r="P138" s="117"/>
      <c r="Q138" s="117"/>
      <c r="R138" s="117"/>
      <c r="S138" s="117"/>
      <c r="T138" s="330"/>
      <c r="U138" s="331"/>
    </row>
    <row r="139" spans="1:21" ht="12.75">
      <c r="A139" s="1870" t="s">
        <v>1003</v>
      </c>
      <c r="B139" s="1870"/>
      <c r="C139" s="1870"/>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1" workbookViewId="0">
      <selection activeCell="D102" sqref="D102"/>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3" t="s">
        <v>1226</v>
      </c>
      <c r="B1" s="1884"/>
      <c r="C1" s="1884"/>
      <c r="D1" s="1884"/>
      <c r="E1" s="1884"/>
      <c r="F1" s="1884"/>
      <c r="G1" s="1884"/>
      <c r="H1" s="1884"/>
      <c r="I1" s="1884"/>
      <c r="J1" s="1885"/>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1800000</v>
      </c>
      <c r="C4" s="362">
        <f>B4</f>
        <v>1800000</v>
      </c>
      <c r="D4" s="362"/>
      <c r="E4" s="363"/>
      <c r="F4" s="363"/>
      <c r="G4" s="363"/>
      <c r="H4" s="363"/>
      <c r="I4" s="363"/>
      <c r="J4" s="363"/>
      <c r="K4" s="359"/>
    </row>
    <row r="5" spans="1:11" s="360" customFormat="1">
      <c r="A5" s="364" t="s">
        <v>28</v>
      </c>
      <c r="B5" s="361">
        <f>'Sources and Uses Budget'!C5</f>
        <v>9873</v>
      </c>
      <c r="C5" s="362">
        <f t="shared" ref="C5:C7" si="0">B5</f>
        <v>9873</v>
      </c>
      <c r="D5" s="362"/>
      <c r="E5" s="363"/>
      <c r="F5" s="363"/>
      <c r="G5" s="363"/>
      <c r="H5" s="363"/>
      <c r="I5" s="363"/>
      <c r="J5" s="363"/>
      <c r="K5" s="359"/>
    </row>
    <row r="6" spans="1:11" s="360" customFormat="1">
      <c r="A6" s="364" t="s">
        <v>29</v>
      </c>
      <c r="B6" s="361">
        <f>'Sources and Uses Budget'!C6</f>
        <v>7624</v>
      </c>
      <c r="C6" s="362">
        <f t="shared" si="0"/>
        <v>7624</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592</v>
      </c>
      <c r="B8" s="361">
        <f>'Sources and Uses Budget'!C8</f>
        <v>1817497</v>
      </c>
      <c r="C8" s="361">
        <f>SUM(C4:C7)</f>
        <v>1817497</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272448</v>
      </c>
      <c r="C10" s="362">
        <f>B10</f>
        <v>272448</v>
      </c>
      <c r="D10" s="362"/>
      <c r="E10" s="361">
        <f>'Sources and Uses Budget'!S10</f>
        <v>272448</v>
      </c>
      <c r="F10" s="362">
        <f>E10</f>
        <v>272448</v>
      </c>
      <c r="G10" s="362"/>
      <c r="H10" s="361">
        <f>'Sources and Uses Budget'!T10</f>
        <v>0</v>
      </c>
      <c r="I10" s="362"/>
      <c r="J10" s="362"/>
      <c r="K10" s="359"/>
    </row>
    <row r="11" spans="1:11" s="360" customFormat="1">
      <c r="A11" s="365" t="s">
        <v>595</v>
      </c>
      <c r="B11" s="361">
        <f>'Sources and Uses Budget'!C11</f>
        <v>272448</v>
      </c>
      <c r="C11" s="361">
        <f>SUM(C9:C10)</f>
        <v>272448</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2089945</v>
      </c>
      <c r="C12" s="361">
        <f>SUM(C8+C11)</f>
        <v>2089945</v>
      </c>
      <c r="D12" s="361">
        <f>SUM(D8+D11)</f>
        <v>0</v>
      </c>
      <c r="E12" s="363"/>
      <c r="F12" s="363"/>
      <c r="G12" s="363"/>
      <c r="H12" s="363"/>
      <c r="I12" s="363"/>
      <c r="J12" s="363"/>
      <c r="K12" s="359"/>
    </row>
    <row r="13" spans="1:11" s="360" customFormat="1">
      <c r="A13" s="366" t="s">
        <v>901</v>
      </c>
      <c r="B13" s="361">
        <f>'Sources and Uses Budget'!C13</f>
        <v>981575</v>
      </c>
      <c r="C13" s="362">
        <f>B13</f>
        <v>981575</v>
      </c>
      <c r="D13" s="362"/>
      <c r="E13" s="361">
        <f>'Sources and Uses Budget'!S13</f>
        <v>956575</v>
      </c>
      <c r="F13" s="362">
        <f>E13</f>
        <v>956575</v>
      </c>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11579796</v>
      </c>
      <c r="C30" s="362">
        <f>B30</f>
        <v>11579796</v>
      </c>
      <c r="D30" s="362"/>
      <c r="E30" s="361">
        <f>'Sources and Uses Budget'!S30</f>
        <v>11579796</v>
      </c>
      <c r="F30" s="362">
        <f>E30</f>
        <v>11579796</v>
      </c>
      <c r="G30" s="362"/>
      <c r="H30" s="361">
        <f>'Sources and Uses Budget'!T30</f>
        <v>0</v>
      </c>
      <c r="I30" s="362"/>
      <c r="J30" s="362"/>
      <c r="K30" s="359"/>
    </row>
    <row r="31" spans="1:11" s="360" customFormat="1">
      <c r="A31" s="145" t="s">
        <v>599</v>
      </c>
      <c r="B31" s="361">
        <f>'Sources and Uses Budget'!C31</f>
        <v>890760</v>
      </c>
      <c r="C31" s="362">
        <f t="shared" ref="C31:C37" si="1">B31</f>
        <v>890760</v>
      </c>
      <c r="D31" s="362"/>
      <c r="E31" s="361">
        <f>'Sources and Uses Budget'!S31</f>
        <v>890760</v>
      </c>
      <c r="F31" s="362">
        <f t="shared" ref="F31:F37" si="2">E31</f>
        <v>890760</v>
      </c>
      <c r="G31" s="362"/>
      <c r="H31" s="361">
        <f>'Sources and Uses Budget'!T31</f>
        <v>0</v>
      </c>
      <c r="I31" s="362"/>
      <c r="J31" s="362"/>
      <c r="K31" s="359"/>
    </row>
    <row r="32" spans="1:11" s="360" customFormat="1">
      <c r="A32" s="145" t="s">
        <v>137</v>
      </c>
      <c r="B32" s="361">
        <f>'Sources and Uses Budget'!C32</f>
        <v>1014668</v>
      </c>
      <c r="C32" s="362">
        <f t="shared" si="1"/>
        <v>1014668</v>
      </c>
      <c r="D32" s="362"/>
      <c r="E32" s="361">
        <f>'Sources and Uses Budget'!S32</f>
        <v>1014668</v>
      </c>
      <c r="F32" s="362">
        <f t="shared" si="2"/>
        <v>1014668</v>
      </c>
      <c r="G32" s="362"/>
      <c r="H32" s="361">
        <f>'Sources and Uses Budget'!T32</f>
        <v>0</v>
      </c>
      <c r="I32" s="362"/>
      <c r="J32" s="362"/>
      <c r="K32" s="359"/>
    </row>
    <row r="33" spans="1:11" s="360" customFormat="1">
      <c r="A33" s="145" t="s">
        <v>138</v>
      </c>
      <c r="B33" s="361">
        <f>'Sources and Uses Budget'!C33</f>
        <v>0</v>
      </c>
      <c r="C33" s="362">
        <f t="shared" si="1"/>
        <v>0</v>
      </c>
      <c r="D33" s="362"/>
      <c r="E33" s="361">
        <f>'Sources and Uses Budget'!S33</f>
        <v>0</v>
      </c>
      <c r="F33" s="362">
        <f t="shared" si="2"/>
        <v>0</v>
      </c>
      <c r="G33" s="362"/>
      <c r="H33" s="361">
        <f>'Sources and Uses Budget'!T33</f>
        <v>0</v>
      </c>
      <c r="I33" s="362"/>
      <c r="J33" s="362"/>
      <c r="K33" s="359"/>
    </row>
    <row r="34" spans="1:11" s="360" customFormat="1">
      <c r="A34" s="145" t="s">
        <v>139</v>
      </c>
      <c r="B34" s="361">
        <f>'Sources and Uses Budget'!C34</f>
        <v>0</v>
      </c>
      <c r="C34" s="362">
        <f t="shared" si="1"/>
        <v>0</v>
      </c>
      <c r="D34" s="362"/>
      <c r="E34" s="361">
        <f>'Sources and Uses Budget'!S34</f>
        <v>0</v>
      </c>
      <c r="F34" s="362">
        <f t="shared" si="2"/>
        <v>0</v>
      </c>
      <c r="G34" s="362"/>
      <c r="H34" s="361">
        <f>'Sources and Uses Budget'!T34</f>
        <v>0</v>
      </c>
      <c r="I34" s="362"/>
      <c r="J34" s="362"/>
      <c r="K34" s="359"/>
    </row>
    <row r="35" spans="1:11" s="360" customFormat="1">
      <c r="A35" s="145" t="s">
        <v>140</v>
      </c>
      <c r="B35" s="361">
        <f>'Sources and Uses Budget'!C35</f>
        <v>0</v>
      </c>
      <c r="C35" s="362">
        <f t="shared" si="1"/>
        <v>0</v>
      </c>
      <c r="D35" s="362"/>
      <c r="E35" s="361">
        <f>'Sources and Uses Budget'!S35</f>
        <v>0</v>
      </c>
      <c r="F35" s="362">
        <f t="shared" si="2"/>
        <v>0</v>
      </c>
      <c r="G35" s="362"/>
      <c r="H35" s="361">
        <f>'Sources and Uses Budget'!T35</f>
        <v>0</v>
      </c>
      <c r="I35" s="362"/>
      <c r="J35" s="362"/>
      <c r="K35" s="359"/>
    </row>
    <row r="36" spans="1:11" s="360" customFormat="1">
      <c r="A36" s="508" t="s">
        <v>1628</v>
      </c>
      <c r="B36" s="361">
        <f>'Sources and Uses Budget'!C36</f>
        <v>10000</v>
      </c>
      <c r="C36" s="362">
        <f t="shared" si="1"/>
        <v>10000</v>
      </c>
      <c r="D36" s="362"/>
      <c r="E36" s="361">
        <f>'Sources and Uses Budget'!S36</f>
        <v>10000</v>
      </c>
      <c r="F36" s="362">
        <f t="shared" si="2"/>
        <v>10000</v>
      </c>
      <c r="G36" s="362"/>
      <c r="H36" s="361">
        <f>'Sources and Uses Budget'!T36</f>
        <v>0</v>
      </c>
      <c r="I36" s="362"/>
      <c r="J36" s="362"/>
      <c r="K36" s="359"/>
    </row>
    <row r="37" spans="1:11" s="360" customFormat="1">
      <c r="A37" s="364">
        <f>'Sources and Uses Budget'!$A37</f>
        <v>0</v>
      </c>
      <c r="B37" s="361">
        <f>'Sources and Uses Budget'!C37</f>
        <v>0</v>
      </c>
      <c r="C37" s="362">
        <f t="shared" si="1"/>
        <v>0</v>
      </c>
      <c r="D37" s="362"/>
      <c r="E37" s="361">
        <f>'Sources and Uses Budget'!S37</f>
        <v>0</v>
      </c>
      <c r="F37" s="362">
        <f t="shared" si="2"/>
        <v>0</v>
      </c>
      <c r="G37" s="362"/>
      <c r="H37" s="361">
        <f>'Sources and Uses Budget'!T37</f>
        <v>0</v>
      </c>
      <c r="I37" s="362"/>
      <c r="J37" s="362"/>
      <c r="K37" s="359"/>
    </row>
    <row r="38" spans="1:11" s="360" customFormat="1">
      <c r="A38" s="365" t="s">
        <v>143</v>
      </c>
      <c r="B38" s="361">
        <f>'Sources and Uses Budget'!C38</f>
        <v>13495224</v>
      </c>
      <c r="C38" s="361">
        <f>SUM(C29:C37)</f>
        <v>13495224</v>
      </c>
      <c r="D38" s="361">
        <f>SUM(D29:D37)</f>
        <v>0</v>
      </c>
      <c r="E38" s="361">
        <f>'Sources and Uses Budget'!S38</f>
        <v>13495224</v>
      </c>
      <c r="F38" s="367">
        <f>SUM(F29:F37)</f>
        <v>13495224</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1177022</v>
      </c>
      <c r="C40" s="362">
        <f>B40</f>
        <v>1177022</v>
      </c>
      <c r="D40" s="362"/>
      <c r="E40" s="361">
        <f>'Sources and Uses Budget'!S40</f>
        <v>1177022</v>
      </c>
      <c r="F40" s="362">
        <f>E40</f>
        <v>1177022</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1177022</v>
      </c>
      <c r="C42" s="361">
        <f>SUM(C39:C41)</f>
        <v>1177022</v>
      </c>
      <c r="D42" s="361">
        <f>SUM(D39:D41)</f>
        <v>0</v>
      </c>
      <c r="E42" s="361">
        <f>'Sources and Uses Budget'!S42</f>
        <v>1177022</v>
      </c>
      <c r="F42" s="367">
        <f>SUM(F40:F41)</f>
        <v>1177022</v>
      </c>
      <c r="G42" s="367">
        <f>SUM(G40:G41)</f>
        <v>0</v>
      </c>
      <c r="H42" s="361">
        <f>'Sources and Uses Budget'!T42</f>
        <v>0</v>
      </c>
      <c r="I42" s="367">
        <f>SUM(I40:I41)</f>
        <v>0</v>
      </c>
      <c r="J42" s="367">
        <f>SUM(J40:J41)</f>
        <v>0</v>
      </c>
      <c r="K42" s="359"/>
    </row>
    <row r="43" spans="1:11" s="360" customFormat="1">
      <c r="A43" s="365" t="s">
        <v>148</v>
      </c>
      <c r="B43" s="361">
        <f>'Sources and Uses Budget'!C43</f>
        <v>371000</v>
      </c>
      <c r="C43" s="362">
        <f>B43</f>
        <v>371000</v>
      </c>
      <c r="D43" s="362"/>
      <c r="E43" s="361">
        <f>'Sources and Uses Budget'!S43</f>
        <v>371000</v>
      </c>
      <c r="F43" s="362">
        <f>E43</f>
        <v>371000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1378296</v>
      </c>
      <c r="C45" s="362">
        <f>B45</f>
        <v>1378296</v>
      </c>
      <c r="D45" s="362"/>
      <c r="E45" s="361">
        <f>'Sources and Uses Budget'!S45</f>
        <v>865468</v>
      </c>
      <c r="F45" s="362">
        <f>E45</f>
        <v>865468</v>
      </c>
      <c r="G45" s="362"/>
      <c r="H45" s="361">
        <f>'Sources and Uses Budget'!T45</f>
        <v>0</v>
      </c>
      <c r="I45" s="362"/>
      <c r="J45" s="362"/>
      <c r="K45" s="359"/>
    </row>
    <row r="46" spans="1:11" s="360" customFormat="1">
      <c r="A46" s="364" t="s">
        <v>151</v>
      </c>
      <c r="B46" s="361">
        <f>'Sources and Uses Budget'!C46</f>
        <v>90342</v>
      </c>
      <c r="C46" s="362">
        <f t="shared" ref="C46:C53" si="3">B46</f>
        <v>90342</v>
      </c>
      <c r="D46" s="362"/>
      <c r="E46" s="361">
        <f>'Sources and Uses Budget'!S46</f>
        <v>46815</v>
      </c>
      <c r="F46" s="362">
        <f t="shared" ref="F46:F53" si="4">E46</f>
        <v>46815</v>
      </c>
      <c r="G46" s="362"/>
      <c r="H46" s="361">
        <f>'Sources and Uses Budget'!T46</f>
        <v>0</v>
      </c>
      <c r="I46" s="362"/>
      <c r="J46" s="362"/>
      <c r="K46" s="359"/>
    </row>
    <row r="47" spans="1:11" s="360" customFormat="1" ht="12" customHeight="1">
      <c r="A47" s="364" t="s">
        <v>152</v>
      </c>
      <c r="B47" s="361">
        <f>'Sources and Uses Budget'!C47</f>
        <v>0</v>
      </c>
      <c r="C47" s="362">
        <f t="shared" si="3"/>
        <v>0</v>
      </c>
      <c r="D47" s="362"/>
      <c r="E47" s="361">
        <f>'Sources and Uses Budget'!S47</f>
        <v>0</v>
      </c>
      <c r="F47" s="362">
        <f t="shared" si="4"/>
        <v>0</v>
      </c>
      <c r="G47" s="362"/>
      <c r="H47" s="361">
        <f>'Sources and Uses Budget'!T47</f>
        <v>0</v>
      </c>
      <c r="I47" s="362"/>
      <c r="J47" s="362"/>
      <c r="K47" s="359"/>
    </row>
    <row r="48" spans="1:11" s="360" customFormat="1">
      <c r="A48" s="364" t="s">
        <v>153</v>
      </c>
      <c r="B48" s="361">
        <f>'Sources and Uses Budget'!C48</f>
        <v>0</v>
      </c>
      <c r="C48" s="362">
        <f t="shared" si="3"/>
        <v>0</v>
      </c>
      <c r="D48" s="362"/>
      <c r="E48" s="361">
        <f>'Sources and Uses Budget'!S48</f>
        <v>0</v>
      </c>
      <c r="F48" s="362">
        <f t="shared" si="4"/>
        <v>0</v>
      </c>
      <c r="G48" s="362"/>
      <c r="H48" s="361">
        <f>'Sources and Uses Budget'!T48</f>
        <v>0</v>
      </c>
      <c r="I48" s="362"/>
      <c r="J48" s="362"/>
      <c r="K48" s="359"/>
    </row>
    <row r="49" spans="1:11" s="360" customFormat="1">
      <c r="A49" s="283" t="s">
        <v>57</v>
      </c>
      <c r="B49" s="361">
        <f>'Sources and Uses Budget'!C49</f>
        <v>48014</v>
      </c>
      <c r="C49" s="362">
        <f t="shared" si="3"/>
        <v>48014</v>
      </c>
      <c r="D49" s="362"/>
      <c r="E49" s="361">
        <f>'Sources and Uses Budget'!S49</f>
        <v>24882</v>
      </c>
      <c r="F49" s="362">
        <f t="shared" si="4"/>
        <v>24882</v>
      </c>
      <c r="G49" s="362"/>
      <c r="H49" s="361">
        <f>'Sources and Uses Budget'!T49</f>
        <v>0</v>
      </c>
      <c r="I49" s="362"/>
      <c r="J49" s="362"/>
      <c r="K49" s="359"/>
    </row>
    <row r="50" spans="1:11" s="360" customFormat="1">
      <c r="A50" s="364" t="s">
        <v>156</v>
      </c>
      <c r="B50" s="361">
        <f>'Sources and Uses Budget'!C50</f>
        <v>60000</v>
      </c>
      <c r="C50" s="362">
        <f t="shared" si="3"/>
        <v>60000</v>
      </c>
      <c r="D50" s="362"/>
      <c r="E50" s="361">
        <f>'Sources and Uses Budget'!S50</f>
        <v>60000</v>
      </c>
      <c r="F50" s="362">
        <f t="shared" si="4"/>
        <v>60000</v>
      </c>
      <c r="G50" s="362"/>
      <c r="H50" s="361">
        <f>'Sources and Uses Budget'!T50</f>
        <v>0</v>
      </c>
      <c r="I50" s="362"/>
      <c r="J50" s="362"/>
      <c r="K50" s="359"/>
    </row>
    <row r="51" spans="1:11" s="360" customFormat="1">
      <c r="A51" s="364" t="s">
        <v>154</v>
      </c>
      <c r="B51" s="361">
        <f>'Sources and Uses Budget'!C51</f>
        <v>151416</v>
      </c>
      <c r="C51" s="362">
        <f t="shared" si="3"/>
        <v>151416</v>
      </c>
      <c r="D51" s="362"/>
      <c r="E51" s="361">
        <f>'Sources and Uses Budget'!S51</f>
        <v>151416</v>
      </c>
      <c r="F51" s="362">
        <f t="shared" si="4"/>
        <v>151416</v>
      </c>
      <c r="G51" s="362"/>
      <c r="H51" s="361">
        <f>'Sources and Uses Budget'!T51</f>
        <v>0</v>
      </c>
      <c r="I51" s="362"/>
      <c r="J51" s="362"/>
      <c r="K51" s="359"/>
    </row>
    <row r="52" spans="1:11" s="360" customFormat="1">
      <c r="A52" s="364" t="s">
        <v>155</v>
      </c>
      <c r="B52" s="361">
        <f>'Sources and Uses Budget'!C52</f>
        <v>200000</v>
      </c>
      <c r="C52" s="362">
        <f t="shared" si="3"/>
        <v>200000</v>
      </c>
      <c r="D52" s="362"/>
      <c r="E52" s="361">
        <f>'Sources and Uses Budget'!S52</f>
        <v>200000</v>
      </c>
      <c r="F52" s="362">
        <f t="shared" si="4"/>
        <v>200000</v>
      </c>
      <c r="G52" s="362"/>
      <c r="H52" s="361">
        <f>'Sources and Uses Budget'!T52</f>
        <v>0</v>
      </c>
      <c r="I52" s="362"/>
      <c r="J52" s="362"/>
      <c r="K52" s="359"/>
    </row>
    <row r="53" spans="1:11" s="360" customFormat="1">
      <c r="A53" s="364" t="str">
        <f>'Sources and Uses Budget'!$A53</f>
        <v>Lender Expenses</v>
      </c>
      <c r="B53" s="361">
        <f>'Sources and Uses Budget'!C53</f>
        <v>40000</v>
      </c>
      <c r="C53" s="362">
        <f t="shared" si="3"/>
        <v>40000</v>
      </c>
      <c r="D53" s="362"/>
      <c r="E53" s="361">
        <f>'Sources and Uses Budget'!S53</f>
        <v>20728</v>
      </c>
      <c r="F53" s="362">
        <f t="shared" si="4"/>
        <v>20728</v>
      </c>
      <c r="G53" s="362"/>
      <c r="H53" s="361">
        <f>'Sources and Uses Budget'!T53</f>
        <v>0</v>
      </c>
      <c r="I53" s="362"/>
      <c r="J53" s="362"/>
      <c r="K53" s="359"/>
    </row>
    <row r="54" spans="1:11" s="369" customFormat="1">
      <c r="A54" s="365" t="s">
        <v>157</v>
      </c>
      <c r="B54" s="361">
        <f>'Sources and Uses Budget'!C54</f>
        <v>1968068</v>
      </c>
      <c r="C54" s="367">
        <f>SUM(C45:C53)</f>
        <v>1968068</v>
      </c>
      <c r="D54" s="367">
        <f>SUM(D45:D53)</f>
        <v>0</v>
      </c>
      <c r="E54" s="361">
        <f>'Sources and Uses Budget'!S54</f>
        <v>1369309</v>
      </c>
      <c r="F54" s="367">
        <f>SUM(F45:F53)</f>
        <v>1369309</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30000</v>
      </c>
      <c r="C58" s="362">
        <f>B58</f>
        <v>30000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 Perm Closing</v>
      </c>
      <c r="B61" s="361">
        <f>'Sources and Uses Budget'!C61</f>
        <v>40000</v>
      </c>
      <c r="C61" s="362">
        <f>B61</f>
        <v>40000</v>
      </c>
      <c r="D61" s="362"/>
      <c r="E61" s="363"/>
      <c r="F61" s="363"/>
      <c r="G61" s="363"/>
      <c r="H61" s="363"/>
      <c r="I61" s="363"/>
      <c r="J61" s="363"/>
      <c r="K61" s="359"/>
    </row>
    <row r="62" spans="1:11" s="360" customFormat="1" ht="13.7" customHeight="1">
      <c r="A62" s="365" t="s">
        <v>301</v>
      </c>
      <c r="B62" s="361">
        <f>'Sources and Uses Budget'!C62</f>
        <v>70000</v>
      </c>
      <c r="C62" s="361">
        <f>SUM(C56:C61)</f>
        <v>70000</v>
      </c>
      <c r="D62" s="361">
        <f>SUM(D56:D61)</f>
        <v>0</v>
      </c>
      <c r="E62" s="363"/>
      <c r="F62" s="363"/>
      <c r="G62" s="363"/>
      <c r="H62" s="363"/>
      <c r="I62" s="363"/>
      <c r="J62" s="363"/>
      <c r="K62" s="359"/>
    </row>
    <row r="63" spans="1:11" s="360" customFormat="1">
      <c r="A63" s="370" t="s">
        <v>302</v>
      </c>
      <c r="B63" s="361">
        <f>'Sources and Uses Budget'!C63</f>
        <v>20152834</v>
      </c>
      <c r="C63" s="361">
        <f>SUM(C8+C11+C13+C14+C15+C26+C27+C38+C42+C43+C54+C62)</f>
        <v>20152834</v>
      </c>
      <c r="D63" s="361">
        <f>SUM(D8+D11+D13+D14+D15+D26+D27+D38+D42+D43+D54+D62)</f>
        <v>0</v>
      </c>
      <c r="E63" s="361">
        <f>'Sources and Uses Budget'!S63</f>
        <v>17641578</v>
      </c>
      <c r="F63" s="361">
        <f>SUM(F10+F13+F14+F15+F26+F27+F38+F42+F43+F54)</f>
        <v>17641578</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60000</v>
      </c>
      <c r="C65" s="362">
        <f>B65</f>
        <v>60000</v>
      </c>
      <c r="D65" s="362"/>
      <c r="E65" s="361">
        <f>'Sources and Uses Budget'!S65</f>
        <v>31092</v>
      </c>
      <c r="F65" s="362">
        <f>E65</f>
        <v>31092</v>
      </c>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f t="shared" ref="F66:F69" si="5">E66</f>
        <v>0</v>
      </c>
      <c r="G66" s="362"/>
      <c r="H66" s="361">
        <f>'Sources and Uses Budget'!T66</f>
        <v>0</v>
      </c>
      <c r="I66" s="362"/>
      <c r="J66" s="362"/>
      <c r="K66" s="359"/>
    </row>
    <row r="67" spans="1:11" s="360" customFormat="1" ht="24">
      <c r="A67" s="283" t="s">
        <v>1630</v>
      </c>
      <c r="B67" s="361">
        <f>'Sources and Uses Budget'!C67</f>
        <v>60000</v>
      </c>
      <c r="C67" s="362">
        <f>B67</f>
        <v>60000</v>
      </c>
      <c r="D67" s="362"/>
      <c r="E67" s="361">
        <f>'Sources and Uses Budget'!S67</f>
        <v>60000</v>
      </c>
      <c r="F67" s="362">
        <f t="shared" si="5"/>
        <v>60000</v>
      </c>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f t="shared" si="5"/>
        <v>0</v>
      </c>
      <c r="G68" s="362"/>
      <c r="H68" s="361">
        <f>'Sources and Uses Budget'!T68</f>
        <v>0</v>
      </c>
      <c r="I68" s="362"/>
      <c r="J68" s="362"/>
      <c r="K68" s="359"/>
    </row>
    <row r="69" spans="1:11" s="360" customFormat="1">
      <c r="A69" s="364" t="str">
        <f>'Sources and Uses Budget'!$A69</f>
        <v>Legal - Construction Closing</v>
      </c>
      <c r="B69" s="361">
        <f>'Sources and Uses Budget'!C69</f>
        <v>40000</v>
      </c>
      <c r="C69" s="362">
        <f>B69</f>
        <v>40000</v>
      </c>
      <c r="D69" s="362"/>
      <c r="E69" s="361">
        <f>'Sources and Uses Budget'!S69</f>
        <v>40000</v>
      </c>
      <c r="F69" s="362">
        <f t="shared" si="5"/>
        <v>40000</v>
      </c>
      <c r="G69" s="362"/>
      <c r="H69" s="361">
        <f>'Sources and Uses Budget'!T69</f>
        <v>0</v>
      </c>
      <c r="I69" s="362"/>
      <c r="J69" s="362"/>
      <c r="K69" s="359"/>
    </row>
    <row r="70" spans="1:11" s="360" customFormat="1">
      <c r="A70" s="365" t="s">
        <v>600</v>
      </c>
      <c r="B70" s="361">
        <f>'Sources and Uses Budget'!C70</f>
        <v>160000</v>
      </c>
      <c r="C70" s="361">
        <f>SUM(C64:C69)</f>
        <v>160000</v>
      </c>
      <c r="D70" s="361">
        <f>SUM(D64:D69)</f>
        <v>0</v>
      </c>
      <c r="E70" s="361">
        <f>'Sources and Uses Budget'!S70</f>
        <v>131092</v>
      </c>
      <c r="F70" s="367">
        <f>SUM(F65:F69)</f>
        <v>131092</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85950</v>
      </c>
      <c r="C75" s="362">
        <f>B75</f>
        <v>85950</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85950</v>
      </c>
      <c r="C77" s="361">
        <f>SUM(C72:C76)</f>
        <v>85950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688377</v>
      </c>
      <c r="C79" s="362">
        <f>B79</f>
        <v>688377</v>
      </c>
      <c r="D79" s="362"/>
      <c r="E79" s="361">
        <f>'Sources and Uses Budget'!S79</f>
        <v>688377</v>
      </c>
      <c r="F79" s="362">
        <f>E79</f>
        <v>688377</v>
      </c>
      <c r="G79" s="362"/>
      <c r="H79" s="361">
        <f>'Sources and Uses Budget'!T79</f>
        <v>0</v>
      </c>
      <c r="I79" s="362"/>
      <c r="J79" s="362"/>
      <c r="K79" s="359"/>
    </row>
    <row r="80" spans="1:11" s="360" customFormat="1">
      <c r="A80" s="364" t="s">
        <v>58</v>
      </c>
      <c r="B80" s="361">
        <f>'Sources and Uses Budget'!C80</f>
        <v>267022</v>
      </c>
      <c r="C80" s="362">
        <f>B80</f>
        <v>267022</v>
      </c>
      <c r="D80" s="362"/>
      <c r="E80" s="361">
        <f>'Sources and Uses Budget'!S80</f>
        <v>267022</v>
      </c>
      <c r="F80" s="362">
        <f>E80</f>
        <v>267022</v>
      </c>
      <c r="G80" s="362"/>
      <c r="H80" s="361">
        <f>'Sources and Uses Budget'!T80</f>
        <v>0</v>
      </c>
      <c r="I80" s="362"/>
      <c r="J80" s="362"/>
      <c r="K80" s="359"/>
    </row>
    <row r="81" spans="1:11" s="360" customFormat="1">
      <c r="A81" s="365" t="s">
        <v>1208</v>
      </c>
      <c r="B81" s="361">
        <f>'Sources and Uses Budget'!C81</f>
        <v>955399</v>
      </c>
      <c r="C81" s="361">
        <f>SUM(C79:C80)</f>
        <v>955399</v>
      </c>
      <c r="D81" s="361">
        <f>SUM(D79:D80)</f>
        <v>0</v>
      </c>
      <c r="E81" s="361">
        <f>'Sources and Uses Budget'!S81</f>
        <v>955399</v>
      </c>
      <c r="F81" s="361">
        <f>SUM(F79:F80)</f>
        <v>955399</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2050</v>
      </c>
      <c r="B83" s="361">
        <f>'Sources and Uses Budget'!C83</f>
        <v>33249</v>
      </c>
      <c r="C83" s="362">
        <f>B83</f>
        <v>33249</v>
      </c>
      <c r="D83" s="362"/>
      <c r="E83" s="363"/>
      <c r="F83" s="363"/>
      <c r="G83" s="363"/>
      <c r="H83" s="363"/>
      <c r="I83" s="363"/>
      <c r="J83" s="363"/>
      <c r="K83" s="359"/>
    </row>
    <row r="84" spans="1:11" s="360" customFormat="1">
      <c r="A84" s="145" t="s">
        <v>766</v>
      </c>
      <c r="B84" s="361">
        <f>'Sources and Uses Budget'!C84</f>
        <v>16580</v>
      </c>
      <c r="C84" s="362">
        <f t="shared" ref="C84:C95" si="6">B84</f>
        <v>16580</v>
      </c>
      <c r="D84" s="362"/>
      <c r="E84" s="361">
        <f>'Sources and Uses Budget'!S84</f>
        <v>16580</v>
      </c>
      <c r="F84" s="362">
        <f>E84</f>
        <v>16580</v>
      </c>
      <c r="G84" s="362"/>
      <c r="H84" s="361">
        <f>'Sources and Uses Budget'!T84</f>
        <v>0</v>
      </c>
      <c r="I84" s="362"/>
      <c r="J84" s="362"/>
      <c r="K84" s="359"/>
    </row>
    <row r="85" spans="1:11" s="360" customFormat="1">
      <c r="A85" s="145" t="s">
        <v>767</v>
      </c>
      <c r="B85" s="361">
        <f>'Sources and Uses Budget'!C85</f>
        <v>600756</v>
      </c>
      <c r="C85" s="362">
        <f t="shared" si="6"/>
        <v>600756</v>
      </c>
      <c r="D85" s="362"/>
      <c r="E85" s="361">
        <f>'Sources and Uses Budget'!S85</f>
        <v>600756</v>
      </c>
      <c r="F85" s="362">
        <f t="shared" ref="F85:F87" si="7">E85</f>
        <v>600756</v>
      </c>
      <c r="G85" s="362"/>
      <c r="H85" s="361">
        <f>'Sources and Uses Budget'!T85</f>
        <v>0</v>
      </c>
      <c r="I85" s="362"/>
      <c r="J85" s="362"/>
      <c r="K85" s="359"/>
    </row>
    <row r="86" spans="1:11" s="360" customFormat="1">
      <c r="A86" s="145" t="s">
        <v>768</v>
      </c>
      <c r="B86" s="361">
        <f>'Sources and Uses Budget'!C86</f>
        <v>311563</v>
      </c>
      <c r="C86" s="362">
        <f t="shared" si="6"/>
        <v>311563</v>
      </c>
      <c r="D86" s="362"/>
      <c r="E86" s="361">
        <f>'Sources and Uses Budget'!S86</f>
        <v>311563</v>
      </c>
      <c r="F86" s="362">
        <f t="shared" si="7"/>
        <v>311563</v>
      </c>
      <c r="G86" s="362"/>
      <c r="H86" s="361">
        <f>'Sources and Uses Budget'!T86</f>
        <v>0</v>
      </c>
      <c r="I86" s="362"/>
      <c r="J86" s="362"/>
      <c r="K86" s="359"/>
    </row>
    <row r="87" spans="1:11" s="360" customFormat="1">
      <c r="A87" s="145" t="s">
        <v>769</v>
      </c>
      <c r="B87" s="361">
        <f>'Sources and Uses Budget'!C87</f>
        <v>0</v>
      </c>
      <c r="C87" s="362">
        <f t="shared" si="6"/>
        <v>0</v>
      </c>
      <c r="D87" s="362"/>
      <c r="E87" s="361">
        <f>'Sources and Uses Budget'!S87</f>
        <v>0</v>
      </c>
      <c r="F87" s="362">
        <f t="shared" si="7"/>
        <v>0</v>
      </c>
      <c r="G87" s="362"/>
      <c r="H87" s="361">
        <f>'Sources and Uses Budget'!T87</f>
        <v>0</v>
      </c>
      <c r="I87" s="362"/>
      <c r="J87" s="362"/>
      <c r="K87" s="359"/>
    </row>
    <row r="88" spans="1:11" s="360" customFormat="1">
      <c r="A88" s="145" t="s">
        <v>770</v>
      </c>
      <c r="B88" s="361">
        <f>'Sources and Uses Budget'!C88</f>
        <v>37580</v>
      </c>
      <c r="C88" s="362">
        <f t="shared" si="6"/>
        <v>37580</v>
      </c>
      <c r="D88" s="362"/>
      <c r="E88" s="363"/>
      <c r="F88" s="363"/>
      <c r="G88" s="363"/>
      <c r="H88" s="363"/>
      <c r="I88" s="363"/>
      <c r="J88" s="363"/>
      <c r="K88" s="359"/>
    </row>
    <row r="89" spans="1:11" s="360" customFormat="1">
      <c r="A89" s="145" t="s">
        <v>771</v>
      </c>
      <c r="B89" s="361">
        <f>'Sources and Uses Budget'!C89</f>
        <v>60000</v>
      </c>
      <c r="C89" s="362">
        <f t="shared" si="6"/>
        <v>60000</v>
      </c>
      <c r="D89" s="362"/>
      <c r="E89" s="361">
        <f>'Sources and Uses Budget'!S89</f>
        <v>60000</v>
      </c>
      <c r="F89" s="362">
        <f>E89</f>
        <v>60000</v>
      </c>
      <c r="G89" s="362"/>
      <c r="H89" s="361">
        <f>'Sources and Uses Budget'!T89</f>
        <v>0</v>
      </c>
      <c r="I89" s="362"/>
      <c r="J89" s="362"/>
      <c r="K89" s="359"/>
    </row>
    <row r="90" spans="1:11" s="360" customFormat="1">
      <c r="A90" s="145" t="s">
        <v>772</v>
      </c>
      <c r="B90" s="361">
        <f>'Sources and Uses Budget'!C90</f>
        <v>30000</v>
      </c>
      <c r="C90" s="362">
        <f t="shared" si="6"/>
        <v>30000</v>
      </c>
      <c r="D90" s="362"/>
      <c r="E90" s="361">
        <f>'Sources and Uses Budget'!S90</f>
        <v>0</v>
      </c>
      <c r="F90" s="362">
        <f t="shared" ref="F90:F95" si="8">E90</f>
        <v>0</v>
      </c>
      <c r="G90" s="362"/>
      <c r="H90" s="361">
        <f>'Sources and Uses Budget'!T90</f>
        <v>0</v>
      </c>
      <c r="I90" s="362"/>
      <c r="J90" s="362"/>
      <c r="K90" s="359"/>
    </row>
    <row r="91" spans="1:11" s="360" customFormat="1">
      <c r="A91" s="155" t="s">
        <v>372</v>
      </c>
      <c r="B91" s="361">
        <f>'Sources and Uses Budget'!C91</f>
        <v>0</v>
      </c>
      <c r="C91" s="362">
        <f t="shared" si="6"/>
        <v>0</v>
      </c>
      <c r="D91" s="362"/>
      <c r="E91" s="361">
        <f>'Sources and Uses Budget'!S91</f>
        <v>0</v>
      </c>
      <c r="F91" s="362">
        <f t="shared" si="8"/>
        <v>0</v>
      </c>
      <c r="G91" s="362"/>
      <c r="H91" s="361">
        <f>'Sources and Uses Budget'!T91</f>
        <v>0</v>
      </c>
      <c r="I91" s="362"/>
      <c r="J91" s="362"/>
      <c r="K91" s="359"/>
    </row>
    <row r="92" spans="1:11" s="360" customFormat="1">
      <c r="A92" s="508" t="s">
        <v>1210</v>
      </c>
      <c r="B92" s="361">
        <f>'Sources and Uses Budget'!C92</f>
        <v>25000</v>
      </c>
      <c r="C92" s="362">
        <f t="shared" si="6"/>
        <v>25000</v>
      </c>
      <c r="D92" s="362"/>
      <c r="E92" s="361">
        <f>'Sources and Uses Budget'!S92</f>
        <v>25000</v>
      </c>
      <c r="F92" s="362">
        <f t="shared" si="8"/>
        <v>25000</v>
      </c>
      <c r="G92" s="362"/>
      <c r="H92" s="361">
        <f>'Sources and Uses Budget'!T92</f>
        <v>0</v>
      </c>
      <c r="I92" s="362"/>
      <c r="J92" s="362"/>
      <c r="K92" s="359"/>
    </row>
    <row r="93" spans="1:11" s="360" customFormat="1" ht="48">
      <c r="A93" s="364" t="str">
        <f>'Sources and Uses Budget'!$A93</f>
        <v>Other Basis Eligible: Security, Utility Connection, special inspections testing, geotech/soils report, Project Admin</v>
      </c>
      <c r="B93" s="361">
        <f>'Sources and Uses Budget'!C93</f>
        <v>573393</v>
      </c>
      <c r="C93" s="362">
        <f t="shared" si="6"/>
        <v>573393</v>
      </c>
      <c r="D93" s="362"/>
      <c r="E93" s="361">
        <f>'Sources and Uses Budget'!S93</f>
        <v>573393</v>
      </c>
      <c r="F93" s="362">
        <f t="shared" si="8"/>
        <v>573393</v>
      </c>
      <c r="G93" s="362"/>
      <c r="H93" s="361">
        <f>'Sources and Uses Budget'!T93</f>
        <v>0</v>
      </c>
      <c r="I93" s="362"/>
      <c r="J93" s="362"/>
      <c r="K93" s="359"/>
    </row>
    <row r="94" spans="1:11" s="360" customFormat="1" ht="24">
      <c r="A94" s="364" t="str">
        <f>'Sources and Uses Budget'!$A94</f>
        <v>Non-Basis Elgible:Title recording Acquisition, SLO Lender Fees</v>
      </c>
      <c r="B94" s="361">
        <f>'Sources and Uses Budget'!C94</f>
        <v>28483</v>
      </c>
      <c r="C94" s="362">
        <f t="shared" si="6"/>
        <v>28483</v>
      </c>
      <c r="D94" s="362"/>
      <c r="E94" s="361">
        <f>'Sources and Uses Budget'!S94</f>
        <v>0</v>
      </c>
      <c r="F94" s="362">
        <f t="shared" si="8"/>
        <v>0</v>
      </c>
      <c r="G94" s="362"/>
      <c r="H94" s="361">
        <f>'Sources and Uses Budget'!T94</f>
        <v>0</v>
      </c>
      <c r="I94" s="362"/>
      <c r="J94" s="362"/>
      <c r="K94" s="359"/>
    </row>
    <row r="95" spans="1:11" s="360" customFormat="1">
      <c r="A95" s="364" t="str">
        <f>'Sources and Uses Budget'!$A95</f>
        <v>Lease-Up Expenses</v>
      </c>
      <c r="B95" s="361">
        <f>'Sources and Uses Budget'!C95</f>
        <v>25000</v>
      </c>
      <c r="C95" s="362">
        <f t="shared" si="6"/>
        <v>25000</v>
      </c>
      <c r="D95" s="362"/>
      <c r="E95" s="361">
        <f>'Sources and Uses Budget'!S95</f>
        <v>0</v>
      </c>
      <c r="F95" s="362">
        <f t="shared" si="8"/>
        <v>0</v>
      </c>
      <c r="G95" s="362"/>
      <c r="H95" s="361">
        <f>'Sources and Uses Budget'!T95</f>
        <v>0</v>
      </c>
      <c r="I95" s="362"/>
      <c r="J95" s="362"/>
      <c r="K95" s="359"/>
    </row>
    <row r="96" spans="1:11" s="360" customFormat="1">
      <c r="A96" s="365" t="s">
        <v>773</v>
      </c>
      <c r="B96" s="361">
        <f>'Sources and Uses Budget'!C96</f>
        <v>1741604</v>
      </c>
      <c r="C96" s="361">
        <f>SUM(C83:C95)</f>
        <v>1741604</v>
      </c>
      <c r="D96" s="361">
        <f>SUM(D83:D95)</f>
        <v>0</v>
      </c>
      <c r="E96" s="361">
        <f>'Sources and Uses Budget'!S96</f>
        <v>1587292</v>
      </c>
      <c r="F96" s="367">
        <f>SUM(F84:F87,F89:F95)</f>
        <v>1587292</v>
      </c>
      <c r="G96" s="367">
        <f>SUM(G84:G87,G89:G95)</f>
        <v>0</v>
      </c>
      <c r="H96" s="361">
        <f>'Sources and Uses Budget'!T96</f>
        <v>0</v>
      </c>
      <c r="I96" s="361">
        <f>SUM(I84:I87,I89:I95)</f>
        <v>0</v>
      </c>
      <c r="J96" s="361">
        <f>SUM(J84:J87,J89:J95)</f>
        <v>0</v>
      </c>
      <c r="K96" s="359"/>
    </row>
    <row r="97" spans="1:11" s="360" customFormat="1">
      <c r="A97" s="365" t="s">
        <v>1028</v>
      </c>
      <c r="B97" s="361">
        <f>'Sources and Uses Budget'!C97</f>
        <v>23095787</v>
      </c>
      <c r="C97" s="361">
        <f>SUM(C63+C70+C77+C81+C96)</f>
        <v>23095787</v>
      </c>
      <c r="D97" s="361">
        <f>SUM(D63+D70+D77+D81+D96)</f>
        <v>0</v>
      </c>
      <c r="E97" s="361">
        <f>'Sources and Uses Budget'!S97</f>
        <v>20315361</v>
      </c>
      <c r="F97" s="367">
        <f>SUM(+F63+F70+F81+F96)</f>
        <v>20315361</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3047304</v>
      </c>
      <c r="C99" s="362">
        <f>B99</f>
        <v>3047304</v>
      </c>
      <c r="D99" s="362"/>
      <c r="E99" s="361">
        <f>'Sources and Uses Budget'!S99</f>
        <v>3047304</v>
      </c>
      <c r="F99" s="362">
        <f>E99</f>
        <v>3047304</v>
      </c>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3047304</v>
      </c>
      <c r="C104" s="361">
        <f>SUM(C99:C103)</f>
        <v>3047304</v>
      </c>
      <c r="D104" s="361">
        <f>SUM(D99:D103)</f>
        <v>0</v>
      </c>
      <c r="E104" s="361">
        <f>'Sources and Uses Budget'!S104</f>
        <v>3047304</v>
      </c>
      <c r="F104" s="367">
        <f>SUM(F99:F103)</f>
        <v>3047304</v>
      </c>
      <c r="G104" s="367">
        <f>SUM(G99:G103)</f>
        <v>0</v>
      </c>
      <c r="H104" s="361">
        <f>'Sources and Uses Budget'!T104</f>
        <v>0</v>
      </c>
      <c r="I104" s="367">
        <f>SUM(I99:I103)</f>
        <v>0</v>
      </c>
      <c r="J104" s="367">
        <f>SUM(J99:J103)</f>
        <v>0</v>
      </c>
      <c r="K104" s="359"/>
    </row>
    <row r="105" spans="1:11" s="360" customFormat="1">
      <c r="A105" s="365" t="s">
        <v>1029</v>
      </c>
      <c r="B105" s="361">
        <f>'Sources and Uses Budget'!C105</f>
        <v>26143091</v>
      </c>
      <c r="C105" s="367">
        <f>SUM(C97+C104)</f>
        <v>26143091</v>
      </c>
      <c r="D105" s="367">
        <f>SUM(D97+D104)</f>
        <v>0</v>
      </c>
      <c r="E105" s="361">
        <f>'Sources and Uses Budget'!S105</f>
        <v>23362665</v>
      </c>
      <c r="F105" s="367">
        <f>F97+F104</f>
        <v>23362665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23362665</v>
      </c>
      <c r="F107" s="367">
        <f>F105+F106</f>
        <v>23362665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1"/>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2"/>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2" t="s">
        <v>2390</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2389</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6" t="s">
        <v>2594</v>
      </c>
      <c r="AY3" s="2177"/>
      <c r="AZ3" s="2177"/>
      <c r="BA3" s="2328"/>
      <c r="BB3" s="2176" t="s">
        <v>2595</v>
      </c>
      <c r="BC3" s="2177"/>
      <c r="BD3" s="2177"/>
      <c r="BE3" s="2328"/>
    </row>
    <row r="4" spans="1:65" ht="15.75" customHeight="1" thickBot="1">
      <c r="A4" s="1207"/>
      <c r="B4" s="1209" t="s">
        <v>655</v>
      </c>
      <c r="C4" s="1209"/>
      <c r="D4" s="1209"/>
      <c r="E4" s="1209"/>
      <c r="F4" s="1209"/>
      <c r="G4" s="1208"/>
      <c r="H4" s="1208"/>
      <c r="I4" s="1208"/>
      <c r="J4" s="1208"/>
      <c r="K4" s="1208"/>
      <c r="L4" s="2319" t="str">
        <f>IF(Application!H18="","",Application!H18)</f>
        <v>Rolling Hills III</v>
      </c>
      <c r="M4" s="2320"/>
      <c r="N4" s="2320"/>
      <c r="O4" s="2320"/>
      <c r="P4" s="2320"/>
      <c r="Q4" s="2320"/>
      <c r="R4" s="2320"/>
      <c r="S4" s="2320"/>
      <c r="T4" s="2320"/>
      <c r="U4" s="2320"/>
      <c r="V4" s="2320"/>
      <c r="W4" s="2320"/>
      <c r="X4" s="2320"/>
      <c r="Y4" s="2320"/>
      <c r="Z4" s="2320"/>
      <c r="AA4" s="2320"/>
      <c r="AB4" s="2320"/>
      <c r="AC4" s="2321"/>
      <c r="AD4" s="1208"/>
      <c r="AE4" s="1208"/>
      <c r="AF4" s="2308" t="s">
        <v>2388</v>
      </c>
      <c r="AG4" s="2308"/>
      <c r="AH4" s="2308"/>
      <c r="AI4" s="2308"/>
      <c r="AJ4" s="2308"/>
      <c r="AK4" s="2308"/>
      <c r="AL4" s="2308"/>
      <c r="AM4" s="2308"/>
      <c r="AN4" s="2308"/>
      <c r="AO4" s="2308"/>
      <c r="AP4" s="2309"/>
      <c r="AQ4" s="2310"/>
      <c r="AR4" s="2310"/>
      <c r="AS4" s="2310"/>
      <c r="AT4" s="2310"/>
      <c r="AU4" s="2310"/>
      <c r="AV4" s="1208"/>
      <c r="AW4" s="1208"/>
      <c r="AX4" s="2316" t="s">
        <v>2596</v>
      </c>
      <c r="AY4" s="2317"/>
      <c r="AZ4" s="2317"/>
      <c r="BA4" s="2318"/>
      <c r="BB4" s="1210">
        <f t="array" ref="BB4">ROUNDDOWN(SUM(IF((B19:I27&gt;0)*(B19:I27&lt;=30%),J19:O27,0))/J29,2)</f>
        <v>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8" t="s">
        <v>2387</v>
      </c>
      <c r="AG5" s="2308"/>
      <c r="AH5" s="2308"/>
      <c r="AI5" s="2308"/>
      <c r="AJ5" s="2308"/>
      <c r="AK5" s="2308"/>
      <c r="AL5" s="2308"/>
      <c r="AM5" s="2308"/>
      <c r="AN5" s="2308"/>
      <c r="AO5" s="2308"/>
      <c r="AP5" s="2309"/>
      <c r="AQ5" s="2310"/>
      <c r="AR5" s="2310"/>
      <c r="AS5" s="2310"/>
      <c r="AT5" s="2310"/>
      <c r="AU5" s="2310"/>
      <c r="AV5" s="1208"/>
      <c r="AW5" s="1208"/>
      <c r="AX5" s="2316" t="s">
        <v>2597</v>
      </c>
      <c r="AY5" s="2317"/>
      <c r="AZ5" s="2317"/>
      <c r="BA5" s="2318"/>
      <c r="BB5" s="1210">
        <f t="array" ref="BB5">ROUNDDOWN(SUM(IF((B19:I27&gt;0%)*(B19:I27&lt;=50%),J19:O27,0))/J29,2)</f>
        <v>1</v>
      </c>
      <c r="BC5" s="1211"/>
      <c r="BD5" s="1211"/>
      <c r="BE5" s="1212"/>
    </row>
    <row r="6" spans="1:65" ht="15.75" customHeight="1" thickBot="1">
      <c r="A6" s="1207"/>
      <c r="B6" s="1209" t="s">
        <v>2386</v>
      </c>
      <c r="C6" s="1208"/>
      <c r="D6" s="1208"/>
      <c r="E6" s="1208"/>
      <c r="F6" s="1208"/>
      <c r="G6" s="1208"/>
      <c r="H6" s="1208"/>
      <c r="I6" s="1208"/>
      <c r="J6" s="1208"/>
      <c r="K6" s="1208"/>
      <c r="L6" s="2319" t="str">
        <f>IF(Application!H16="","",Application!H16)</f>
        <v xml:space="preserve">People's Self-Help Housing Corporation </v>
      </c>
      <c r="M6" s="2320"/>
      <c r="N6" s="2320"/>
      <c r="O6" s="2320"/>
      <c r="P6" s="2320"/>
      <c r="Q6" s="2320"/>
      <c r="R6" s="2320"/>
      <c r="S6" s="2320"/>
      <c r="T6" s="2320"/>
      <c r="U6" s="2320"/>
      <c r="V6" s="2320"/>
      <c r="W6" s="2320"/>
      <c r="X6" s="2320"/>
      <c r="Y6" s="2320"/>
      <c r="Z6" s="2320"/>
      <c r="AA6" s="2320"/>
      <c r="AB6" s="2320"/>
      <c r="AC6" s="2321"/>
      <c r="AD6" s="1208"/>
      <c r="AE6" s="1208"/>
      <c r="AF6" s="2311" t="s">
        <v>2385</v>
      </c>
      <c r="AG6" s="2311"/>
      <c r="AH6" s="2311"/>
      <c r="AI6" s="2311"/>
      <c r="AJ6" s="2311"/>
      <c r="AK6" s="2311"/>
      <c r="AL6" s="2311"/>
      <c r="AM6" s="2311"/>
      <c r="AN6" s="2311"/>
      <c r="AO6" s="2311"/>
      <c r="AP6" s="2312"/>
      <c r="AQ6" s="2312"/>
      <c r="AR6" s="2312"/>
      <c r="AS6" s="2312"/>
      <c r="AT6" s="2312"/>
      <c r="AU6" s="2312"/>
      <c r="AV6" s="1208"/>
      <c r="AW6" s="1208"/>
      <c r="AX6" s="2316" t="s">
        <v>2598</v>
      </c>
      <c r="AY6" s="2317"/>
      <c r="AZ6" s="2317"/>
      <c r="BA6" s="2318"/>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1" t="s">
        <v>2384</v>
      </c>
      <c r="AG7" s="2311"/>
      <c r="AH7" s="2311"/>
      <c r="AI7" s="2311"/>
      <c r="AJ7" s="2311"/>
      <c r="AK7" s="2311"/>
      <c r="AL7" s="2311"/>
      <c r="AM7" s="2311"/>
      <c r="AN7" s="2311"/>
      <c r="AO7" s="2311"/>
      <c r="AP7" s="2312"/>
      <c r="AQ7" s="2312"/>
      <c r="AR7" s="2312"/>
      <c r="AS7" s="2312"/>
      <c r="AT7" s="2312"/>
      <c r="AU7" s="2312"/>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3" t="str">
        <f>Application!T197</f>
        <v>No</v>
      </c>
      <c r="AC8" s="2314"/>
      <c r="AD8" s="2315"/>
      <c r="AE8" s="1208"/>
      <c r="AF8" s="2311" t="s">
        <v>2383</v>
      </c>
      <c r="AG8" s="2311"/>
      <c r="AH8" s="2311"/>
      <c r="AI8" s="2311"/>
      <c r="AJ8" s="2311"/>
      <c r="AK8" s="2311"/>
      <c r="AL8" s="2311"/>
      <c r="AM8" s="2311"/>
      <c r="AN8" s="2311"/>
      <c r="AO8" s="2311"/>
      <c r="AP8" s="2312" t="s">
        <v>2054</v>
      </c>
      <c r="AQ8" s="2312"/>
      <c r="AR8" s="2312"/>
      <c r="AS8" s="2312"/>
      <c r="AT8" s="2312"/>
      <c r="AU8" s="2312"/>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8" t="s">
        <v>2382</v>
      </c>
      <c r="AG9" s="2308"/>
      <c r="AH9" s="2308"/>
      <c r="AI9" s="2308"/>
      <c r="AJ9" s="2308"/>
      <c r="AK9" s="2308"/>
      <c r="AL9" s="2308"/>
      <c r="AM9" s="2308"/>
      <c r="AN9" s="2308"/>
      <c r="AO9" s="2308"/>
      <c r="AP9" s="2309"/>
      <c r="AQ9" s="2310"/>
      <c r="AR9" s="2310"/>
      <c r="AS9" s="2310"/>
      <c r="AT9" s="2310"/>
      <c r="AU9" s="2310"/>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07">
        <f>Application!AO635</f>
        <v>1144144</v>
      </c>
      <c r="O10" s="2307"/>
      <c r="P10" s="2307"/>
      <c r="Q10" s="2307"/>
      <c r="R10" s="2307"/>
      <c r="S10" s="2307"/>
      <c r="T10" s="2307"/>
      <c r="U10" s="1208"/>
      <c r="V10" s="1208"/>
      <c r="W10" s="1208"/>
      <c r="X10" s="1214"/>
      <c r="Y10" s="1214"/>
      <c r="Z10" s="1214"/>
      <c r="AA10" s="1214"/>
      <c r="AB10" s="1214"/>
      <c r="AC10" s="1214"/>
      <c r="AD10" s="1214"/>
      <c r="AE10" s="1214"/>
      <c r="AF10" s="2308" t="s">
        <v>2379</v>
      </c>
      <c r="AG10" s="2308"/>
      <c r="AH10" s="2308"/>
      <c r="AI10" s="2308"/>
      <c r="AJ10" s="2308"/>
      <c r="AK10" s="2308"/>
      <c r="AL10" s="2308"/>
      <c r="AM10" s="2308"/>
      <c r="AN10" s="2308"/>
      <c r="AO10" s="2308"/>
      <c r="AP10" s="2309"/>
      <c r="AQ10" s="2310"/>
      <c r="AR10" s="2310"/>
      <c r="AS10" s="2310"/>
      <c r="AT10" s="2310"/>
      <c r="AU10" s="2310"/>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07">
        <f>Application!AA943</f>
        <v>0</v>
      </c>
      <c r="O11" s="2307"/>
      <c r="P11" s="2307"/>
      <c r="Q11" s="2307"/>
      <c r="R11" s="2307"/>
      <c r="S11" s="2307"/>
      <c r="T11" s="2307"/>
      <c r="U11" s="1208"/>
      <c r="V11" s="1208"/>
      <c r="W11" s="1208"/>
      <c r="X11" s="1214"/>
      <c r="Y11" s="1214"/>
      <c r="Z11" s="1214"/>
      <c r="AA11" s="1214"/>
      <c r="AB11" s="1214"/>
      <c r="AC11" s="1214"/>
      <c r="AD11" s="1214"/>
      <c r="AE11" s="1214"/>
      <c r="AF11" s="2308" t="s">
        <v>2376</v>
      </c>
      <c r="AG11" s="2308"/>
      <c r="AH11" s="2308"/>
      <c r="AI11" s="2308"/>
      <c r="AJ11" s="2308"/>
      <c r="AK11" s="2308"/>
      <c r="AL11" s="2308"/>
      <c r="AM11" s="2308"/>
      <c r="AN11" s="2308"/>
      <c r="AO11" s="2308"/>
      <c r="AP11" s="2309"/>
      <c r="AQ11" s="2310"/>
      <c r="AR11" s="2310"/>
      <c r="AS11" s="2310"/>
      <c r="AT11" s="2310"/>
      <c r="AU11" s="2310"/>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2298" t="s">
        <v>2374</v>
      </c>
      <c r="C13" s="2299"/>
      <c r="D13" s="2299"/>
      <c r="E13" s="2299"/>
      <c r="F13" s="2299"/>
      <c r="G13" s="2299"/>
      <c r="H13" s="2299"/>
      <c r="I13" s="2299"/>
      <c r="J13" s="2299"/>
      <c r="K13" s="2299"/>
      <c r="L13" s="2299"/>
      <c r="M13" s="2299"/>
      <c r="N13" s="2299"/>
      <c r="O13" s="2299"/>
      <c r="P13" s="2300"/>
      <c r="Q13" s="2301" t="s">
        <v>668</v>
      </c>
      <c r="R13" s="2302"/>
      <c r="S13" s="2302"/>
      <c r="T13" s="2303"/>
      <c r="U13" s="1214"/>
      <c r="V13" s="1208"/>
      <c r="W13" s="1208"/>
      <c r="X13" s="1208"/>
      <c r="Y13" s="1208"/>
      <c r="Z13" s="1208"/>
      <c r="AA13" s="2288" t="s">
        <v>2373</v>
      </c>
      <c r="AB13" s="2288"/>
      <c r="AC13" s="2288"/>
      <c r="AD13" s="2288"/>
      <c r="AE13" s="2288"/>
      <c r="AF13" s="2288"/>
      <c r="AG13" s="2288"/>
      <c r="AH13" s="2288"/>
      <c r="AI13" s="2288"/>
      <c r="AJ13" s="2288"/>
      <c r="AK13" s="2288"/>
      <c r="AL13" s="2288"/>
      <c r="AM13" s="2288"/>
      <c r="AN13" s="2288"/>
      <c r="AO13" s="2304">
        <f>Application!W481</f>
        <v>0</v>
      </c>
      <c r="AP13" s="2305"/>
      <c r="AQ13" s="2305"/>
      <c r="AR13" s="2305"/>
      <c r="AS13" s="2305"/>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6" t="s">
        <v>2371</v>
      </c>
      <c r="AB14" s="2306"/>
      <c r="AC14" s="2306"/>
      <c r="AD14" s="2306"/>
      <c r="AE14" s="2306"/>
      <c r="AF14" s="2306"/>
      <c r="AG14" s="2306"/>
      <c r="AH14" s="2306"/>
      <c r="AI14" s="2306"/>
      <c r="AJ14" s="2306"/>
      <c r="AK14" s="2306"/>
      <c r="AL14" s="2306"/>
      <c r="AM14" s="2306"/>
      <c r="AN14" s="2306"/>
      <c r="AO14" s="2289"/>
      <c r="AP14" s="2290"/>
      <c r="AQ14" s="2290"/>
      <c r="AR14" s="2290"/>
      <c r="AS14" s="2290"/>
      <c r="AT14" s="1214"/>
      <c r="AU14" s="1214"/>
      <c r="AV14" s="1214"/>
      <c r="AW14" s="1214"/>
      <c r="AX14" s="1214"/>
      <c r="AY14" s="1214"/>
      <c r="AZ14" s="1214"/>
      <c r="BA14" s="1214"/>
      <c r="BB14" s="1214"/>
      <c r="BC14" s="1214"/>
      <c r="BD14" s="1214"/>
      <c r="BE14" s="1215"/>
    </row>
    <row r="15" spans="1:65" thickBot="1">
      <c r="A15" s="1208"/>
      <c r="B15" s="2283" t="s">
        <v>2370</v>
      </c>
      <c r="C15" s="2284"/>
      <c r="D15" s="2284"/>
      <c r="E15" s="2284"/>
      <c r="F15" s="2284"/>
      <c r="G15" s="2284"/>
      <c r="H15" s="2284"/>
      <c r="I15" s="2284"/>
      <c r="J15" s="2284"/>
      <c r="K15" s="2284"/>
      <c r="L15" s="2284"/>
      <c r="M15" s="2284"/>
      <c r="N15" s="2284"/>
      <c r="O15" s="2284"/>
      <c r="P15" s="2284"/>
      <c r="Q15" s="2284"/>
      <c r="R15" s="2285"/>
      <c r="S15" s="2286" t="str">
        <f>IF(Application!AB215="","",Application!AB215)</f>
        <v/>
      </c>
      <c r="T15" s="2286"/>
      <c r="U15" s="2286"/>
      <c r="V15" s="2286"/>
      <c r="W15" s="2287"/>
      <c r="X15" s="1214"/>
      <c r="Y15" s="1208"/>
      <c r="Z15" s="1208"/>
      <c r="AA15" s="2288" t="s">
        <v>2369</v>
      </c>
      <c r="AB15" s="2288"/>
      <c r="AC15" s="2288"/>
      <c r="AD15" s="2288"/>
      <c r="AE15" s="2288"/>
      <c r="AF15" s="2288"/>
      <c r="AG15" s="2288"/>
      <c r="AH15" s="2288"/>
      <c r="AI15" s="2288"/>
      <c r="AJ15" s="2288"/>
      <c r="AK15" s="2288"/>
      <c r="AL15" s="2288"/>
      <c r="AM15" s="2288"/>
      <c r="AN15" s="2288"/>
      <c r="AO15" s="2289"/>
      <c r="AP15" s="2290"/>
      <c r="AQ15" s="2290"/>
      <c r="AR15" s="2290"/>
      <c r="AS15" s="2290"/>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1" t="s">
        <v>2368</v>
      </c>
      <c r="C17" s="2112"/>
      <c r="D17" s="2112"/>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c r="AS17" s="2112"/>
      <c r="AT17" s="2112"/>
      <c r="AU17" s="2112"/>
      <c r="AV17" s="2112"/>
      <c r="AW17" s="2112"/>
      <c r="AX17" s="2112"/>
      <c r="AY17" s="2113"/>
      <c r="AZ17" s="1208"/>
      <c r="BA17" s="1208"/>
      <c r="BB17" s="1208"/>
      <c r="BC17" s="1208"/>
      <c r="BD17" s="1208"/>
      <c r="BE17" s="1215"/>
      <c r="BF17" s="1206"/>
    </row>
    <row r="18" spans="1:58" ht="15.75" customHeight="1">
      <c r="A18" s="1208"/>
      <c r="B18" s="2291" t="s">
        <v>2367</v>
      </c>
      <c r="C18" s="2292"/>
      <c r="D18" s="2292"/>
      <c r="E18" s="2292"/>
      <c r="F18" s="2292"/>
      <c r="G18" s="2292"/>
      <c r="H18" s="2292"/>
      <c r="I18" s="2293"/>
      <c r="J18" s="2294" t="s">
        <v>1574</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2366</v>
      </c>
      <c r="AU18" s="2295"/>
      <c r="AV18" s="2295"/>
      <c r="AW18" s="2295"/>
      <c r="AX18" s="2295"/>
      <c r="AY18" s="2297"/>
      <c r="AZ18" s="1208"/>
      <c r="BA18" s="1208"/>
      <c r="BB18" s="1208"/>
      <c r="BC18" s="1208"/>
      <c r="BD18" s="1208"/>
      <c r="BE18" s="1215"/>
    </row>
    <row r="19" spans="1:58" ht="15">
      <c r="A19" s="1208"/>
      <c r="B19" s="2277">
        <v>0.3</v>
      </c>
      <c r="C19" s="2278"/>
      <c r="D19" s="2278"/>
      <c r="E19" s="2278"/>
      <c r="F19" s="2278"/>
      <c r="G19" s="2278"/>
      <c r="H19" s="2278"/>
      <c r="I19" s="2279"/>
      <c r="J19" s="2280">
        <f t="shared" ref="J19:J24" si="0">SUM(P19:AS19)</f>
        <v>12</v>
      </c>
      <c r="K19" s="2281"/>
      <c r="L19" s="2281"/>
      <c r="M19" s="2281"/>
      <c r="N19" s="2281"/>
      <c r="O19" s="2282"/>
      <c r="P19" s="2280" cm="1">
        <f t="array" ref="P19">SUMPRODUCT((Application!$B$726:$B$760 = 'CalHFA Addendum'!P$18)*(Application!$AC$726:$AC$760 = 'CalHFA Addendum'!$B19),Application!$G$726:$G$760)</f>
        <v>0</v>
      </c>
      <c r="Q19" s="2281"/>
      <c r="R19" s="2281"/>
      <c r="S19" s="2281"/>
      <c r="T19" s="2281"/>
      <c r="U19" s="2282"/>
      <c r="V19" s="2280" cm="1">
        <f t="array" ref="V19">SUMPRODUCT((Application!$B$726:$B$760 = 'CalHFA Addendum'!V$18)*(Application!$AC$726:$AC$760 = 'CalHFA Addendum'!$B19),Application!$G$726:$G$760)</f>
        <v>7</v>
      </c>
      <c r="W19" s="2281"/>
      <c r="X19" s="2281"/>
      <c r="Y19" s="2281"/>
      <c r="Z19" s="2281"/>
      <c r="AA19" s="2282"/>
      <c r="AB19" s="2280" cm="1">
        <f t="array" ref="AB19">SUMPRODUCT((Application!$B$726:$B$760 = 'CalHFA Addendum'!AB$18)*(Application!$AC$726:$AC$760 = 'CalHFA Addendum'!$B19),Application!$G$726:$G$760)</f>
        <v>3</v>
      </c>
      <c r="AC19" s="2281"/>
      <c r="AD19" s="2281"/>
      <c r="AE19" s="2281"/>
      <c r="AF19" s="2281"/>
      <c r="AG19" s="2282"/>
      <c r="AH19" s="2280" cm="1">
        <f t="array" ref="AH19">SUMPRODUCT((Application!$B$726:$B$760 = 'CalHFA Addendum'!AH$18)*(Application!$AC$726:$AC$760 = 'CalHFA Addendum'!$B19),Application!$G$726:$G$760)</f>
        <v>2</v>
      </c>
      <c r="AI19" s="2281"/>
      <c r="AJ19" s="2281"/>
      <c r="AK19" s="2281"/>
      <c r="AL19" s="2281"/>
      <c r="AM19" s="2282"/>
      <c r="AN19" s="2280" cm="1">
        <f t="array" ref="AN19">SUMPRODUCT((Application!$B$726:$B$760 = 'CalHFA Addendum'!AN$18)*(Application!$AC$726:$AC$760 = 'CalHFA Addendum'!$B19),Application!$G$726:$G$760)</f>
        <v>0</v>
      </c>
      <c r="AO19" s="2281"/>
      <c r="AP19" s="2281"/>
      <c r="AQ19" s="2281"/>
      <c r="AR19" s="2281"/>
      <c r="AS19" s="2282"/>
      <c r="AT19" s="2265">
        <f>J19/$J$29</f>
        <v>1</v>
      </c>
      <c r="AU19" s="2266"/>
      <c r="AV19" s="2266"/>
      <c r="AW19" s="2266"/>
      <c r="AX19" s="2266"/>
      <c r="AY19" s="2267"/>
      <c r="AZ19" s="1216"/>
      <c r="BA19" s="1208"/>
      <c r="BB19" s="1208"/>
      <c r="BC19" s="1208"/>
      <c r="BD19" s="1208"/>
      <c r="BE19" s="1215"/>
    </row>
    <row r="20" spans="1:58" ht="15" customHeight="1">
      <c r="A20" s="1208"/>
      <c r="B20" s="2277">
        <v>0.4</v>
      </c>
      <c r="C20" s="2278"/>
      <c r="D20" s="2278"/>
      <c r="E20" s="2278"/>
      <c r="F20" s="2278"/>
      <c r="G20" s="2278"/>
      <c r="H20" s="2278"/>
      <c r="I20" s="2279"/>
      <c r="J20" s="2280">
        <f t="shared" si="0"/>
        <v>0</v>
      </c>
      <c r="K20" s="2281"/>
      <c r="L20" s="2281"/>
      <c r="M20" s="2281"/>
      <c r="N20" s="2281"/>
      <c r="O20" s="2282"/>
      <c r="P20" s="2280" cm="1">
        <f t="array" ref="P20">SUMPRODUCT((Application!$B$726:$B$760 = 'CalHFA Addendum'!P$18)*(Application!$AC$726:$AC$760 = 'CalHFA Addendum'!$B20),Application!$G$726:$G$760)</f>
        <v>0</v>
      </c>
      <c r="Q20" s="2281"/>
      <c r="R20" s="2281"/>
      <c r="S20" s="2281"/>
      <c r="T20" s="2281"/>
      <c r="U20" s="2282"/>
      <c r="V20" s="2280" cm="1">
        <f t="array" ref="V20">SUMPRODUCT((Application!$B$726:$B$760 = 'CalHFA Addendum'!V$18)*(Application!$AC$726:$AC$760 = 'CalHFA Addendum'!$B20),Application!$G$726:$G$760)</f>
        <v>0</v>
      </c>
      <c r="W20" s="2281"/>
      <c r="X20" s="2281"/>
      <c r="Y20" s="2281"/>
      <c r="Z20" s="2281"/>
      <c r="AA20" s="2282"/>
      <c r="AB20" s="2280" cm="1">
        <f t="array" ref="AB20">SUMPRODUCT((Application!$B$726:$B$760 = 'CalHFA Addendum'!AB$18)*(Application!$AC$726:$AC$760 = 'CalHFA Addendum'!$B20),Application!$G$726:$G$760)</f>
        <v>0</v>
      </c>
      <c r="AC20" s="2281"/>
      <c r="AD20" s="2281"/>
      <c r="AE20" s="2281"/>
      <c r="AF20" s="2281"/>
      <c r="AG20" s="2282"/>
      <c r="AH20" s="2280" cm="1">
        <f t="array" ref="AH20">SUMPRODUCT((Application!$B$726:$B$760 = 'CalHFA Addendum'!AH$18)*(Application!$AC$726:$AC$760 = 'CalHFA Addendum'!$B20),Application!$G$726:$G$760)</f>
        <v>0</v>
      </c>
      <c r="AI20" s="2281"/>
      <c r="AJ20" s="2281"/>
      <c r="AK20" s="2281"/>
      <c r="AL20" s="2281"/>
      <c r="AM20" s="2282"/>
      <c r="AN20" s="2280" cm="1">
        <f t="array" ref="AN20">SUMPRODUCT((Application!$B$726:$B$760 = 'CalHFA Addendum'!AN$18)*(Application!$AC$726:$AC$760 = 'CalHFA Addendum'!$B20),Application!$G$726:$G$760)</f>
        <v>0</v>
      </c>
      <c r="AO20" s="2281"/>
      <c r="AP20" s="2281"/>
      <c r="AQ20" s="2281"/>
      <c r="AR20" s="2281"/>
      <c r="AS20" s="2282"/>
      <c r="AT20" s="2265">
        <f t="shared" ref="AT20:AT29" si="1">J20/$J$29</f>
        <v>0</v>
      </c>
      <c r="AU20" s="2266"/>
      <c r="AV20" s="2266"/>
      <c r="AW20" s="2266"/>
      <c r="AX20" s="2266"/>
      <c r="AY20" s="2267"/>
      <c r="AZ20" s="1208"/>
      <c r="BA20" s="1208"/>
      <c r="BB20" s="1208"/>
      <c r="BC20" s="1208"/>
      <c r="BD20" s="1208"/>
      <c r="BE20" s="1215"/>
    </row>
    <row r="21" spans="1:58" ht="15">
      <c r="A21" s="1208"/>
      <c r="B21" s="2277">
        <v>0.5</v>
      </c>
      <c r="C21" s="2278"/>
      <c r="D21" s="2278"/>
      <c r="E21" s="2278"/>
      <c r="F21" s="2278"/>
      <c r="G21" s="2278"/>
      <c r="H21" s="2278"/>
      <c r="I21" s="2279"/>
      <c r="J21" s="2280">
        <f t="shared" si="0"/>
        <v>0</v>
      </c>
      <c r="K21" s="2281"/>
      <c r="L21" s="2281"/>
      <c r="M21" s="2281"/>
      <c r="N21" s="2281"/>
      <c r="O21" s="2282"/>
      <c r="P21" s="2280" cm="1">
        <f t="array" ref="P21">SUMPRODUCT((Application!$B$726:$B$760 = 'CalHFA Addendum'!P$18)*(Application!$AC$726:$AC$760 = 'CalHFA Addendum'!$B21),Application!$G$726:$G$760)</f>
        <v>0</v>
      </c>
      <c r="Q21" s="2281"/>
      <c r="R21" s="2281"/>
      <c r="S21" s="2281"/>
      <c r="T21" s="2281"/>
      <c r="U21" s="2282"/>
      <c r="V21" s="2280" cm="1">
        <f t="array" ref="V21">SUMPRODUCT((Application!$B$726:$B$760 = 'CalHFA Addendum'!V$18)*(Application!$AC$726:$AC$760 = 'CalHFA Addendum'!$B21),Application!$G$726:$G$760)</f>
        <v>0</v>
      </c>
      <c r="W21" s="2281"/>
      <c r="X21" s="2281"/>
      <c r="Y21" s="2281"/>
      <c r="Z21" s="2281"/>
      <c r="AA21" s="2282"/>
      <c r="AB21" s="2280" cm="1">
        <f t="array" ref="AB21">SUMPRODUCT((Application!$B$726:$B$760 = 'CalHFA Addendum'!AB$18)*(Application!$AC$726:$AC$760 = 'CalHFA Addendum'!$B21),Application!$G$726:$G$760)</f>
        <v>0</v>
      </c>
      <c r="AC21" s="2281"/>
      <c r="AD21" s="2281"/>
      <c r="AE21" s="2281"/>
      <c r="AF21" s="2281"/>
      <c r="AG21" s="2282"/>
      <c r="AH21" s="2280" cm="1">
        <f t="array" ref="AH21">SUMPRODUCT((Application!$B$726:$B$760 = 'CalHFA Addendum'!AH$18)*(Application!$AC$726:$AC$760 = 'CalHFA Addendum'!$B21),Application!$G$726:$G$760)</f>
        <v>0</v>
      </c>
      <c r="AI21" s="2281"/>
      <c r="AJ21" s="2281"/>
      <c r="AK21" s="2281"/>
      <c r="AL21" s="2281"/>
      <c r="AM21" s="2282"/>
      <c r="AN21" s="2280" cm="1">
        <f t="array" ref="AN21">SUMPRODUCT((Application!$B$726:$B$760 = 'CalHFA Addendum'!AN$18)*(Application!$AC$726:$AC$760 = 'CalHFA Addendum'!$B21),Application!$G$726:$G$760)</f>
        <v>0</v>
      </c>
      <c r="AO21" s="2281"/>
      <c r="AP21" s="2281"/>
      <c r="AQ21" s="2281"/>
      <c r="AR21" s="2281"/>
      <c r="AS21" s="2282"/>
      <c r="AT21" s="2265">
        <f t="shared" si="1"/>
        <v>0</v>
      </c>
      <c r="AU21" s="2266"/>
      <c r="AV21" s="2266"/>
      <c r="AW21" s="2266"/>
      <c r="AX21" s="2266"/>
      <c r="AY21" s="2267"/>
      <c r="AZ21" s="1208"/>
      <c r="BA21" s="1208"/>
      <c r="BB21" s="1208"/>
      <c r="BC21" s="1208"/>
      <c r="BD21" s="1208"/>
      <c r="BE21" s="1215"/>
    </row>
    <row r="22" spans="1:58" ht="15">
      <c r="A22" s="1208"/>
      <c r="B22" s="2277">
        <v>0.6</v>
      </c>
      <c r="C22" s="2278"/>
      <c r="D22" s="2278"/>
      <c r="E22" s="2278"/>
      <c r="F22" s="2278"/>
      <c r="G22" s="2278"/>
      <c r="H22" s="2278"/>
      <c r="I22" s="2279"/>
      <c r="J22" s="2280">
        <f t="shared" si="0"/>
        <v>0</v>
      </c>
      <c r="K22" s="2281"/>
      <c r="L22" s="2281"/>
      <c r="M22" s="2281"/>
      <c r="N22" s="2281"/>
      <c r="O22" s="2282"/>
      <c r="P22" s="2280" cm="1">
        <f t="array" ref="P22">SUMPRODUCT((Application!$B$726:$B$760 = 'CalHFA Addendum'!P$18)*(Application!$AC$726:$AC$760 = 'CalHFA Addendum'!$B22),Application!$G$726:$G$760)</f>
        <v>0</v>
      </c>
      <c r="Q22" s="2281"/>
      <c r="R22" s="2281"/>
      <c r="S22" s="2281"/>
      <c r="T22" s="2281"/>
      <c r="U22" s="2282"/>
      <c r="V22" s="2280" cm="1">
        <f t="array" ref="V22">SUMPRODUCT((Application!$B$726:$B$760 = 'CalHFA Addendum'!V$18)*(Application!$AC$726:$AC$760 = 'CalHFA Addendum'!$B22),Application!$G$726:$G$760)</f>
        <v>0</v>
      </c>
      <c r="W22" s="2281"/>
      <c r="X22" s="2281"/>
      <c r="Y22" s="2281"/>
      <c r="Z22" s="2281"/>
      <c r="AA22" s="2282"/>
      <c r="AB22" s="2280" cm="1">
        <f t="array" ref="AB22">SUMPRODUCT((Application!$B$726:$B$760 = 'CalHFA Addendum'!AB$18)*(Application!$AC$726:$AC$760 = 'CalHFA Addendum'!$B22),Application!$G$726:$G$760)</f>
        <v>0</v>
      </c>
      <c r="AC22" s="2281"/>
      <c r="AD22" s="2281"/>
      <c r="AE22" s="2281"/>
      <c r="AF22" s="2281"/>
      <c r="AG22" s="2282"/>
      <c r="AH22" s="2280" cm="1">
        <f t="array" ref="AH22">SUMPRODUCT((Application!$B$726:$B$760 = 'CalHFA Addendum'!AH$18)*(Application!$AC$726:$AC$760 = 'CalHFA Addendum'!$B22),Application!$G$726:$G$760)</f>
        <v>0</v>
      </c>
      <c r="AI22" s="2281"/>
      <c r="AJ22" s="2281"/>
      <c r="AK22" s="2281"/>
      <c r="AL22" s="2281"/>
      <c r="AM22" s="2282"/>
      <c r="AN22" s="2280" cm="1">
        <f t="array" ref="AN22">SUMPRODUCT((Application!$B$726:$B$760 = 'CalHFA Addendum'!AN$18)*(Application!$AC$726:$AC$760 = 'CalHFA Addendum'!$B22),Application!$G$726:$G$760)</f>
        <v>0</v>
      </c>
      <c r="AO22" s="2281"/>
      <c r="AP22" s="2281"/>
      <c r="AQ22" s="2281"/>
      <c r="AR22" s="2281"/>
      <c r="AS22" s="2282"/>
      <c r="AT22" s="2265">
        <f t="shared" si="1"/>
        <v>0</v>
      </c>
      <c r="AU22" s="2266"/>
      <c r="AV22" s="2266"/>
      <c r="AW22" s="2266"/>
      <c r="AX22" s="2266"/>
      <c r="AY22" s="2267"/>
      <c r="AZ22" s="1208"/>
      <c r="BA22" s="1208"/>
      <c r="BB22" s="1208"/>
      <c r="BC22" s="1208"/>
      <c r="BD22" s="1208"/>
      <c r="BE22" s="1215"/>
    </row>
    <row r="23" spans="1:58" ht="15">
      <c r="A23" s="1208"/>
      <c r="B23" s="2277">
        <v>0.7</v>
      </c>
      <c r="C23" s="2278"/>
      <c r="D23" s="2278"/>
      <c r="E23" s="2278"/>
      <c r="F23" s="2278"/>
      <c r="G23" s="2278"/>
      <c r="H23" s="2278"/>
      <c r="I23" s="2279"/>
      <c r="J23" s="2280">
        <f t="shared" si="0"/>
        <v>0</v>
      </c>
      <c r="K23" s="2281"/>
      <c r="L23" s="2281"/>
      <c r="M23" s="2281"/>
      <c r="N23" s="2281"/>
      <c r="O23" s="2282"/>
      <c r="P23" s="2280" cm="1">
        <f t="array" ref="P23">SUMPRODUCT((Application!$B$726:$B$760 = 'CalHFA Addendum'!P$18)*(Application!$AC$726:$AC$760 = 'CalHFA Addendum'!$B23),Application!$G$726:$G$760)</f>
        <v>0</v>
      </c>
      <c r="Q23" s="2281"/>
      <c r="R23" s="2281"/>
      <c r="S23" s="2281"/>
      <c r="T23" s="2281"/>
      <c r="U23" s="2282"/>
      <c r="V23" s="2280" cm="1">
        <f t="array" ref="V23">SUMPRODUCT((Application!$B$726:$B$760 = 'CalHFA Addendum'!V$18)*(Application!$AC$726:$AC$760 = 'CalHFA Addendum'!$B23),Application!$G$726:$G$760)</f>
        <v>0</v>
      </c>
      <c r="W23" s="2281"/>
      <c r="X23" s="2281"/>
      <c r="Y23" s="2281"/>
      <c r="Z23" s="2281"/>
      <c r="AA23" s="2282"/>
      <c r="AB23" s="2280" cm="1">
        <f t="array" ref="AB23">SUMPRODUCT((Application!$B$726:$B$760 = 'CalHFA Addendum'!AB$18)*(Application!$AC$726:$AC$760 = 'CalHFA Addendum'!$B23),Application!$G$726:$G$760)</f>
        <v>0</v>
      </c>
      <c r="AC23" s="2281"/>
      <c r="AD23" s="2281"/>
      <c r="AE23" s="2281"/>
      <c r="AF23" s="2281"/>
      <c r="AG23" s="2282"/>
      <c r="AH23" s="2280" cm="1">
        <f t="array" ref="AH23">SUMPRODUCT((Application!$B$726:$B$760 = 'CalHFA Addendum'!AH$18)*(Application!$AC$726:$AC$760 = 'CalHFA Addendum'!$B23),Application!$G$726:$G$760)</f>
        <v>0</v>
      </c>
      <c r="AI23" s="2281"/>
      <c r="AJ23" s="2281"/>
      <c r="AK23" s="2281"/>
      <c r="AL23" s="2281"/>
      <c r="AM23" s="2282"/>
      <c r="AN23" s="2280" cm="1">
        <f t="array" ref="AN23">SUMPRODUCT((Application!$B$726:$B$760 = 'CalHFA Addendum'!AN$18)*(Application!$AC$726:$AC$760 = 'CalHFA Addendum'!$B23),Application!$G$726:$G$760)</f>
        <v>0</v>
      </c>
      <c r="AO23" s="2281"/>
      <c r="AP23" s="2281"/>
      <c r="AQ23" s="2281"/>
      <c r="AR23" s="2281"/>
      <c r="AS23" s="2282"/>
      <c r="AT23" s="2265">
        <f t="shared" si="1"/>
        <v>0</v>
      </c>
      <c r="AU23" s="2266"/>
      <c r="AV23" s="2266"/>
      <c r="AW23" s="2266"/>
      <c r="AX23" s="2266"/>
      <c r="AY23" s="2267"/>
      <c r="AZ23" s="1208"/>
      <c r="BA23" s="1208"/>
      <c r="BB23" s="1208"/>
      <c r="BC23" s="1208"/>
      <c r="BD23" s="1208"/>
      <c r="BE23" s="1215"/>
    </row>
    <row r="24" spans="1:58" ht="15">
      <c r="A24" s="1208"/>
      <c r="B24" s="2277">
        <v>0.8</v>
      </c>
      <c r="C24" s="2278"/>
      <c r="D24" s="2278"/>
      <c r="E24" s="2278"/>
      <c r="F24" s="2278"/>
      <c r="G24" s="2278"/>
      <c r="H24" s="2278"/>
      <c r="I24" s="2279"/>
      <c r="J24" s="2280">
        <f t="shared" si="0"/>
        <v>0</v>
      </c>
      <c r="K24" s="2281"/>
      <c r="L24" s="2281"/>
      <c r="M24" s="2281"/>
      <c r="N24" s="2281"/>
      <c r="O24" s="2282"/>
      <c r="P24" s="2280" cm="1">
        <f t="array" ref="P24">SUMPRODUCT((Application!$B$726:$B$760 = 'CalHFA Addendum'!P$18)*(Application!$AC$726:$AC$760 = 'CalHFA Addendum'!$B24),Application!$G$726:$G$760)</f>
        <v>0</v>
      </c>
      <c r="Q24" s="2281"/>
      <c r="R24" s="2281"/>
      <c r="S24" s="2281"/>
      <c r="T24" s="2281"/>
      <c r="U24" s="2282"/>
      <c r="V24" s="2280" cm="1">
        <f t="array" ref="V24">SUMPRODUCT((Application!$B$726:$B$760 = 'CalHFA Addendum'!V$18)*(Application!$AC$726:$AC$760 = 'CalHFA Addendum'!$B24),Application!$G$726:$G$760)</f>
        <v>0</v>
      </c>
      <c r="W24" s="2281"/>
      <c r="X24" s="2281"/>
      <c r="Y24" s="2281"/>
      <c r="Z24" s="2281"/>
      <c r="AA24" s="2282"/>
      <c r="AB24" s="2280" cm="1">
        <f t="array" ref="AB24">SUMPRODUCT((Application!$B$726:$B$760 = 'CalHFA Addendum'!AB$18)*(Application!$AC$726:$AC$760 = 'CalHFA Addendum'!$B24),Application!$G$726:$G$760)</f>
        <v>0</v>
      </c>
      <c r="AC24" s="2281"/>
      <c r="AD24" s="2281"/>
      <c r="AE24" s="2281"/>
      <c r="AF24" s="2281"/>
      <c r="AG24" s="2282"/>
      <c r="AH24" s="2280" cm="1">
        <f t="array" ref="AH24">SUMPRODUCT((Application!$B$726:$B$760 = 'CalHFA Addendum'!AH$18)*(Application!$AC$726:$AC$760 = 'CalHFA Addendum'!$B24),Application!$G$726:$G$760)</f>
        <v>0</v>
      </c>
      <c r="AI24" s="2281"/>
      <c r="AJ24" s="2281"/>
      <c r="AK24" s="2281"/>
      <c r="AL24" s="2281"/>
      <c r="AM24" s="2282"/>
      <c r="AN24" s="2280" cm="1">
        <f t="array" ref="AN24">SUMPRODUCT((Application!$B$726:$B$760 = 'CalHFA Addendum'!AN$18)*(Application!$AC$726:$AC$760 = 'CalHFA Addendum'!$B24),Application!$G$726:$G$760)</f>
        <v>0</v>
      </c>
      <c r="AO24" s="2281"/>
      <c r="AP24" s="2281"/>
      <c r="AQ24" s="2281"/>
      <c r="AR24" s="2281"/>
      <c r="AS24" s="2282"/>
      <c r="AT24" s="2265">
        <f t="shared" si="1"/>
        <v>0</v>
      </c>
      <c r="AU24" s="2266"/>
      <c r="AV24" s="2266"/>
      <c r="AW24" s="2266"/>
      <c r="AX24" s="2266"/>
      <c r="AY24" s="2267"/>
      <c r="AZ24" s="1208"/>
      <c r="BA24" s="1208"/>
      <c r="BB24" s="1208"/>
      <c r="BC24" s="1208"/>
      <c r="BD24" s="1208"/>
      <c r="BE24" s="1215"/>
    </row>
    <row r="25" spans="1:58" ht="15">
      <c r="A25" s="1208"/>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208"/>
      <c r="BA25" s="1208"/>
      <c r="BB25" s="1208"/>
      <c r="BC25" s="1208"/>
      <c r="BD25" s="1208"/>
      <c r="BE25" s="1215"/>
    </row>
    <row r="26" spans="1:58" ht="15">
      <c r="A26" s="1208"/>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208"/>
      <c r="BA26" s="1208"/>
      <c r="BB26" s="1208"/>
      <c r="BC26" s="1208"/>
      <c r="BD26" s="1208"/>
      <c r="BE26" s="1215"/>
    </row>
    <row r="27" spans="1:58" ht="15">
      <c r="A27" s="1208"/>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208"/>
      <c r="BA27" s="1208"/>
      <c r="BB27" s="1208"/>
      <c r="BC27" s="1208"/>
      <c r="BD27" s="1208"/>
      <c r="BE27" s="1215"/>
    </row>
    <row r="28" spans="1:58" thickBot="1">
      <c r="A28" s="1208"/>
      <c r="B28" s="2268" t="s">
        <v>2365</v>
      </c>
      <c r="C28" s="2269"/>
      <c r="D28" s="2269"/>
      <c r="E28" s="2269"/>
      <c r="F28" s="2269"/>
      <c r="G28" s="2269"/>
      <c r="H28" s="2269"/>
      <c r="I28" s="2270"/>
      <c r="J28" s="2271">
        <f>SUM(P28:AS28)</f>
        <v>0</v>
      </c>
      <c r="K28" s="2272"/>
      <c r="L28" s="2272"/>
      <c r="M28" s="2272"/>
      <c r="N28" s="2272"/>
      <c r="O28" s="2273"/>
      <c r="P28" s="2271">
        <f>_xlfn.IFNA(VLOOKUP(P$18,Application!$J$781:$S$784,6,FALSE), 0)</f>
        <v>0</v>
      </c>
      <c r="Q28" s="2272"/>
      <c r="R28" s="2272"/>
      <c r="S28" s="2272"/>
      <c r="T28" s="2272"/>
      <c r="U28" s="2273"/>
      <c r="V28" s="2271">
        <f>_xlfn.IFNA(VLOOKUP(V$18,Application!$J$781:$S$784,6,FALSE), 0)</f>
        <v>0</v>
      </c>
      <c r="W28" s="2272"/>
      <c r="X28" s="2272"/>
      <c r="Y28" s="2272"/>
      <c r="Z28" s="2272"/>
      <c r="AA28" s="2273"/>
      <c r="AB28" s="2271">
        <f>_xlfn.IFNA(VLOOKUP(AB$18,Application!$J$781:$S$784,6,FALSE), 0)</f>
        <v>0</v>
      </c>
      <c r="AC28" s="2272"/>
      <c r="AD28" s="2272"/>
      <c r="AE28" s="2272"/>
      <c r="AF28" s="2272"/>
      <c r="AG28" s="2273"/>
      <c r="AH28" s="2271">
        <f>_xlfn.IFNA(VLOOKUP(AH$18,Application!$J$781:$S$784,6,FALSE), 0)</f>
        <v>0</v>
      </c>
      <c r="AI28" s="2272"/>
      <c r="AJ28" s="2272"/>
      <c r="AK28" s="2272"/>
      <c r="AL28" s="2272"/>
      <c r="AM28" s="2273"/>
      <c r="AN28" s="2271">
        <f>_xlfn.IFNA(VLOOKUP(AN$18,Application!$J$781:$S$784,6,FALSE), 0)</f>
        <v>0</v>
      </c>
      <c r="AO28" s="2272"/>
      <c r="AP28" s="2272"/>
      <c r="AQ28" s="2272"/>
      <c r="AR28" s="2272"/>
      <c r="AS28" s="2273"/>
      <c r="AT28" s="2274">
        <f t="shared" si="1"/>
        <v>0</v>
      </c>
      <c r="AU28" s="2275"/>
      <c r="AV28" s="2275"/>
      <c r="AW28" s="2275"/>
      <c r="AX28" s="2275"/>
      <c r="AY28" s="2276"/>
      <c r="AZ28" s="1208"/>
      <c r="BA28" s="1208"/>
      <c r="BB28" s="1208"/>
      <c r="BC28" s="1208"/>
      <c r="BD28" s="1208"/>
      <c r="BE28" s="1215"/>
    </row>
    <row r="29" spans="1:58" thickBot="1">
      <c r="A29" s="1208"/>
      <c r="B29" s="2251" t="s">
        <v>1574</v>
      </c>
      <c r="C29" s="2224"/>
      <c r="D29" s="2224"/>
      <c r="E29" s="2224"/>
      <c r="F29" s="2224"/>
      <c r="G29" s="2224"/>
      <c r="H29" s="2224"/>
      <c r="I29" s="2225"/>
      <c r="J29" s="2223">
        <f>SUM(J19:O28)</f>
        <v>12</v>
      </c>
      <c r="K29" s="2224"/>
      <c r="L29" s="2224"/>
      <c r="M29" s="2224"/>
      <c r="N29" s="2224"/>
      <c r="O29" s="2225"/>
      <c r="P29" s="2223">
        <f>SUM(P19:U28)</f>
        <v>0</v>
      </c>
      <c r="Q29" s="2224"/>
      <c r="R29" s="2224"/>
      <c r="S29" s="2224"/>
      <c r="T29" s="2224"/>
      <c r="U29" s="2225"/>
      <c r="V29" s="2223">
        <f>SUM(V19:AA28)</f>
        <v>7</v>
      </c>
      <c r="W29" s="2224"/>
      <c r="X29" s="2224"/>
      <c r="Y29" s="2224"/>
      <c r="Z29" s="2224"/>
      <c r="AA29" s="2225"/>
      <c r="AB29" s="2223">
        <f>SUM(AB19:AG28)</f>
        <v>3</v>
      </c>
      <c r="AC29" s="2224"/>
      <c r="AD29" s="2224"/>
      <c r="AE29" s="2224"/>
      <c r="AF29" s="2224"/>
      <c r="AG29" s="2225"/>
      <c r="AH29" s="2223">
        <f>SUM(AH19:AM28)</f>
        <v>2</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9" t="s">
        <v>2364</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215"/>
    </row>
    <row r="32" spans="1:58" thickBot="1">
      <c r="A32" s="1208"/>
      <c r="B32" s="2232" t="s">
        <v>2363</v>
      </c>
      <c r="C32" s="2233"/>
      <c r="D32" s="2233"/>
      <c r="E32" s="2233"/>
      <c r="F32" s="2233"/>
      <c r="G32" s="2233"/>
      <c r="H32" s="2233"/>
      <c r="I32" s="2233"/>
      <c r="J32" s="2236" t="s">
        <v>2362</v>
      </c>
      <c r="K32" s="2237"/>
      <c r="L32" s="2237"/>
      <c r="M32" s="2237"/>
      <c r="N32" s="2236" t="s">
        <v>2361</v>
      </c>
      <c r="O32" s="2237"/>
      <c r="P32" s="2237"/>
      <c r="Q32" s="2239"/>
      <c r="R32" s="2241" t="s">
        <v>2360</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215"/>
    </row>
    <row r="33" spans="1:58" ht="15" customHeight="1">
      <c r="A33" s="1208"/>
      <c r="B33" s="2234"/>
      <c r="C33" s="2235"/>
      <c r="D33" s="2235"/>
      <c r="E33" s="2235"/>
      <c r="F33" s="2235"/>
      <c r="G33" s="2235"/>
      <c r="H33" s="2235"/>
      <c r="I33" s="2235"/>
      <c r="J33" s="2238"/>
      <c r="K33" s="2238"/>
      <c r="L33" s="2238"/>
      <c r="M33" s="2238"/>
      <c r="N33" s="2238"/>
      <c r="O33" s="2238"/>
      <c r="P33" s="2238"/>
      <c r="Q33" s="2240"/>
      <c r="R33" s="2244" t="s">
        <v>2359</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215"/>
    </row>
    <row r="34" spans="1:58" ht="15.75" customHeight="1" thickBot="1">
      <c r="A34" s="1208"/>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215"/>
    </row>
    <row r="35" spans="1:58" ht="15.75" customHeight="1">
      <c r="A35" s="1208"/>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2358</v>
      </c>
      <c r="AT35" s="2253"/>
      <c r="AU35" s="2253"/>
      <c r="AV35" s="2253"/>
      <c r="AW35" s="2253"/>
      <c r="AX35" s="2261"/>
      <c r="AY35" s="2252" t="s">
        <v>2357</v>
      </c>
      <c r="AZ35" s="2253"/>
      <c r="BA35" s="2253"/>
      <c r="BB35" s="2253"/>
      <c r="BC35" s="2253"/>
      <c r="BD35" s="2254"/>
      <c r="BE35" s="1215"/>
    </row>
    <row r="36" spans="1:58" ht="15.75" customHeight="1">
      <c r="A36" s="1208"/>
      <c r="B36" s="2156" t="s">
        <v>2356</v>
      </c>
      <c r="C36" s="2157"/>
      <c r="D36" s="2157"/>
      <c r="E36" s="2157"/>
      <c r="F36" s="2157"/>
      <c r="G36" s="2157"/>
      <c r="H36" s="2157"/>
      <c r="I36" s="2157"/>
      <c r="J36" s="2221" t="s">
        <v>2355</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215"/>
    </row>
    <row r="37" spans="1:58" ht="15.75" customHeight="1">
      <c r="A37" s="1208"/>
      <c r="B37" s="2156" t="s">
        <v>2354</v>
      </c>
      <c r="C37" s="2157"/>
      <c r="D37" s="2157"/>
      <c r="E37" s="2157"/>
      <c r="F37" s="2157"/>
      <c r="G37" s="2157"/>
      <c r="H37" s="2157"/>
      <c r="I37" s="2157"/>
      <c r="J37" s="2221" t="s">
        <v>2353</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215"/>
    </row>
    <row r="38" spans="1:58" ht="15.75" customHeight="1">
      <c r="A38" s="1208"/>
      <c r="B38" s="2156" t="s">
        <v>2352</v>
      </c>
      <c r="C38" s="2157"/>
      <c r="D38" s="2157"/>
      <c r="E38" s="2157"/>
      <c r="F38" s="2157"/>
      <c r="G38" s="2157"/>
      <c r="H38" s="2157"/>
      <c r="I38" s="2157"/>
      <c r="J38" s="2221" t="s">
        <v>2351</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215"/>
    </row>
    <row r="39" spans="1:58" ht="15.75" customHeight="1">
      <c r="A39" s="1208"/>
      <c r="B39" s="2156" t="s">
        <v>2350</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215"/>
    </row>
    <row r="40" spans="1:58" ht="15.75" customHeight="1">
      <c r="A40" s="1208"/>
      <c r="B40" s="2156" t="s">
        <v>2350</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215"/>
    </row>
    <row r="41" spans="1:58" ht="15.75" customHeight="1">
      <c r="A41" s="1208"/>
      <c r="B41" s="2156" t="s">
        <v>2349</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215"/>
    </row>
    <row r="42" spans="1:58" ht="15.75" customHeight="1">
      <c r="A42" s="1208"/>
      <c r="B42" s="2156" t="s">
        <v>2349</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215"/>
    </row>
    <row r="43" spans="1:58" ht="15.75" customHeight="1">
      <c r="A43" s="1208"/>
      <c r="B43" s="2161" t="s">
        <v>2348</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215"/>
    </row>
    <row r="44" spans="1:58" ht="15.75" customHeight="1">
      <c r="A44" s="1208"/>
      <c r="B44" s="2161" t="s">
        <v>2347</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215"/>
    </row>
    <row r="45" spans="1:58" ht="15.75" customHeight="1">
      <c r="A45" s="1208"/>
      <c r="B45" s="2161" t="s">
        <v>2346</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215"/>
    </row>
    <row r="46" spans="1:58" ht="15.75" customHeight="1">
      <c r="A46" s="1208"/>
      <c r="B46" s="2161" t="s">
        <v>2278</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215"/>
    </row>
    <row r="47" spans="1:58" ht="15.75" customHeight="1" thickBot="1">
      <c r="A47" s="1208"/>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0" t="s">
        <v>2343</v>
      </c>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c r="AF50" s="2036"/>
      <c r="AG50" s="2036"/>
      <c r="AH50" s="2036"/>
      <c r="AI50" s="2036"/>
      <c r="AJ50" s="2036"/>
      <c r="AK50" s="2036"/>
      <c r="AL50" s="2036"/>
      <c r="AM50" s="2036"/>
      <c r="AN50" s="2036"/>
      <c r="AO50" s="203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4" t="s">
        <v>2336</v>
      </c>
      <c r="C51" s="2108"/>
      <c r="D51" s="2108"/>
      <c r="E51" s="2108"/>
      <c r="F51" s="2108"/>
      <c r="G51" s="2108"/>
      <c r="H51" s="2108"/>
      <c r="I51" s="2108"/>
      <c r="J51" s="2108" t="s">
        <v>2342</v>
      </c>
      <c r="K51" s="2108"/>
      <c r="L51" s="2108"/>
      <c r="M51" s="2108"/>
      <c r="N51" s="2108"/>
      <c r="O51" s="2108"/>
      <c r="P51" s="2108"/>
      <c r="Q51" s="2108"/>
      <c r="R51" s="2200" t="s">
        <v>2341</v>
      </c>
      <c r="S51" s="2200"/>
      <c r="T51" s="2200"/>
      <c r="U51" s="2200"/>
      <c r="V51" s="2200"/>
      <c r="W51" s="2200"/>
      <c r="X51" s="2200"/>
      <c r="Y51" s="2200"/>
      <c r="Z51" s="2200" t="s">
        <v>2340</v>
      </c>
      <c r="AA51" s="2200"/>
      <c r="AB51" s="2200"/>
      <c r="AC51" s="2200"/>
      <c r="AD51" s="2200"/>
      <c r="AE51" s="2200"/>
      <c r="AF51" s="2200"/>
      <c r="AG51" s="2200"/>
      <c r="AH51" s="2200" t="s">
        <v>2339</v>
      </c>
      <c r="AI51" s="2200"/>
      <c r="AJ51" s="2200"/>
      <c r="AK51" s="2200"/>
      <c r="AL51" s="2200"/>
      <c r="AM51" s="2200"/>
      <c r="AN51" s="2200"/>
      <c r="AO51" s="220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1" t="s">
        <v>2338</v>
      </c>
      <c r="C52" s="2162"/>
      <c r="D52" s="2162"/>
      <c r="E52" s="2162"/>
      <c r="F52" s="2162"/>
      <c r="G52" s="2162"/>
      <c r="H52" s="2162"/>
      <c r="I52" s="2162"/>
      <c r="J52" s="1997">
        <v>0</v>
      </c>
      <c r="K52" s="1997"/>
      <c r="L52" s="1997"/>
      <c r="M52" s="1997"/>
      <c r="N52" s="1997"/>
      <c r="O52" s="1997"/>
      <c r="P52" s="1997"/>
      <c r="Q52" s="1997"/>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1" t="s">
        <v>2337</v>
      </c>
      <c r="C53" s="2162"/>
      <c r="D53" s="2162"/>
      <c r="E53" s="2162"/>
      <c r="F53" s="2162"/>
      <c r="G53" s="2162"/>
      <c r="H53" s="2162"/>
      <c r="I53" s="2162"/>
      <c r="J53" s="1997">
        <v>0</v>
      </c>
      <c r="K53" s="1997"/>
      <c r="L53" s="1997"/>
      <c r="M53" s="1997"/>
      <c r="N53" s="1997"/>
      <c r="O53" s="1997"/>
      <c r="P53" s="1997"/>
      <c r="Q53" s="1997"/>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1"/>
      <c r="C54" s="2162"/>
      <c r="D54" s="2162"/>
      <c r="E54" s="2162"/>
      <c r="F54" s="2162"/>
      <c r="G54" s="2162"/>
      <c r="H54" s="2162"/>
      <c r="I54" s="2162"/>
      <c r="J54" s="1997"/>
      <c r="K54" s="1997"/>
      <c r="L54" s="1997"/>
      <c r="M54" s="1997"/>
      <c r="N54" s="1997"/>
      <c r="O54" s="1997"/>
      <c r="P54" s="1997"/>
      <c r="Q54" s="1997"/>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1"/>
      <c r="C55" s="2162"/>
      <c r="D55" s="2162"/>
      <c r="E55" s="2162"/>
      <c r="F55" s="2162"/>
      <c r="G55" s="2162"/>
      <c r="H55" s="2162"/>
      <c r="I55" s="2162"/>
      <c r="J55" s="1997"/>
      <c r="K55" s="1997"/>
      <c r="L55" s="1997"/>
      <c r="M55" s="1997"/>
      <c r="N55" s="1997"/>
      <c r="O55" s="1997"/>
      <c r="P55" s="1997"/>
      <c r="Q55" s="1997"/>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1"/>
      <c r="C56" s="2162"/>
      <c r="D56" s="2162"/>
      <c r="E56" s="2162"/>
      <c r="F56" s="2162"/>
      <c r="G56" s="2162"/>
      <c r="H56" s="2162"/>
      <c r="I56" s="2162"/>
      <c r="J56" s="1997"/>
      <c r="K56" s="1997"/>
      <c r="L56" s="1997"/>
      <c r="M56" s="1997"/>
      <c r="N56" s="1997"/>
      <c r="O56" s="1997"/>
      <c r="P56" s="1997"/>
      <c r="Q56" s="1997"/>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2" t="s">
        <v>1574</v>
      </c>
      <c r="C57" s="2143"/>
      <c r="D57" s="2143"/>
      <c r="E57" s="2143"/>
      <c r="F57" s="2143"/>
      <c r="G57" s="2143"/>
      <c r="H57" s="2143"/>
      <c r="I57" s="2143"/>
      <c r="J57" s="2143"/>
      <c r="K57" s="2143"/>
      <c r="L57" s="2143"/>
      <c r="M57" s="2143"/>
      <c r="N57" s="2143"/>
      <c r="O57" s="2143"/>
      <c r="P57" s="2143"/>
      <c r="Q57" s="2143"/>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9" t="s">
        <v>2336</v>
      </c>
      <c r="C59" s="2190"/>
      <c r="D59" s="2190"/>
      <c r="E59" s="2190"/>
      <c r="F59" s="2190"/>
      <c r="G59" s="2190"/>
      <c r="H59" s="2190"/>
      <c r="I59" s="2191"/>
      <c r="J59" s="2112" t="s">
        <v>2335</v>
      </c>
      <c r="K59" s="2112"/>
      <c r="L59" s="2112"/>
      <c r="M59" s="2112"/>
      <c r="N59" s="2112"/>
      <c r="O59" s="2112"/>
      <c r="P59" s="2112"/>
      <c r="Q59" s="2112"/>
      <c r="R59" s="2112"/>
      <c r="S59" s="2112"/>
      <c r="T59" s="2112"/>
      <c r="U59" s="2112"/>
      <c r="V59" s="2112"/>
      <c r="W59" s="2112"/>
      <c r="X59" s="2112"/>
      <c r="Y59" s="2112"/>
      <c r="Z59" s="2112"/>
      <c r="AA59" s="2112"/>
      <c r="AB59" s="2112"/>
      <c r="AC59" s="2112"/>
      <c r="AD59" s="2112"/>
      <c r="AE59" s="2112"/>
      <c r="AF59" s="2112"/>
      <c r="AG59" s="2112"/>
      <c r="AH59" s="2112"/>
      <c r="AI59" s="2112"/>
      <c r="AJ59" s="2112"/>
      <c r="AK59" s="2112"/>
      <c r="AL59" s="2112"/>
      <c r="AM59" s="2112"/>
      <c r="AN59" s="2112"/>
      <c r="AO59" s="2112"/>
      <c r="AP59" s="2112"/>
      <c r="AQ59" s="2112"/>
      <c r="AR59" s="2112"/>
      <c r="AS59" s="2112"/>
      <c r="AT59" s="2112"/>
      <c r="AU59" s="2112"/>
      <c r="AV59" s="2112"/>
      <c r="AW59" s="2113"/>
      <c r="AX59" s="1208"/>
      <c r="AY59" s="1208"/>
      <c r="AZ59" s="1208"/>
      <c r="BA59" s="1208"/>
      <c r="BB59" s="1208"/>
      <c r="BC59" s="1208"/>
      <c r="BD59" s="1208"/>
      <c r="BE59" s="1215"/>
    </row>
    <row r="60" spans="1:77" ht="15.75" customHeight="1">
      <c r="A60" s="1208"/>
      <c r="B60" s="2181" t="str">
        <f>IF(B52="", "", B52)</f>
        <v>Services Company 1</v>
      </c>
      <c r="C60" s="2182"/>
      <c r="D60" s="2182"/>
      <c r="E60" s="2182"/>
      <c r="F60" s="2182"/>
      <c r="G60" s="2182"/>
      <c r="H60" s="2182"/>
      <c r="I60" s="2183"/>
      <c r="J60" s="2184"/>
      <c r="K60" s="2000"/>
      <c r="L60" s="2000"/>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1"/>
      <c r="AX60" s="1208"/>
      <c r="AY60" s="1208"/>
      <c r="AZ60" s="1208"/>
      <c r="BA60" s="1208"/>
      <c r="BB60" s="1208"/>
      <c r="BC60" s="1208"/>
      <c r="BD60" s="1208"/>
      <c r="BE60" s="1215"/>
    </row>
    <row r="61" spans="1:77" ht="15.75" customHeight="1">
      <c r="A61" s="1208"/>
      <c r="B61" s="2181" t="str">
        <f>IF(B53="", "", B53)</f>
        <v>Services Company 2</v>
      </c>
      <c r="C61" s="2182"/>
      <c r="D61" s="2182"/>
      <c r="E61" s="2182"/>
      <c r="F61" s="2182"/>
      <c r="G61" s="2182"/>
      <c r="H61" s="2182"/>
      <c r="I61" s="2183"/>
      <c r="J61" s="2184"/>
      <c r="K61" s="2000"/>
      <c r="L61" s="2000"/>
      <c r="M61" s="2000"/>
      <c r="N61" s="2000"/>
      <c r="O61" s="2000"/>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c r="AS61" s="2000"/>
      <c r="AT61" s="2000"/>
      <c r="AU61" s="2000"/>
      <c r="AV61" s="2000"/>
      <c r="AW61" s="2001"/>
      <c r="AX61" s="1208"/>
      <c r="AY61" s="1208"/>
      <c r="AZ61" s="1208"/>
      <c r="BA61" s="1208"/>
      <c r="BB61" s="1208"/>
      <c r="BC61" s="1208"/>
      <c r="BD61" s="1208"/>
      <c r="BE61" s="1215"/>
    </row>
    <row r="62" spans="1:77" ht="15.75" customHeight="1">
      <c r="A62" s="1208"/>
      <c r="B62" s="2181" t="str">
        <f>IF(B54="", "", B54)</f>
        <v/>
      </c>
      <c r="C62" s="2182"/>
      <c r="D62" s="2182"/>
      <c r="E62" s="2182"/>
      <c r="F62" s="2182"/>
      <c r="G62" s="2182"/>
      <c r="H62" s="2182"/>
      <c r="I62" s="2183"/>
      <c r="J62" s="2184"/>
      <c r="K62" s="2000"/>
      <c r="L62" s="2000"/>
      <c r="M62" s="2000"/>
      <c r="N62" s="200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c r="AS62" s="2000"/>
      <c r="AT62" s="2000"/>
      <c r="AU62" s="2000"/>
      <c r="AV62" s="2000"/>
      <c r="AW62" s="2001"/>
      <c r="AX62" s="1208"/>
      <c r="AY62" s="1208"/>
      <c r="AZ62" s="1208"/>
      <c r="BA62" s="1208"/>
      <c r="BB62" s="1208"/>
      <c r="BC62" s="1208"/>
      <c r="BD62" s="1208"/>
      <c r="BE62" s="1215"/>
    </row>
    <row r="63" spans="1:77" ht="15.75" customHeight="1">
      <c r="A63" s="1208"/>
      <c r="B63" s="2181" t="str">
        <f>IF(B55="", "", B55)</f>
        <v/>
      </c>
      <c r="C63" s="2182"/>
      <c r="D63" s="2182"/>
      <c r="E63" s="2182"/>
      <c r="F63" s="2182"/>
      <c r="G63" s="2182"/>
      <c r="H63" s="2182"/>
      <c r="I63" s="2183"/>
      <c r="J63" s="2184"/>
      <c r="K63" s="2000"/>
      <c r="L63" s="2000"/>
      <c r="M63" s="200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c r="AS63" s="2000"/>
      <c r="AT63" s="2000"/>
      <c r="AU63" s="2000"/>
      <c r="AV63" s="2000"/>
      <c r="AW63" s="2001"/>
      <c r="AX63" s="1208"/>
      <c r="AY63" s="1208"/>
      <c r="AZ63" s="1208"/>
      <c r="BA63" s="1208"/>
      <c r="BB63" s="1208"/>
      <c r="BC63" s="1208"/>
      <c r="BD63" s="1208"/>
      <c r="BE63" s="1215"/>
    </row>
    <row r="64" spans="1:77" ht="15.75" customHeight="1" thickBot="1">
      <c r="A64" s="1208"/>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1" t="s">
        <v>2333</v>
      </c>
      <c r="C68" s="2112"/>
      <c r="D68" s="2112"/>
      <c r="E68" s="2112"/>
      <c r="F68" s="2112"/>
      <c r="G68" s="2112"/>
      <c r="H68" s="2112"/>
      <c r="I68" s="2112"/>
      <c r="J68" s="2112"/>
      <c r="K68" s="2112"/>
      <c r="L68" s="2112"/>
      <c r="M68" s="2112"/>
      <c r="N68" s="2112"/>
      <c r="O68" s="2112"/>
      <c r="P68" s="2112"/>
      <c r="Q68" s="2112"/>
      <c r="R68" s="2112"/>
      <c r="S68" s="2112"/>
      <c r="T68" s="2112"/>
      <c r="U68" s="2112"/>
      <c r="V68" s="2112"/>
      <c r="W68" s="2112"/>
      <c r="X68" s="2112"/>
      <c r="Y68" s="2112"/>
      <c r="Z68" s="2112"/>
      <c r="AA68" s="2113"/>
      <c r="AB68" s="1208"/>
      <c r="AC68" s="2034" t="s">
        <v>2332</v>
      </c>
      <c r="AD68" s="2035"/>
      <c r="AE68" s="2035"/>
      <c r="AF68" s="2035"/>
      <c r="AG68" s="2035"/>
      <c r="AH68" s="2035"/>
      <c r="AI68" s="2035"/>
      <c r="AJ68" s="2035"/>
      <c r="AK68" s="2035"/>
      <c r="AL68" s="2035"/>
      <c r="AM68" s="2035"/>
      <c r="AN68" s="2035"/>
      <c r="AO68" s="2035"/>
      <c r="AP68" s="2035"/>
      <c r="AQ68" s="2035"/>
      <c r="AR68" s="2035"/>
      <c r="AS68" s="2035"/>
      <c r="AT68" s="2035"/>
      <c r="AU68" s="2035"/>
      <c r="AV68" s="2173" t="s">
        <v>668</v>
      </c>
      <c r="AW68" s="2091"/>
      <c r="AX68" s="2091"/>
      <c r="AY68" s="2091"/>
      <c r="AZ68" s="2091"/>
      <c r="BA68" s="2091"/>
      <c r="BB68" s="2091"/>
      <c r="BC68" s="2092"/>
      <c r="BD68" s="1208"/>
      <c r="BE68" s="1215"/>
      <c r="BM68" s="1221" t="s">
        <v>2331</v>
      </c>
    </row>
    <row r="69" spans="1:94" ht="15.75" customHeight="1" thickTop="1" thickBot="1">
      <c r="A69" s="1208"/>
      <c r="B69" s="2174" t="s">
        <v>2330</v>
      </c>
      <c r="C69" s="2175"/>
      <c r="D69" s="2175"/>
      <c r="E69" s="2175"/>
      <c r="F69" s="2175"/>
      <c r="G69" s="2175"/>
      <c r="H69" s="2175"/>
      <c r="I69" s="2175"/>
      <c r="J69" s="2175"/>
      <c r="K69" s="2175"/>
      <c r="L69" s="2175"/>
      <c r="M69" s="2175"/>
      <c r="N69" s="2175"/>
      <c r="O69" s="2176" t="s">
        <v>2329</v>
      </c>
      <c r="P69" s="2177"/>
      <c r="Q69" s="2177"/>
      <c r="R69" s="2177"/>
      <c r="S69" s="2177"/>
      <c r="T69" s="2177"/>
      <c r="U69" s="2177"/>
      <c r="V69" s="2177"/>
      <c r="W69" s="2177"/>
      <c r="X69" s="2177"/>
      <c r="Y69" s="2177"/>
      <c r="Z69" s="2177"/>
      <c r="AA69" s="2178"/>
      <c r="AB69" s="1208"/>
      <c r="AC69" s="2179" t="s">
        <v>2328</v>
      </c>
      <c r="AD69" s="2180"/>
      <c r="AE69" s="2180"/>
      <c r="AF69" s="2180"/>
      <c r="AG69" s="2180"/>
      <c r="AH69" s="2180"/>
      <c r="AI69" s="2180"/>
      <c r="AJ69" s="2180"/>
      <c r="AK69" s="2180"/>
      <c r="AL69" s="2180"/>
      <c r="AM69" s="2180"/>
      <c r="AN69" s="2180"/>
      <c r="AO69" s="2180"/>
      <c r="AP69" s="2180"/>
      <c r="AQ69" s="2180"/>
      <c r="AR69" s="2180"/>
      <c r="AS69" s="2180"/>
      <c r="AT69" s="2180"/>
      <c r="AU69" s="2180"/>
      <c r="AV69" s="2173" t="s">
        <v>668</v>
      </c>
      <c r="AW69" s="2091"/>
      <c r="AX69" s="2091"/>
      <c r="AY69" s="2091"/>
      <c r="AZ69" s="2091"/>
      <c r="BA69" s="2091"/>
      <c r="BB69" s="2091"/>
      <c r="BC69" s="2092"/>
      <c r="BD69" s="1208"/>
      <c r="BE69" s="1215"/>
      <c r="BM69" s="1222" t="s">
        <v>544</v>
      </c>
    </row>
    <row r="70" spans="1:94" ht="15.75" customHeight="1">
      <c r="A70" s="1208"/>
      <c r="B70" s="2156" t="s">
        <v>2327</v>
      </c>
      <c r="C70" s="2157"/>
      <c r="D70" s="2157"/>
      <c r="E70" s="2157"/>
      <c r="F70" s="2157"/>
      <c r="G70" s="2157"/>
      <c r="H70" s="2157"/>
      <c r="I70" s="2157"/>
      <c r="J70" s="2157"/>
      <c r="K70" s="2157"/>
      <c r="L70" s="2157"/>
      <c r="M70" s="2157"/>
      <c r="N70" s="2157"/>
      <c r="O70" s="2042">
        <v>0</v>
      </c>
      <c r="P70" s="2042"/>
      <c r="Q70" s="2042"/>
      <c r="R70" s="2042"/>
      <c r="S70" s="2042"/>
      <c r="T70" s="2042"/>
      <c r="U70" s="2042"/>
      <c r="V70" s="2042"/>
      <c r="W70" s="2042"/>
      <c r="X70" s="2042"/>
      <c r="Y70" s="2042"/>
      <c r="Z70" s="2042"/>
      <c r="AA70" s="2158"/>
      <c r="AB70" s="1208"/>
      <c r="AC70" s="2080" t="s">
        <v>2326</v>
      </c>
      <c r="AD70" s="2036"/>
      <c r="AE70" s="2036"/>
      <c r="AF70" s="2167"/>
      <c r="AG70" s="2167"/>
      <c r="AH70" s="2167"/>
      <c r="AI70" s="2167"/>
      <c r="AJ70" s="2167"/>
      <c r="AK70" s="2167"/>
      <c r="AL70" s="2167"/>
      <c r="AM70" s="2167"/>
      <c r="AN70" s="2167"/>
      <c r="AO70" s="2167"/>
      <c r="AP70" s="2167"/>
      <c r="AQ70" s="2167"/>
      <c r="AR70" s="2167"/>
      <c r="AS70" s="2167"/>
      <c r="AT70" s="2167"/>
      <c r="AU70" s="2168"/>
      <c r="AV70" s="1208"/>
      <c r="AW70" s="1208"/>
      <c r="AX70" s="1208"/>
      <c r="AY70" s="1208"/>
      <c r="AZ70" s="1208"/>
      <c r="BA70" s="1208"/>
      <c r="BB70" s="1208"/>
      <c r="BC70" s="1208"/>
      <c r="BD70" s="1208"/>
      <c r="BE70" s="1215"/>
      <c r="BM70" s="1223" t="s">
        <v>668</v>
      </c>
    </row>
    <row r="71" spans="1:94" ht="15.75" customHeight="1" thickBot="1">
      <c r="A71" s="1208"/>
      <c r="B71" s="2156" t="s">
        <v>2325</v>
      </c>
      <c r="C71" s="2157"/>
      <c r="D71" s="2157"/>
      <c r="E71" s="2157"/>
      <c r="F71" s="2157"/>
      <c r="G71" s="2157"/>
      <c r="H71" s="2157"/>
      <c r="I71" s="2157"/>
      <c r="J71" s="2157"/>
      <c r="K71" s="2157"/>
      <c r="L71" s="2157"/>
      <c r="M71" s="2157"/>
      <c r="N71" s="2157"/>
      <c r="O71" s="2042">
        <v>0</v>
      </c>
      <c r="P71" s="2042"/>
      <c r="Q71" s="2042"/>
      <c r="R71" s="2042"/>
      <c r="S71" s="2042"/>
      <c r="T71" s="2042"/>
      <c r="U71" s="2042"/>
      <c r="V71" s="2042"/>
      <c r="W71" s="2042"/>
      <c r="X71" s="2042"/>
      <c r="Y71" s="2042"/>
      <c r="Z71" s="2042"/>
      <c r="AA71" s="2158"/>
      <c r="AB71" s="1208"/>
      <c r="AC71" s="2169" t="s">
        <v>2324</v>
      </c>
      <c r="AD71" s="2170"/>
      <c r="AE71" s="2170"/>
      <c r="AF71" s="2171"/>
      <c r="AG71" s="2171"/>
      <c r="AH71" s="2171"/>
      <c r="AI71" s="2171"/>
      <c r="AJ71" s="2171"/>
      <c r="AK71" s="2171"/>
      <c r="AL71" s="2171"/>
      <c r="AM71" s="2171"/>
      <c r="AN71" s="2171"/>
      <c r="AO71" s="2171"/>
      <c r="AP71" s="2171"/>
      <c r="AQ71" s="2171"/>
      <c r="AR71" s="2171"/>
      <c r="AS71" s="2171"/>
      <c r="AT71" s="2171"/>
      <c r="AU71" s="2172"/>
      <c r="AV71" s="1208"/>
      <c r="AW71" s="1208"/>
      <c r="AX71" s="1208"/>
      <c r="AY71" s="1208"/>
      <c r="AZ71" s="1208"/>
      <c r="BA71" s="1208"/>
      <c r="BB71" s="1208"/>
      <c r="BC71" s="1208"/>
      <c r="BD71" s="1208"/>
      <c r="BE71" s="1215"/>
      <c r="BM71" s="1204" t="s">
        <v>2323</v>
      </c>
    </row>
    <row r="72" spans="1:94" ht="15.75" customHeight="1">
      <c r="A72" s="1208"/>
      <c r="B72" s="2156" t="s">
        <v>2322</v>
      </c>
      <c r="C72" s="2157"/>
      <c r="D72" s="2157"/>
      <c r="E72" s="2157"/>
      <c r="F72" s="2157"/>
      <c r="G72" s="2157"/>
      <c r="H72" s="2157"/>
      <c r="I72" s="2157"/>
      <c r="J72" s="2157"/>
      <c r="K72" s="2157"/>
      <c r="L72" s="2157"/>
      <c r="M72" s="2157"/>
      <c r="N72" s="2157"/>
      <c r="O72" s="2042">
        <v>0</v>
      </c>
      <c r="P72" s="2042"/>
      <c r="Q72" s="2042"/>
      <c r="R72" s="2042"/>
      <c r="S72" s="2042"/>
      <c r="T72" s="2042"/>
      <c r="U72" s="2042"/>
      <c r="V72" s="2042"/>
      <c r="W72" s="2042"/>
      <c r="X72" s="2042"/>
      <c r="Y72" s="2042"/>
      <c r="Z72" s="2042"/>
      <c r="AA72" s="2158"/>
      <c r="AB72" s="1208"/>
      <c r="AC72" s="2159" t="s">
        <v>2321</v>
      </c>
      <c r="AD72" s="2160"/>
      <c r="AE72" s="2160"/>
      <c r="AF72" s="2160"/>
      <c r="AG72" s="2160"/>
      <c r="AH72" s="2160"/>
      <c r="AI72" s="2160"/>
      <c r="AJ72" s="2160"/>
      <c r="AK72" s="2160"/>
      <c r="AL72" s="2160"/>
      <c r="AM72" s="2160"/>
      <c r="AN72" s="2160"/>
      <c r="AO72" s="2160"/>
      <c r="AP72" s="2160"/>
      <c r="AQ72" s="2160"/>
      <c r="AR72" s="2160"/>
      <c r="AS72" s="2160"/>
      <c r="AT72" s="2160"/>
      <c r="AU72" s="2160"/>
      <c r="AV72" s="2036"/>
      <c r="AW72" s="2036"/>
      <c r="AX72" s="2036"/>
      <c r="AY72" s="2036"/>
      <c r="AZ72" s="2036"/>
      <c r="BA72" s="2036"/>
      <c r="BB72" s="2036"/>
      <c r="BC72" s="2037"/>
      <c r="BD72" s="1208"/>
      <c r="BE72" s="1215"/>
    </row>
    <row r="73" spans="1:94" ht="15.75" customHeight="1">
      <c r="A73" s="1208"/>
      <c r="B73" s="2161" t="s">
        <v>2320</v>
      </c>
      <c r="C73" s="2162"/>
      <c r="D73" s="2162"/>
      <c r="E73" s="2162"/>
      <c r="F73" s="2162"/>
      <c r="G73" s="2162"/>
      <c r="H73" s="2162"/>
      <c r="I73" s="2162"/>
      <c r="J73" s="2162"/>
      <c r="K73" s="2162"/>
      <c r="L73" s="2162"/>
      <c r="M73" s="2162"/>
      <c r="N73" s="2162"/>
      <c r="O73" s="2042">
        <v>0</v>
      </c>
      <c r="P73" s="2042"/>
      <c r="Q73" s="2042"/>
      <c r="R73" s="2042"/>
      <c r="S73" s="2042"/>
      <c r="T73" s="2042"/>
      <c r="U73" s="2042"/>
      <c r="V73" s="2042"/>
      <c r="W73" s="2042"/>
      <c r="X73" s="2042"/>
      <c r="Y73" s="2042"/>
      <c r="Z73" s="2042"/>
      <c r="AA73" s="2158"/>
      <c r="AB73" s="1208"/>
      <c r="AC73" s="2051" t="s">
        <v>2273</v>
      </c>
      <c r="AD73" s="2052"/>
      <c r="AE73" s="2052"/>
      <c r="AF73" s="2052"/>
      <c r="AG73" s="2052"/>
      <c r="AH73" s="2052"/>
      <c r="AI73" s="2052"/>
      <c r="AJ73" s="2052"/>
      <c r="AK73" s="2052"/>
      <c r="AL73" s="2052"/>
      <c r="AM73" s="2052"/>
      <c r="AN73" s="2052"/>
      <c r="AO73" s="2052"/>
      <c r="AP73" s="2052"/>
      <c r="AQ73" s="2052"/>
      <c r="AR73" s="2052"/>
      <c r="AS73" s="2052"/>
      <c r="AT73" s="2052"/>
      <c r="AU73" s="2052"/>
      <c r="AV73" s="2052"/>
      <c r="AW73" s="2052"/>
      <c r="AX73" s="2052"/>
      <c r="AY73" s="2052"/>
      <c r="AZ73" s="2052"/>
      <c r="BA73" s="2052"/>
      <c r="BB73" s="2052"/>
      <c r="BC73" s="2053"/>
      <c r="BD73" s="1208"/>
      <c r="BE73" s="1215"/>
      <c r="CK73" s="1206"/>
      <c r="CL73" s="1206"/>
      <c r="CM73" s="1206"/>
      <c r="CN73" s="1206"/>
      <c r="CO73" s="1206"/>
      <c r="CP73" s="1206"/>
    </row>
    <row r="74" spans="1:94" ht="15.75" customHeight="1">
      <c r="A74" s="1208"/>
      <c r="B74" s="1996"/>
      <c r="C74" s="1997"/>
      <c r="D74" s="1997"/>
      <c r="E74" s="1997"/>
      <c r="F74" s="1997"/>
      <c r="G74" s="1997"/>
      <c r="H74" s="1997"/>
      <c r="I74" s="1997"/>
      <c r="J74" s="1997"/>
      <c r="K74" s="1997"/>
      <c r="L74" s="1997"/>
      <c r="M74" s="1997"/>
      <c r="N74" s="1997"/>
      <c r="O74" s="2042"/>
      <c r="P74" s="2042"/>
      <c r="Q74" s="2042"/>
      <c r="R74" s="2042"/>
      <c r="S74" s="2042"/>
      <c r="T74" s="2042"/>
      <c r="U74" s="2042"/>
      <c r="V74" s="2042"/>
      <c r="W74" s="2042"/>
      <c r="X74" s="2042"/>
      <c r="Y74" s="2042"/>
      <c r="Z74" s="2042"/>
      <c r="AA74" s="2158"/>
      <c r="AB74" s="1208"/>
      <c r="AC74" s="2051"/>
      <c r="AD74" s="2052"/>
      <c r="AE74" s="2052"/>
      <c r="AF74" s="2052"/>
      <c r="AG74" s="2052"/>
      <c r="AH74" s="2052"/>
      <c r="AI74" s="2052"/>
      <c r="AJ74" s="2052"/>
      <c r="AK74" s="2052"/>
      <c r="AL74" s="2052"/>
      <c r="AM74" s="2052"/>
      <c r="AN74" s="2052"/>
      <c r="AO74" s="2052"/>
      <c r="AP74" s="2052"/>
      <c r="AQ74" s="2052"/>
      <c r="AR74" s="2052"/>
      <c r="AS74" s="2052"/>
      <c r="AT74" s="2052"/>
      <c r="AU74" s="2052"/>
      <c r="AV74" s="2052"/>
      <c r="AW74" s="2052"/>
      <c r="AX74" s="2052"/>
      <c r="AY74" s="2052"/>
      <c r="AZ74" s="2052"/>
      <c r="BA74" s="2052"/>
      <c r="BB74" s="2052"/>
      <c r="BC74" s="2053"/>
      <c r="BD74" s="1208"/>
      <c r="BE74" s="1215"/>
      <c r="CK74" s="1206"/>
      <c r="CL74" s="1206"/>
      <c r="CM74" s="1206"/>
      <c r="CN74" s="1206"/>
      <c r="CO74" s="1206"/>
      <c r="CP74" s="1206"/>
    </row>
    <row r="75" spans="1:94" ht="15.75" customHeight="1" thickBot="1">
      <c r="A75" s="1208"/>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208"/>
      <c r="AC75" s="2051"/>
      <c r="AD75" s="2052"/>
      <c r="AE75" s="2052"/>
      <c r="AF75" s="2052"/>
      <c r="AG75" s="2052"/>
      <c r="AH75" s="2052"/>
      <c r="AI75" s="2052"/>
      <c r="AJ75" s="2052"/>
      <c r="AK75" s="2052"/>
      <c r="AL75" s="2052"/>
      <c r="AM75" s="2052"/>
      <c r="AN75" s="2052"/>
      <c r="AO75" s="2052"/>
      <c r="AP75" s="2052"/>
      <c r="AQ75" s="2052"/>
      <c r="AR75" s="2052"/>
      <c r="AS75" s="2052"/>
      <c r="AT75" s="2052"/>
      <c r="AU75" s="2052"/>
      <c r="AV75" s="2052"/>
      <c r="AW75" s="2052"/>
      <c r="AX75" s="2052"/>
      <c r="AY75" s="2052"/>
      <c r="AZ75" s="2052"/>
      <c r="BA75" s="2052"/>
      <c r="BB75" s="2052"/>
      <c r="BC75" s="205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1"/>
      <c r="AD76" s="2052"/>
      <c r="AE76" s="2052"/>
      <c r="AF76" s="2052"/>
      <c r="AG76" s="2052"/>
      <c r="AH76" s="2052"/>
      <c r="AI76" s="2052"/>
      <c r="AJ76" s="2052"/>
      <c r="AK76" s="2052"/>
      <c r="AL76" s="2052"/>
      <c r="AM76" s="2052"/>
      <c r="AN76" s="2052"/>
      <c r="AO76" s="2052"/>
      <c r="AP76" s="2052"/>
      <c r="AQ76" s="2052"/>
      <c r="AR76" s="2052"/>
      <c r="AS76" s="2052"/>
      <c r="AT76" s="2052"/>
      <c r="AU76" s="2052"/>
      <c r="AV76" s="2052"/>
      <c r="AW76" s="2052"/>
      <c r="AX76" s="2052"/>
      <c r="AY76" s="2052"/>
      <c r="AZ76" s="2052"/>
      <c r="BA76" s="2052"/>
      <c r="BB76" s="2052"/>
      <c r="BC76" s="205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4"/>
      <c r="AD77" s="2055"/>
      <c r="AE77" s="2055"/>
      <c r="AF77" s="2055"/>
      <c r="AG77" s="2055"/>
      <c r="AH77" s="2055"/>
      <c r="AI77" s="2055"/>
      <c r="AJ77" s="2055"/>
      <c r="AK77" s="2055"/>
      <c r="AL77" s="2055"/>
      <c r="AM77" s="2055"/>
      <c r="AN77" s="2055"/>
      <c r="AO77" s="2055"/>
      <c r="AP77" s="2055"/>
      <c r="AQ77" s="2055"/>
      <c r="AR77" s="2055"/>
      <c r="AS77" s="2055"/>
      <c r="AT77" s="2055"/>
      <c r="AU77" s="2055"/>
      <c r="AV77" s="2055"/>
      <c r="AW77" s="2055"/>
      <c r="AX77" s="2055"/>
      <c r="AY77" s="2055"/>
      <c r="AZ77" s="2055"/>
      <c r="BA77" s="2055"/>
      <c r="BB77" s="2055"/>
      <c r="BC77" s="2056"/>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6"/>
      <c r="G79" s="2147"/>
      <c r="H79" s="2147"/>
      <c r="I79" s="2147"/>
      <c r="J79" s="2147"/>
      <c r="K79" s="2147"/>
      <c r="L79" s="2147"/>
      <c r="M79" s="2147"/>
      <c r="N79" s="2147"/>
      <c r="O79" s="2147"/>
      <c r="P79" s="2147"/>
      <c r="Q79" s="2147"/>
      <c r="R79" s="2147"/>
      <c r="S79" s="2147"/>
      <c r="T79" s="214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9" t="s">
        <v>2318</v>
      </c>
      <c r="C81" s="2150"/>
      <c r="D81" s="2150"/>
      <c r="E81" s="2150"/>
      <c r="F81" s="2150"/>
      <c r="G81" s="2150"/>
      <c r="H81" s="2150"/>
      <c r="I81" s="2150"/>
      <c r="J81" s="2150"/>
      <c r="K81" s="2150"/>
      <c r="L81" s="2150"/>
      <c r="M81" s="2150"/>
      <c r="N81" s="2150"/>
      <c r="O81" s="2150"/>
      <c r="P81" s="2150"/>
      <c r="Q81" s="2150"/>
      <c r="R81" s="2150"/>
      <c r="S81" s="2150"/>
      <c r="T81" s="2150"/>
      <c r="U81" s="2150"/>
      <c r="V81" s="2150"/>
      <c r="W81" s="2150"/>
      <c r="X81" s="2150"/>
      <c r="Y81" s="2150"/>
      <c r="Z81" s="2150"/>
      <c r="AA81" s="2150"/>
      <c r="AB81" s="2150"/>
      <c r="AC81" s="2150"/>
      <c r="AD81" s="2150"/>
      <c r="AE81" s="2150"/>
      <c r="AF81" s="2150"/>
      <c r="AG81" s="2150"/>
      <c r="AH81" s="2151"/>
      <c r="AI81" s="1208"/>
      <c r="AJ81" s="2133" t="s">
        <v>2624</v>
      </c>
      <c r="AK81" s="2134"/>
      <c r="AL81" s="2134"/>
      <c r="AM81" s="2134"/>
      <c r="AN81" s="2134"/>
      <c r="AO81" s="2134"/>
      <c r="AP81" s="2134"/>
      <c r="AQ81" s="2134"/>
      <c r="AR81" s="2134"/>
      <c r="AS81" s="2134"/>
      <c r="AT81" s="2134"/>
      <c r="AU81" s="2134"/>
      <c r="AV81" s="2134"/>
      <c r="AW81" s="2134"/>
      <c r="AX81" s="2134"/>
      <c r="AY81" s="2152" t="s">
        <v>544</v>
      </c>
      <c r="AZ81" s="2152"/>
      <c r="BA81" s="2152"/>
      <c r="BB81" s="2153"/>
      <c r="BC81" s="1208"/>
      <c r="BD81" s="1208"/>
      <c r="BE81" s="1215"/>
      <c r="CK81" s="1206"/>
      <c r="CL81" s="1206"/>
      <c r="CM81" s="1206"/>
      <c r="CN81" s="1206"/>
      <c r="CO81" s="1206"/>
      <c r="CP81" s="1206"/>
    </row>
    <row r="82" spans="1:94" ht="15.75" customHeight="1">
      <c r="A82" s="1208"/>
      <c r="B82" s="2114"/>
      <c r="C82" s="2108"/>
      <c r="D82" s="2108"/>
      <c r="E82" s="2108"/>
      <c r="F82" s="2108"/>
      <c r="G82" s="2108"/>
      <c r="H82" s="2108"/>
      <c r="I82" s="2108" t="s">
        <v>2312</v>
      </c>
      <c r="J82" s="2108"/>
      <c r="K82" s="2108"/>
      <c r="L82" s="2108"/>
      <c r="M82" s="2108"/>
      <c r="N82" s="2108"/>
      <c r="O82" s="2108" t="s">
        <v>2289</v>
      </c>
      <c r="P82" s="2108"/>
      <c r="Q82" s="2108"/>
      <c r="R82" s="2108"/>
      <c r="S82" s="2108"/>
      <c r="T82" s="2108"/>
      <c r="U82" s="2108"/>
      <c r="V82" s="2144" t="s">
        <v>2288</v>
      </c>
      <c r="W82" s="2144"/>
      <c r="X82" s="2144"/>
      <c r="Y82" s="2144"/>
      <c r="Z82" s="2144"/>
      <c r="AA82" s="2144"/>
      <c r="AB82" s="2081" t="s">
        <v>2311</v>
      </c>
      <c r="AC82" s="2081"/>
      <c r="AD82" s="2081"/>
      <c r="AE82" s="2081"/>
      <c r="AF82" s="2081"/>
      <c r="AG82" s="2081"/>
      <c r="AH82" s="2145"/>
      <c r="AI82" s="1208"/>
      <c r="AJ82" s="2136"/>
      <c r="AK82" s="2137"/>
      <c r="AL82" s="2137"/>
      <c r="AM82" s="2137"/>
      <c r="AN82" s="2137"/>
      <c r="AO82" s="2137"/>
      <c r="AP82" s="2137"/>
      <c r="AQ82" s="2137"/>
      <c r="AR82" s="2137"/>
      <c r="AS82" s="2137"/>
      <c r="AT82" s="2137"/>
      <c r="AU82" s="2137"/>
      <c r="AV82" s="2137"/>
      <c r="AW82" s="2137"/>
      <c r="AX82" s="2137"/>
      <c r="AY82" s="2154"/>
      <c r="AZ82" s="2154"/>
      <c r="BA82" s="2154"/>
      <c r="BB82" s="2155"/>
      <c r="BC82" s="1208"/>
      <c r="BD82" s="1208"/>
      <c r="BE82" s="1215"/>
      <c r="CK82" s="1206"/>
      <c r="CL82" s="1206"/>
      <c r="CM82" s="1206"/>
      <c r="CN82" s="1206"/>
      <c r="CO82" s="1206"/>
      <c r="CP82" s="1206"/>
    </row>
    <row r="83" spans="1:94" ht="15.75" customHeight="1">
      <c r="A83" s="1208"/>
      <c r="B83" s="2114"/>
      <c r="C83" s="2108"/>
      <c r="D83" s="2108"/>
      <c r="E83" s="2108"/>
      <c r="F83" s="2108"/>
      <c r="G83" s="2108"/>
      <c r="H83" s="2108"/>
      <c r="I83" s="2108"/>
      <c r="J83" s="2108"/>
      <c r="K83" s="2108"/>
      <c r="L83" s="2108"/>
      <c r="M83" s="2108"/>
      <c r="N83" s="2108"/>
      <c r="O83" s="2108"/>
      <c r="P83" s="2108"/>
      <c r="Q83" s="2108"/>
      <c r="R83" s="2108"/>
      <c r="S83" s="2108"/>
      <c r="T83" s="2108"/>
      <c r="U83" s="2108"/>
      <c r="V83" s="2144"/>
      <c r="W83" s="2144"/>
      <c r="X83" s="2144"/>
      <c r="Y83" s="2144"/>
      <c r="Z83" s="2144"/>
      <c r="AA83" s="2144"/>
      <c r="AB83" s="2081"/>
      <c r="AC83" s="2081"/>
      <c r="AD83" s="2081"/>
      <c r="AE83" s="2081"/>
      <c r="AF83" s="2081"/>
      <c r="AG83" s="2081"/>
      <c r="AH83" s="2145"/>
      <c r="AI83" s="1208"/>
      <c r="AJ83" s="2136"/>
      <c r="AK83" s="2137"/>
      <c r="AL83" s="2137"/>
      <c r="AM83" s="2137"/>
      <c r="AN83" s="2137"/>
      <c r="AO83" s="2137"/>
      <c r="AP83" s="2137"/>
      <c r="AQ83" s="2137"/>
      <c r="AR83" s="2137"/>
      <c r="AS83" s="2137"/>
      <c r="AT83" s="2137"/>
      <c r="AU83" s="2137"/>
      <c r="AV83" s="2137"/>
      <c r="AW83" s="2137"/>
      <c r="AX83" s="2137"/>
      <c r="AY83" s="2154"/>
      <c r="AZ83" s="2154"/>
      <c r="BA83" s="2154"/>
      <c r="BB83" s="2155"/>
      <c r="BC83" s="1208"/>
      <c r="BD83" s="1208"/>
      <c r="BE83" s="1215"/>
      <c r="CK83" s="1206"/>
      <c r="CL83" s="1206"/>
      <c r="CM83" s="1206"/>
      <c r="CN83" s="1206"/>
      <c r="CO83" s="1206"/>
      <c r="CP83" s="1206"/>
    </row>
    <row r="84" spans="1:94" ht="15.75" customHeight="1">
      <c r="A84" s="1208"/>
      <c r="B84" s="2114" t="s">
        <v>2310</v>
      </c>
      <c r="C84" s="2108"/>
      <c r="D84" s="2108"/>
      <c r="E84" s="2108"/>
      <c r="F84" s="2108"/>
      <c r="G84" s="2108"/>
      <c r="H84" s="2108"/>
      <c r="I84" s="2084">
        <v>0</v>
      </c>
      <c r="J84" s="2084"/>
      <c r="K84" s="2084"/>
      <c r="L84" s="2084"/>
      <c r="M84" s="2084"/>
      <c r="N84" s="2084"/>
      <c r="O84" s="2084">
        <v>0</v>
      </c>
      <c r="P84" s="2084"/>
      <c r="Q84" s="2084"/>
      <c r="R84" s="2084"/>
      <c r="S84" s="2084"/>
      <c r="T84" s="2084"/>
      <c r="U84" s="2084"/>
      <c r="V84" s="2084">
        <v>0</v>
      </c>
      <c r="W84" s="2084"/>
      <c r="X84" s="2084"/>
      <c r="Y84" s="2084"/>
      <c r="Z84" s="2084"/>
      <c r="AA84" s="2084"/>
      <c r="AB84" s="2084">
        <v>0</v>
      </c>
      <c r="AC84" s="2084"/>
      <c r="AD84" s="2084"/>
      <c r="AE84" s="2084"/>
      <c r="AF84" s="2084"/>
      <c r="AG84" s="2084"/>
      <c r="AH84" s="2085"/>
      <c r="AI84" s="1208"/>
      <c r="AJ84" s="2136"/>
      <c r="AK84" s="2137"/>
      <c r="AL84" s="2137"/>
      <c r="AM84" s="2137"/>
      <c r="AN84" s="2137"/>
      <c r="AO84" s="2137"/>
      <c r="AP84" s="2137"/>
      <c r="AQ84" s="2137"/>
      <c r="AR84" s="2137"/>
      <c r="AS84" s="2137"/>
      <c r="AT84" s="2137"/>
      <c r="AU84" s="2137"/>
      <c r="AV84" s="2137"/>
      <c r="AW84" s="2137"/>
      <c r="AX84" s="2137"/>
      <c r="AY84" s="2154"/>
      <c r="AZ84" s="2154"/>
      <c r="BA84" s="2154"/>
      <c r="BB84" s="2155"/>
      <c r="BC84" s="1208"/>
      <c r="BD84" s="1208"/>
      <c r="BE84" s="1215"/>
      <c r="CK84" s="1206"/>
      <c r="CL84" s="1206"/>
      <c r="CM84" s="1206"/>
      <c r="CN84" s="1206"/>
      <c r="CO84" s="1206"/>
      <c r="CP84" s="1206"/>
    </row>
    <row r="85" spans="1:94" ht="15.75" customHeight="1">
      <c r="A85" s="1208"/>
      <c r="B85" s="2114" t="s">
        <v>2309</v>
      </c>
      <c r="C85" s="2108"/>
      <c r="D85" s="2108"/>
      <c r="E85" s="2108"/>
      <c r="F85" s="2108"/>
      <c r="G85" s="2108"/>
      <c r="H85" s="2108"/>
      <c r="I85" s="2084">
        <v>0</v>
      </c>
      <c r="J85" s="2084"/>
      <c r="K85" s="2084"/>
      <c r="L85" s="2084"/>
      <c r="M85" s="2084"/>
      <c r="N85" s="2084"/>
      <c r="O85" s="2084">
        <v>0</v>
      </c>
      <c r="P85" s="2084"/>
      <c r="Q85" s="2084"/>
      <c r="R85" s="2084"/>
      <c r="S85" s="2084"/>
      <c r="T85" s="2084"/>
      <c r="U85" s="2084"/>
      <c r="V85" s="2084">
        <v>0</v>
      </c>
      <c r="W85" s="2084"/>
      <c r="X85" s="2084"/>
      <c r="Y85" s="2084"/>
      <c r="Z85" s="2084"/>
      <c r="AA85" s="2084"/>
      <c r="AB85" s="2084">
        <v>0</v>
      </c>
      <c r="AC85" s="2084"/>
      <c r="AD85" s="2084"/>
      <c r="AE85" s="2084"/>
      <c r="AF85" s="2084"/>
      <c r="AG85" s="2084"/>
      <c r="AH85" s="2085"/>
      <c r="AI85" s="1208"/>
      <c r="AJ85" s="2051" t="s">
        <v>2315</v>
      </c>
      <c r="AK85" s="2052"/>
      <c r="AL85" s="2052"/>
      <c r="AM85" s="2052"/>
      <c r="AN85" s="2052"/>
      <c r="AO85" s="2052"/>
      <c r="AP85" s="2052"/>
      <c r="AQ85" s="2052"/>
      <c r="AR85" s="2052"/>
      <c r="AS85" s="2052"/>
      <c r="AT85" s="2052"/>
      <c r="AU85" s="2052"/>
      <c r="AV85" s="2052"/>
      <c r="AW85" s="2052"/>
      <c r="AX85" s="2052"/>
      <c r="AY85" s="2052"/>
      <c r="AZ85" s="2052"/>
      <c r="BA85" s="2052"/>
      <c r="BB85" s="2053"/>
      <c r="BC85" s="1208"/>
      <c r="BD85" s="1208"/>
      <c r="BE85" s="1215"/>
      <c r="CK85" s="1206"/>
      <c r="CL85" s="1206"/>
      <c r="CM85" s="1206"/>
      <c r="CN85" s="1206"/>
      <c r="CO85" s="1206"/>
      <c r="CP85" s="1206"/>
    </row>
    <row r="86" spans="1:94" ht="15.75" customHeight="1" thickBot="1">
      <c r="A86" s="1208"/>
      <c r="B86" s="2142" t="s">
        <v>2308</v>
      </c>
      <c r="C86" s="2143"/>
      <c r="D86" s="2143"/>
      <c r="E86" s="2143"/>
      <c r="F86" s="2143"/>
      <c r="G86" s="2143"/>
      <c r="H86" s="2143"/>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208"/>
      <c r="AJ86" s="2054"/>
      <c r="AK86" s="2055"/>
      <c r="AL86" s="2055"/>
      <c r="AM86" s="2055"/>
      <c r="AN86" s="2055"/>
      <c r="AO86" s="2055"/>
      <c r="AP86" s="2055"/>
      <c r="AQ86" s="2055"/>
      <c r="AR86" s="2055"/>
      <c r="AS86" s="2055"/>
      <c r="AT86" s="2055"/>
      <c r="AU86" s="2055"/>
      <c r="AV86" s="2055"/>
      <c r="AW86" s="2055"/>
      <c r="AX86" s="2055"/>
      <c r="AY86" s="2055"/>
      <c r="AZ86" s="2055"/>
      <c r="BA86" s="2055"/>
      <c r="BB86" s="205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6"/>
      <c r="G90" s="2147"/>
      <c r="H90" s="2147"/>
      <c r="I90" s="2147"/>
      <c r="J90" s="2147"/>
      <c r="K90" s="2147"/>
      <c r="L90" s="2147"/>
      <c r="M90" s="2147"/>
      <c r="N90" s="2147"/>
      <c r="O90" s="2147"/>
      <c r="P90" s="2147"/>
      <c r="Q90" s="2147"/>
      <c r="R90" s="2147"/>
      <c r="S90" s="2147"/>
      <c r="T90" s="214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9" t="s">
        <v>2316</v>
      </c>
      <c r="C92" s="2150"/>
      <c r="D92" s="2150"/>
      <c r="E92" s="2150"/>
      <c r="F92" s="2150"/>
      <c r="G92" s="2150"/>
      <c r="H92" s="2150"/>
      <c r="I92" s="2150"/>
      <c r="J92" s="2150"/>
      <c r="K92" s="2150"/>
      <c r="L92" s="2150"/>
      <c r="M92" s="2150"/>
      <c r="N92" s="2150"/>
      <c r="O92" s="2150"/>
      <c r="P92" s="2150"/>
      <c r="Q92" s="2150"/>
      <c r="R92" s="2150"/>
      <c r="S92" s="2150"/>
      <c r="T92" s="2150"/>
      <c r="U92" s="2150"/>
      <c r="V92" s="2150"/>
      <c r="W92" s="2150"/>
      <c r="X92" s="2150"/>
      <c r="Y92" s="2150"/>
      <c r="Z92" s="2150"/>
      <c r="AA92" s="2150"/>
      <c r="AB92" s="2150"/>
      <c r="AC92" s="2150"/>
      <c r="AD92" s="2150"/>
      <c r="AE92" s="2150"/>
      <c r="AF92" s="2150"/>
      <c r="AG92" s="2150"/>
      <c r="AH92" s="2151"/>
      <c r="AI92" s="1208"/>
      <c r="AJ92" s="2133" t="s">
        <v>2625</v>
      </c>
      <c r="AK92" s="2134"/>
      <c r="AL92" s="2134"/>
      <c r="AM92" s="2134"/>
      <c r="AN92" s="2134"/>
      <c r="AO92" s="2134"/>
      <c r="AP92" s="2134"/>
      <c r="AQ92" s="2134"/>
      <c r="AR92" s="2134"/>
      <c r="AS92" s="2134"/>
      <c r="AT92" s="2134"/>
      <c r="AU92" s="2134"/>
      <c r="AV92" s="2134"/>
      <c r="AW92" s="2134"/>
      <c r="AX92" s="2134"/>
      <c r="AY92" s="2152" t="s">
        <v>544</v>
      </c>
      <c r="AZ92" s="2152"/>
      <c r="BA92" s="2152"/>
      <c r="BB92" s="215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4"/>
      <c r="C93" s="2108"/>
      <c r="D93" s="2108"/>
      <c r="E93" s="2108"/>
      <c r="F93" s="2108"/>
      <c r="G93" s="2108"/>
      <c r="H93" s="2108"/>
      <c r="I93" s="2108" t="s">
        <v>2312</v>
      </c>
      <c r="J93" s="2108"/>
      <c r="K93" s="2108"/>
      <c r="L93" s="2108"/>
      <c r="M93" s="2108"/>
      <c r="N93" s="2108"/>
      <c r="O93" s="2108" t="s">
        <v>2289</v>
      </c>
      <c r="P93" s="2108"/>
      <c r="Q93" s="2108"/>
      <c r="R93" s="2108"/>
      <c r="S93" s="2108"/>
      <c r="T93" s="2108"/>
      <c r="U93" s="2108"/>
      <c r="V93" s="2144" t="s">
        <v>2288</v>
      </c>
      <c r="W93" s="2144"/>
      <c r="X93" s="2144"/>
      <c r="Y93" s="2144"/>
      <c r="Z93" s="2144"/>
      <c r="AA93" s="2144"/>
      <c r="AB93" s="2081" t="s">
        <v>2311</v>
      </c>
      <c r="AC93" s="2081"/>
      <c r="AD93" s="2081"/>
      <c r="AE93" s="2081"/>
      <c r="AF93" s="2081"/>
      <c r="AG93" s="2081"/>
      <c r="AH93" s="2145"/>
      <c r="AI93" s="1208"/>
      <c r="AJ93" s="2136"/>
      <c r="AK93" s="2137"/>
      <c r="AL93" s="2137"/>
      <c r="AM93" s="2137"/>
      <c r="AN93" s="2137"/>
      <c r="AO93" s="2137"/>
      <c r="AP93" s="2137"/>
      <c r="AQ93" s="2137"/>
      <c r="AR93" s="2137"/>
      <c r="AS93" s="2137"/>
      <c r="AT93" s="2137"/>
      <c r="AU93" s="2137"/>
      <c r="AV93" s="2137"/>
      <c r="AW93" s="2137"/>
      <c r="AX93" s="2137"/>
      <c r="AY93" s="2154"/>
      <c r="AZ93" s="2154"/>
      <c r="BA93" s="2154"/>
      <c r="BB93" s="215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4"/>
      <c r="C94" s="2108"/>
      <c r="D94" s="2108"/>
      <c r="E94" s="2108"/>
      <c r="F94" s="2108"/>
      <c r="G94" s="2108"/>
      <c r="H94" s="2108"/>
      <c r="I94" s="2108"/>
      <c r="J94" s="2108"/>
      <c r="K94" s="2108"/>
      <c r="L94" s="2108"/>
      <c r="M94" s="2108"/>
      <c r="N94" s="2108"/>
      <c r="O94" s="2108"/>
      <c r="P94" s="2108"/>
      <c r="Q94" s="2108"/>
      <c r="R94" s="2108"/>
      <c r="S94" s="2108"/>
      <c r="T94" s="2108"/>
      <c r="U94" s="2108"/>
      <c r="V94" s="2144"/>
      <c r="W94" s="2144"/>
      <c r="X94" s="2144"/>
      <c r="Y94" s="2144"/>
      <c r="Z94" s="2144"/>
      <c r="AA94" s="2144"/>
      <c r="AB94" s="2081"/>
      <c r="AC94" s="2081"/>
      <c r="AD94" s="2081"/>
      <c r="AE94" s="2081"/>
      <c r="AF94" s="2081"/>
      <c r="AG94" s="2081"/>
      <c r="AH94" s="2145"/>
      <c r="AI94" s="1208"/>
      <c r="AJ94" s="2136"/>
      <c r="AK94" s="2137"/>
      <c r="AL94" s="2137"/>
      <c r="AM94" s="2137"/>
      <c r="AN94" s="2137"/>
      <c r="AO94" s="2137"/>
      <c r="AP94" s="2137"/>
      <c r="AQ94" s="2137"/>
      <c r="AR94" s="2137"/>
      <c r="AS94" s="2137"/>
      <c r="AT94" s="2137"/>
      <c r="AU94" s="2137"/>
      <c r="AV94" s="2137"/>
      <c r="AW94" s="2137"/>
      <c r="AX94" s="2137"/>
      <c r="AY94" s="2154"/>
      <c r="AZ94" s="2154"/>
      <c r="BA94" s="2154"/>
      <c r="BB94" s="215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4" t="s">
        <v>2310</v>
      </c>
      <c r="C95" s="2108"/>
      <c r="D95" s="2108"/>
      <c r="E95" s="2108"/>
      <c r="F95" s="2108"/>
      <c r="G95" s="2108"/>
      <c r="H95" s="2108"/>
      <c r="I95" s="2084">
        <v>0</v>
      </c>
      <c r="J95" s="2084"/>
      <c r="K95" s="2084"/>
      <c r="L95" s="2084"/>
      <c r="M95" s="2084"/>
      <c r="N95" s="2084"/>
      <c r="O95" s="2084">
        <v>0</v>
      </c>
      <c r="P95" s="2084"/>
      <c r="Q95" s="2084"/>
      <c r="R95" s="2084"/>
      <c r="S95" s="2084"/>
      <c r="T95" s="2084"/>
      <c r="U95" s="2084"/>
      <c r="V95" s="2084">
        <v>0</v>
      </c>
      <c r="W95" s="2084"/>
      <c r="X95" s="2084"/>
      <c r="Y95" s="2084"/>
      <c r="Z95" s="2084"/>
      <c r="AA95" s="2084"/>
      <c r="AB95" s="2084">
        <v>0</v>
      </c>
      <c r="AC95" s="2084"/>
      <c r="AD95" s="2084"/>
      <c r="AE95" s="2084"/>
      <c r="AF95" s="2084"/>
      <c r="AG95" s="2084"/>
      <c r="AH95" s="2085"/>
      <c r="AI95" s="1208"/>
      <c r="AJ95" s="2136"/>
      <c r="AK95" s="2137"/>
      <c r="AL95" s="2137"/>
      <c r="AM95" s="2137"/>
      <c r="AN95" s="2137"/>
      <c r="AO95" s="2137"/>
      <c r="AP95" s="2137"/>
      <c r="AQ95" s="2137"/>
      <c r="AR95" s="2137"/>
      <c r="AS95" s="2137"/>
      <c r="AT95" s="2137"/>
      <c r="AU95" s="2137"/>
      <c r="AV95" s="2137"/>
      <c r="AW95" s="2137"/>
      <c r="AX95" s="2137"/>
      <c r="AY95" s="2154"/>
      <c r="AZ95" s="2154"/>
      <c r="BA95" s="2154"/>
      <c r="BB95" s="215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4" t="s">
        <v>2309</v>
      </c>
      <c r="C96" s="2108"/>
      <c r="D96" s="2108"/>
      <c r="E96" s="2108"/>
      <c r="F96" s="2108"/>
      <c r="G96" s="2108"/>
      <c r="H96" s="2108"/>
      <c r="I96" s="2084">
        <v>0</v>
      </c>
      <c r="J96" s="2084"/>
      <c r="K96" s="2084"/>
      <c r="L96" s="2084"/>
      <c r="M96" s="2084"/>
      <c r="N96" s="2084"/>
      <c r="O96" s="2084">
        <v>0</v>
      </c>
      <c r="P96" s="2084"/>
      <c r="Q96" s="2084"/>
      <c r="R96" s="2084"/>
      <c r="S96" s="2084"/>
      <c r="T96" s="2084"/>
      <c r="U96" s="2084"/>
      <c r="V96" s="2084">
        <v>0</v>
      </c>
      <c r="W96" s="2084"/>
      <c r="X96" s="2084"/>
      <c r="Y96" s="2084"/>
      <c r="Z96" s="2084"/>
      <c r="AA96" s="2084"/>
      <c r="AB96" s="2084">
        <v>0</v>
      </c>
      <c r="AC96" s="2084"/>
      <c r="AD96" s="2084"/>
      <c r="AE96" s="2084"/>
      <c r="AF96" s="2084"/>
      <c r="AG96" s="2084"/>
      <c r="AH96" s="2085"/>
      <c r="AI96" s="1208"/>
      <c r="AJ96" s="2051" t="s">
        <v>2315</v>
      </c>
      <c r="AK96" s="2052"/>
      <c r="AL96" s="2052"/>
      <c r="AM96" s="2052"/>
      <c r="AN96" s="2052"/>
      <c r="AO96" s="2052"/>
      <c r="AP96" s="2052"/>
      <c r="AQ96" s="2052"/>
      <c r="AR96" s="2052"/>
      <c r="AS96" s="2052"/>
      <c r="AT96" s="2052"/>
      <c r="AU96" s="2052"/>
      <c r="AV96" s="2052"/>
      <c r="AW96" s="2052"/>
      <c r="AX96" s="2052"/>
      <c r="AY96" s="2052"/>
      <c r="AZ96" s="2052"/>
      <c r="BA96" s="2052"/>
      <c r="BB96" s="205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2" t="s">
        <v>2308</v>
      </c>
      <c r="C97" s="2143"/>
      <c r="D97" s="2143"/>
      <c r="E97" s="2143"/>
      <c r="F97" s="2143"/>
      <c r="G97" s="2143"/>
      <c r="H97" s="2143"/>
      <c r="I97" s="2078">
        <v>0</v>
      </c>
      <c r="J97" s="2078"/>
      <c r="K97" s="2078"/>
      <c r="L97" s="2078"/>
      <c r="M97" s="2078"/>
      <c r="N97" s="2078"/>
      <c r="O97" s="2078">
        <v>0</v>
      </c>
      <c r="P97" s="2078"/>
      <c r="Q97" s="2078"/>
      <c r="R97" s="2078"/>
      <c r="S97" s="2078"/>
      <c r="T97" s="2078"/>
      <c r="U97" s="2078"/>
      <c r="V97" s="2078">
        <v>0</v>
      </c>
      <c r="W97" s="2078"/>
      <c r="X97" s="2078"/>
      <c r="Y97" s="2078"/>
      <c r="Z97" s="2078"/>
      <c r="AA97" s="2078"/>
      <c r="AB97" s="2078">
        <v>0</v>
      </c>
      <c r="AC97" s="2078"/>
      <c r="AD97" s="2078"/>
      <c r="AE97" s="2078"/>
      <c r="AF97" s="2078"/>
      <c r="AG97" s="2078"/>
      <c r="AH97" s="2079"/>
      <c r="AI97" s="1208"/>
      <c r="AJ97" s="2054"/>
      <c r="AK97" s="2055"/>
      <c r="AL97" s="2055"/>
      <c r="AM97" s="2055"/>
      <c r="AN97" s="2055"/>
      <c r="AO97" s="2055"/>
      <c r="AP97" s="2055"/>
      <c r="AQ97" s="2055"/>
      <c r="AR97" s="2055"/>
      <c r="AS97" s="2055"/>
      <c r="AT97" s="2055"/>
      <c r="AU97" s="2055"/>
      <c r="AV97" s="2055"/>
      <c r="AW97" s="2055"/>
      <c r="AX97" s="2055"/>
      <c r="AY97" s="2055"/>
      <c r="AZ97" s="2055"/>
      <c r="BA97" s="2055"/>
      <c r="BB97" s="205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5"/>
      <c r="G100" s="2106"/>
      <c r="H100" s="2106"/>
      <c r="I100" s="2106"/>
      <c r="J100" s="2106"/>
      <c r="K100" s="2106"/>
      <c r="L100" s="2106"/>
      <c r="M100" s="2106"/>
      <c r="N100" s="2106"/>
      <c r="O100" s="2106"/>
      <c r="P100" s="2106"/>
      <c r="Q100" s="2106"/>
      <c r="R100" s="2107"/>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4" t="s">
        <v>2313</v>
      </c>
      <c r="C102" s="2035"/>
      <c r="D102" s="2035"/>
      <c r="E102" s="2035"/>
      <c r="F102" s="2035"/>
      <c r="G102" s="2035"/>
      <c r="H102" s="2035"/>
      <c r="I102" s="2035"/>
      <c r="J102" s="2035"/>
      <c r="K102" s="2035"/>
      <c r="L102" s="2035"/>
      <c r="M102" s="2035"/>
      <c r="N102" s="2035"/>
      <c r="O102" s="2035"/>
      <c r="P102" s="2035"/>
      <c r="Q102" s="2035"/>
      <c r="R102" s="2035"/>
      <c r="S102" s="2035"/>
      <c r="T102" s="2035"/>
      <c r="U102" s="2035"/>
      <c r="V102" s="2035"/>
      <c r="W102" s="2035"/>
      <c r="X102" s="2035"/>
      <c r="Y102" s="2035"/>
      <c r="Z102" s="2035"/>
      <c r="AA102" s="2035"/>
      <c r="AB102" s="2035"/>
      <c r="AC102" s="2035"/>
      <c r="AD102" s="2035"/>
      <c r="AE102" s="2035"/>
      <c r="AF102" s="2035"/>
      <c r="AG102" s="2035"/>
      <c r="AH102" s="204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4"/>
      <c r="C103" s="2108"/>
      <c r="D103" s="2108"/>
      <c r="E103" s="2108"/>
      <c r="F103" s="2108"/>
      <c r="G103" s="2108"/>
      <c r="H103" s="2108"/>
      <c r="I103" s="2108" t="s">
        <v>2312</v>
      </c>
      <c r="J103" s="2108"/>
      <c r="K103" s="2108"/>
      <c r="L103" s="2108"/>
      <c r="M103" s="2108"/>
      <c r="N103" s="2108"/>
      <c r="O103" s="2108" t="s">
        <v>2289</v>
      </c>
      <c r="P103" s="2108"/>
      <c r="Q103" s="2108"/>
      <c r="R103" s="2108"/>
      <c r="S103" s="2108"/>
      <c r="T103" s="2108"/>
      <c r="U103" s="2108"/>
      <c r="V103" s="2144" t="s">
        <v>2288</v>
      </c>
      <c r="W103" s="2144"/>
      <c r="X103" s="2144"/>
      <c r="Y103" s="2144"/>
      <c r="Z103" s="2144"/>
      <c r="AA103" s="2144"/>
      <c r="AB103" s="2081" t="s">
        <v>2311</v>
      </c>
      <c r="AC103" s="2081"/>
      <c r="AD103" s="2081"/>
      <c r="AE103" s="2081"/>
      <c r="AF103" s="2081"/>
      <c r="AG103" s="2081"/>
      <c r="AH103" s="214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4"/>
      <c r="C104" s="2108"/>
      <c r="D104" s="2108"/>
      <c r="E104" s="2108"/>
      <c r="F104" s="2108"/>
      <c r="G104" s="2108"/>
      <c r="H104" s="2108"/>
      <c r="I104" s="2108"/>
      <c r="J104" s="2108"/>
      <c r="K104" s="2108"/>
      <c r="L104" s="2108"/>
      <c r="M104" s="2108"/>
      <c r="N104" s="2108"/>
      <c r="O104" s="2108"/>
      <c r="P104" s="2108"/>
      <c r="Q104" s="2108"/>
      <c r="R104" s="2108"/>
      <c r="S104" s="2108"/>
      <c r="T104" s="2108"/>
      <c r="U104" s="2108"/>
      <c r="V104" s="2144"/>
      <c r="W104" s="2144"/>
      <c r="X104" s="2144"/>
      <c r="Y104" s="2144"/>
      <c r="Z104" s="2144"/>
      <c r="AA104" s="2144"/>
      <c r="AB104" s="2081"/>
      <c r="AC104" s="2081"/>
      <c r="AD104" s="2081"/>
      <c r="AE104" s="2081"/>
      <c r="AF104" s="2081"/>
      <c r="AG104" s="2081"/>
      <c r="AH104" s="214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4" t="s">
        <v>2310</v>
      </c>
      <c r="C105" s="2108"/>
      <c r="D105" s="2108"/>
      <c r="E105" s="2108"/>
      <c r="F105" s="2108"/>
      <c r="G105" s="2108"/>
      <c r="H105" s="2108"/>
      <c r="I105" s="2084">
        <v>0</v>
      </c>
      <c r="J105" s="2084"/>
      <c r="K105" s="2084"/>
      <c r="L105" s="2084"/>
      <c r="M105" s="2084"/>
      <c r="N105" s="2084"/>
      <c r="O105" s="2084">
        <v>0</v>
      </c>
      <c r="P105" s="2084"/>
      <c r="Q105" s="2084"/>
      <c r="R105" s="2084"/>
      <c r="S105" s="2084"/>
      <c r="T105" s="2084"/>
      <c r="U105" s="2084"/>
      <c r="V105" s="2084">
        <v>0</v>
      </c>
      <c r="W105" s="2084"/>
      <c r="X105" s="2084"/>
      <c r="Y105" s="2084"/>
      <c r="Z105" s="2084"/>
      <c r="AA105" s="2084"/>
      <c r="AB105" s="2084">
        <v>0</v>
      </c>
      <c r="AC105" s="2084"/>
      <c r="AD105" s="2084"/>
      <c r="AE105" s="2084"/>
      <c r="AF105" s="2084"/>
      <c r="AG105" s="2084"/>
      <c r="AH105" s="208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4" t="s">
        <v>2309</v>
      </c>
      <c r="C106" s="2108"/>
      <c r="D106" s="2108"/>
      <c r="E106" s="2108"/>
      <c r="F106" s="2108"/>
      <c r="G106" s="2108"/>
      <c r="H106" s="2108"/>
      <c r="I106" s="2084">
        <v>0</v>
      </c>
      <c r="J106" s="2084"/>
      <c r="K106" s="2084"/>
      <c r="L106" s="2084"/>
      <c r="M106" s="2084"/>
      <c r="N106" s="2084"/>
      <c r="O106" s="2084">
        <v>0</v>
      </c>
      <c r="P106" s="2084"/>
      <c r="Q106" s="2084"/>
      <c r="R106" s="2084"/>
      <c r="S106" s="2084"/>
      <c r="T106" s="2084"/>
      <c r="U106" s="2084"/>
      <c r="V106" s="2084">
        <v>0</v>
      </c>
      <c r="W106" s="2084"/>
      <c r="X106" s="2084"/>
      <c r="Y106" s="2084"/>
      <c r="Z106" s="2084"/>
      <c r="AA106" s="2084"/>
      <c r="AB106" s="2084">
        <v>0</v>
      </c>
      <c r="AC106" s="2084"/>
      <c r="AD106" s="2084"/>
      <c r="AE106" s="2084"/>
      <c r="AF106" s="2084"/>
      <c r="AG106" s="2084"/>
      <c r="AH106" s="208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2" t="s">
        <v>2308</v>
      </c>
      <c r="C107" s="2143"/>
      <c r="D107" s="2143"/>
      <c r="E107" s="2143"/>
      <c r="F107" s="2143"/>
      <c r="G107" s="2143"/>
      <c r="H107" s="2143"/>
      <c r="I107" s="2078">
        <v>0</v>
      </c>
      <c r="J107" s="2078"/>
      <c r="K107" s="2078"/>
      <c r="L107" s="2078"/>
      <c r="M107" s="2078"/>
      <c r="N107" s="2078"/>
      <c r="O107" s="2078">
        <v>0</v>
      </c>
      <c r="P107" s="2078"/>
      <c r="Q107" s="2078"/>
      <c r="R107" s="2078"/>
      <c r="S107" s="2078"/>
      <c r="T107" s="2078"/>
      <c r="U107" s="2078"/>
      <c r="V107" s="2078">
        <v>0</v>
      </c>
      <c r="W107" s="2078"/>
      <c r="X107" s="2078"/>
      <c r="Y107" s="2078"/>
      <c r="Z107" s="2078"/>
      <c r="AA107" s="2078"/>
      <c r="AB107" s="2078">
        <v>0</v>
      </c>
      <c r="AC107" s="2078"/>
      <c r="AD107" s="2078"/>
      <c r="AE107" s="2078"/>
      <c r="AF107" s="2078"/>
      <c r="AG107" s="2078"/>
      <c r="AH107" s="207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5"/>
      <c r="G110" s="2106"/>
      <c r="H110" s="2106"/>
      <c r="I110" s="2106"/>
      <c r="J110" s="2106"/>
      <c r="K110" s="2106"/>
      <c r="L110" s="2106"/>
      <c r="M110" s="2106"/>
      <c r="N110" s="2106"/>
      <c r="O110" s="2106"/>
      <c r="P110" s="2106"/>
      <c r="Q110" s="2106"/>
      <c r="R110" s="2107"/>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5" t="s">
        <v>2626</v>
      </c>
      <c r="C112" s="2116"/>
      <c r="D112" s="2116"/>
      <c r="E112" s="2116"/>
      <c r="F112" s="2116"/>
      <c r="G112" s="2116"/>
      <c r="H112" s="2116"/>
      <c r="I112" s="2116"/>
      <c r="J112" s="2116"/>
      <c r="K112" s="2116"/>
      <c r="L112" s="2116"/>
      <c r="M112" s="2116"/>
      <c r="N112" s="2116"/>
      <c r="O112" s="2116"/>
      <c r="P112" s="2116"/>
      <c r="Q112" s="2116"/>
      <c r="R112" s="2116"/>
      <c r="S112" s="2116"/>
      <c r="T112" s="2116"/>
      <c r="U112" s="2119" t="s">
        <v>544</v>
      </c>
      <c r="V112" s="2119"/>
      <c r="W112" s="2119"/>
      <c r="X112" s="212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7"/>
      <c r="C113" s="2118"/>
      <c r="D113" s="2118"/>
      <c r="E113" s="2118"/>
      <c r="F113" s="2118"/>
      <c r="G113" s="2118"/>
      <c r="H113" s="2118"/>
      <c r="I113" s="2118"/>
      <c r="J113" s="2118"/>
      <c r="K113" s="2118"/>
      <c r="L113" s="2118"/>
      <c r="M113" s="2118"/>
      <c r="N113" s="2118"/>
      <c r="O113" s="2118"/>
      <c r="P113" s="2118"/>
      <c r="Q113" s="2118"/>
      <c r="R113" s="2118"/>
      <c r="S113" s="2118"/>
      <c r="T113" s="2118"/>
      <c r="U113" s="2121"/>
      <c r="V113" s="2121"/>
      <c r="W113" s="2121"/>
      <c r="X113" s="212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7"/>
      <c r="C114" s="2118"/>
      <c r="D114" s="2118"/>
      <c r="E114" s="2118"/>
      <c r="F114" s="2118"/>
      <c r="G114" s="2118"/>
      <c r="H114" s="2118"/>
      <c r="I114" s="2118"/>
      <c r="J114" s="2118"/>
      <c r="K114" s="2118"/>
      <c r="L114" s="2118"/>
      <c r="M114" s="2118"/>
      <c r="N114" s="2118"/>
      <c r="O114" s="2118"/>
      <c r="P114" s="2118"/>
      <c r="Q114" s="2118"/>
      <c r="R114" s="2118"/>
      <c r="S114" s="2118"/>
      <c r="T114" s="2118"/>
      <c r="U114" s="2121"/>
      <c r="V114" s="2121"/>
      <c r="W114" s="2121"/>
      <c r="X114" s="212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7"/>
      <c r="C115" s="2118"/>
      <c r="D115" s="2118"/>
      <c r="E115" s="2118"/>
      <c r="F115" s="2118"/>
      <c r="G115" s="2118"/>
      <c r="H115" s="2118"/>
      <c r="I115" s="2118"/>
      <c r="J115" s="2118"/>
      <c r="K115" s="2118"/>
      <c r="L115" s="2118"/>
      <c r="M115" s="2118"/>
      <c r="N115" s="2118"/>
      <c r="O115" s="2118"/>
      <c r="P115" s="2118"/>
      <c r="Q115" s="2118"/>
      <c r="R115" s="2118"/>
      <c r="S115" s="2118"/>
      <c r="T115" s="2118"/>
      <c r="U115" s="2121"/>
      <c r="V115" s="2121"/>
      <c r="W115" s="2121"/>
      <c r="X115" s="212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3" t="s">
        <v>2626</v>
      </c>
      <c r="C116" s="2124"/>
      <c r="D116" s="2124"/>
      <c r="E116" s="2124"/>
      <c r="F116" s="2124"/>
      <c r="G116" s="2124"/>
      <c r="H116" s="2124"/>
      <c r="I116" s="2124"/>
      <c r="J116" s="2124"/>
      <c r="K116" s="2124"/>
      <c r="L116" s="2124"/>
      <c r="M116" s="2124"/>
      <c r="N116" s="2124"/>
      <c r="O116" s="2124"/>
      <c r="P116" s="2124"/>
      <c r="Q116" s="2124"/>
      <c r="R116" s="2124"/>
      <c r="S116" s="2124"/>
      <c r="T116" s="2124"/>
      <c r="U116" s="2127" t="s">
        <v>544</v>
      </c>
      <c r="V116" s="2127"/>
      <c r="W116" s="2127"/>
      <c r="X116" s="212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5"/>
      <c r="C117" s="2126"/>
      <c r="D117" s="2126"/>
      <c r="E117" s="2126"/>
      <c r="F117" s="2126"/>
      <c r="G117" s="2126"/>
      <c r="H117" s="2126"/>
      <c r="I117" s="2126"/>
      <c r="J117" s="2126"/>
      <c r="K117" s="2126"/>
      <c r="L117" s="2126"/>
      <c r="M117" s="2126"/>
      <c r="N117" s="2126"/>
      <c r="O117" s="2126"/>
      <c r="P117" s="2126"/>
      <c r="Q117" s="2126"/>
      <c r="R117" s="2126"/>
      <c r="S117" s="2126"/>
      <c r="T117" s="2126"/>
      <c r="U117" s="2129"/>
      <c r="V117" s="2129"/>
      <c r="W117" s="2129"/>
      <c r="X117" s="213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3" t="s">
        <v>2305</v>
      </c>
      <c r="Y120" s="2134"/>
      <c r="Z120" s="2134"/>
      <c r="AA120" s="2134"/>
      <c r="AB120" s="2134"/>
      <c r="AC120" s="2134"/>
      <c r="AD120" s="2134"/>
      <c r="AE120" s="2134"/>
      <c r="AF120" s="2134"/>
      <c r="AG120" s="2134"/>
      <c r="AH120" s="2134"/>
      <c r="AI120" s="2134"/>
      <c r="AJ120" s="2134"/>
      <c r="AK120" s="2134"/>
      <c r="AL120" s="2134"/>
      <c r="AM120" s="2134"/>
      <c r="AN120" s="2134"/>
      <c r="AO120" s="2134"/>
      <c r="AP120" s="2134"/>
      <c r="AQ120" s="2134"/>
      <c r="AR120" s="2134"/>
      <c r="AS120" s="2134"/>
      <c r="AT120" s="2134"/>
      <c r="AU120" s="2134"/>
      <c r="AV120" s="2134"/>
      <c r="AW120" s="2134"/>
      <c r="AX120" s="2134"/>
      <c r="AY120" s="2134"/>
      <c r="AZ120" s="2134"/>
      <c r="BA120" s="2134"/>
      <c r="BB120" s="2134"/>
      <c r="BC120" s="2134"/>
      <c r="BD120" s="2135"/>
      <c r="BE120" s="1215"/>
    </row>
    <row r="121" spans="1:57" ht="15.75" customHeight="1">
      <c r="A121" s="1208"/>
      <c r="B121" s="2139" t="s">
        <v>1565</v>
      </c>
      <c r="C121" s="2140"/>
      <c r="D121" s="2140"/>
      <c r="E121" s="2140"/>
      <c r="F121" s="2140"/>
      <c r="G121" s="2140"/>
      <c r="H121" s="2140"/>
      <c r="I121" s="2140"/>
      <c r="J121" s="2140"/>
      <c r="K121" s="2140"/>
      <c r="L121" s="2140"/>
      <c r="M121" s="2140"/>
      <c r="N121" s="2140"/>
      <c r="O121" s="2140"/>
      <c r="P121" s="2140"/>
      <c r="Q121" s="2140"/>
      <c r="R121" s="2140"/>
      <c r="S121" s="2140"/>
      <c r="T121" s="2140"/>
      <c r="U121" s="2141"/>
      <c r="V121" s="1208"/>
      <c r="W121" s="1208"/>
      <c r="X121" s="2136"/>
      <c r="Y121" s="2137"/>
      <c r="Z121" s="2137"/>
      <c r="AA121" s="2137"/>
      <c r="AB121" s="2137"/>
      <c r="AC121" s="2137"/>
      <c r="AD121" s="2137"/>
      <c r="AE121" s="2137"/>
      <c r="AF121" s="2137"/>
      <c r="AG121" s="2137"/>
      <c r="AH121" s="2137"/>
      <c r="AI121" s="2137"/>
      <c r="AJ121" s="2137"/>
      <c r="AK121" s="2137"/>
      <c r="AL121" s="2137"/>
      <c r="AM121" s="2137"/>
      <c r="AN121" s="2137"/>
      <c r="AO121" s="2137"/>
      <c r="AP121" s="2137"/>
      <c r="AQ121" s="2137"/>
      <c r="AR121" s="2137"/>
      <c r="AS121" s="2137"/>
      <c r="AT121" s="2137"/>
      <c r="AU121" s="2137"/>
      <c r="AV121" s="2137"/>
      <c r="AW121" s="2137"/>
      <c r="AX121" s="2137"/>
      <c r="AY121" s="2137"/>
      <c r="AZ121" s="2137"/>
      <c r="BA121" s="2137"/>
      <c r="BB121" s="2137"/>
      <c r="BC121" s="2137"/>
      <c r="BD121" s="2138"/>
      <c r="BE121" s="1215"/>
    </row>
    <row r="122" spans="1:57" ht="15.75" customHeight="1">
      <c r="A122" s="1208"/>
      <c r="B122" s="2048"/>
      <c r="C122" s="2049"/>
      <c r="D122" s="2049"/>
      <c r="E122" s="2049"/>
      <c r="F122" s="2049"/>
      <c r="G122" s="2049"/>
      <c r="H122" s="2049"/>
      <c r="I122" s="2108" t="s">
        <v>2304</v>
      </c>
      <c r="J122" s="2108"/>
      <c r="K122" s="2108"/>
      <c r="L122" s="2108"/>
      <c r="M122" s="2108"/>
      <c r="N122" s="2108"/>
      <c r="O122" s="2109" t="s">
        <v>2303</v>
      </c>
      <c r="P122" s="2109"/>
      <c r="Q122" s="2109"/>
      <c r="R122" s="2109"/>
      <c r="S122" s="2109"/>
      <c r="T122" s="2109"/>
      <c r="U122" s="2110"/>
      <c r="V122" s="1208"/>
      <c r="W122" s="1208"/>
      <c r="X122" s="2051" t="s">
        <v>2273</v>
      </c>
      <c r="Y122" s="2052"/>
      <c r="Z122" s="2052"/>
      <c r="AA122" s="2052"/>
      <c r="AB122" s="2052"/>
      <c r="AC122" s="2052"/>
      <c r="AD122" s="2052"/>
      <c r="AE122" s="2052"/>
      <c r="AF122" s="2052"/>
      <c r="AG122" s="2052"/>
      <c r="AH122" s="2052"/>
      <c r="AI122" s="2052"/>
      <c r="AJ122" s="2052"/>
      <c r="AK122" s="2052"/>
      <c r="AL122" s="2052"/>
      <c r="AM122" s="2052"/>
      <c r="AN122" s="2052"/>
      <c r="AO122" s="2052"/>
      <c r="AP122" s="2052"/>
      <c r="AQ122" s="2052"/>
      <c r="AR122" s="2052"/>
      <c r="AS122" s="2052"/>
      <c r="AT122" s="2052"/>
      <c r="AU122" s="2052"/>
      <c r="AV122" s="2052"/>
      <c r="AW122" s="2052"/>
      <c r="AX122" s="2052"/>
      <c r="AY122" s="2052"/>
      <c r="AZ122" s="2052"/>
      <c r="BA122" s="2052"/>
      <c r="BB122" s="2052"/>
      <c r="BC122" s="2052"/>
      <c r="BD122" s="2053"/>
      <c r="BE122" s="1215"/>
    </row>
    <row r="123" spans="1:57" ht="15.75" customHeight="1">
      <c r="A123" s="1208"/>
      <c r="B123" s="2082" t="s">
        <v>2287</v>
      </c>
      <c r="C123" s="2083"/>
      <c r="D123" s="2083"/>
      <c r="E123" s="2083"/>
      <c r="F123" s="2083"/>
      <c r="G123" s="2083"/>
      <c r="H123" s="2083"/>
      <c r="I123" s="2084">
        <v>0</v>
      </c>
      <c r="J123" s="2084"/>
      <c r="K123" s="2084"/>
      <c r="L123" s="2084"/>
      <c r="M123" s="2084"/>
      <c r="N123" s="2084"/>
      <c r="O123" s="2084">
        <v>0</v>
      </c>
      <c r="P123" s="2084"/>
      <c r="Q123" s="2084"/>
      <c r="R123" s="2084"/>
      <c r="S123" s="2084"/>
      <c r="T123" s="2084"/>
      <c r="U123" s="2085"/>
      <c r="V123" s="1208"/>
      <c r="W123" s="1208"/>
      <c r="X123" s="2051"/>
      <c r="Y123" s="2052"/>
      <c r="Z123" s="2052"/>
      <c r="AA123" s="2052"/>
      <c r="AB123" s="2052"/>
      <c r="AC123" s="2052"/>
      <c r="AD123" s="2052"/>
      <c r="AE123" s="2052"/>
      <c r="AF123" s="2052"/>
      <c r="AG123" s="2052"/>
      <c r="AH123" s="2052"/>
      <c r="AI123" s="2052"/>
      <c r="AJ123" s="2052"/>
      <c r="AK123" s="2052"/>
      <c r="AL123" s="2052"/>
      <c r="AM123" s="2052"/>
      <c r="AN123" s="2052"/>
      <c r="AO123" s="2052"/>
      <c r="AP123" s="2052"/>
      <c r="AQ123" s="2052"/>
      <c r="AR123" s="2052"/>
      <c r="AS123" s="2052"/>
      <c r="AT123" s="2052"/>
      <c r="AU123" s="2052"/>
      <c r="AV123" s="2052"/>
      <c r="AW123" s="2052"/>
      <c r="AX123" s="2052"/>
      <c r="AY123" s="2052"/>
      <c r="AZ123" s="2052"/>
      <c r="BA123" s="2052"/>
      <c r="BB123" s="2052"/>
      <c r="BC123" s="2052"/>
      <c r="BD123" s="2053"/>
      <c r="BE123" s="1215"/>
    </row>
    <row r="124" spans="1:57" ht="15.75" customHeight="1" thickBot="1">
      <c r="A124" s="1208"/>
      <c r="B124" s="2076" t="s">
        <v>2286</v>
      </c>
      <c r="C124" s="2077"/>
      <c r="D124" s="2077"/>
      <c r="E124" s="2077"/>
      <c r="F124" s="2077"/>
      <c r="G124" s="2077"/>
      <c r="H124" s="2077"/>
      <c r="I124" s="2078">
        <v>0</v>
      </c>
      <c r="J124" s="2078"/>
      <c r="K124" s="2078"/>
      <c r="L124" s="2078"/>
      <c r="M124" s="2078"/>
      <c r="N124" s="2078"/>
      <c r="O124" s="2131"/>
      <c r="P124" s="2131"/>
      <c r="Q124" s="2131"/>
      <c r="R124" s="2131"/>
      <c r="S124" s="2131"/>
      <c r="T124" s="2131"/>
      <c r="U124" s="2132"/>
      <c r="V124" s="1208"/>
      <c r="W124" s="1208"/>
      <c r="X124" s="2051"/>
      <c r="Y124" s="2052"/>
      <c r="Z124" s="2052"/>
      <c r="AA124" s="2052"/>
      <c r="AB124" s="2052"/>
      <c r="AC124" s="2052"/>
      <c r="AD124" s="2052"/>
      <c r="AE124" s="2052"/>
      <c r="AF124" s="2052"/>
      <c r="AG124" s="2052"/>
      <c r="AH124" s="2052"/>
      <c r="AI124" s="2052"/>
      <c r="AJ124" s="2052"/>
      <c r="AK124" s="2052"/>
      <c r="AL124" s="2052"/>
      <c r="AM124" s="2052"/>
      <c r="AN124" s="2052"/>
      <c r="AO124" s="2052"/>
      <c r="AP124" s="2052"/>
      <c r="AQ124" s="2052"/>
      <c r="AR124" s="2052"/>
      <c r="AS124" s="2052"/>
      <c r="AT124" s="2052"/>
      <c r="AU124" s="2052"/>
      <c r="AV124" s="2052"/>
      <c r="AW124" s="2052"/>
      <c r="AX124" s="2052"/>
      <c r="AY124" s="2052"/>
      <c r="AZ124" s="2052"/>
      <c r="BA124" s="2052"/>
      <c r="BB124" s="2052"/>
      <c r="BC124" s="2052"/>
      <c r="BD124" s="205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1"/>
      <c r="Y125" s="2052"/>
      <c r="Z125" s="2052"/>
      <c r="AA125" s="2052"/>
      <c r="AB125" s="2052"/>
      <c r="AC125" s="2052"/>
      <c r="AD125" s="2052"/>
      <c r="AE125" s="2052"/>
      <c r="AF125" s="2052"/>
      <c r="AG125" s="2052"/>
      <c r="AH125" s="2052"/>
      <c r="AI125" s="2052"/>
      <c r="AJ125" s="2052"/>
      <c r="AK125" s="2052"/>
      <c r="AL125" s="2052"/>
      <c r="AM125" s="2052"/>
      <c r="AN125" s="2052"/>
      <c r="AO125" s="2052"/>
      <c r="AP125" s="2052"/>
      <c r="AQ125" s="2052"/>
      <c r="AR125" s="2052"/>
      <c r="AS125" s="2052"/>
      <c r="AT125" s="2052"/>
      <c r="AU125" s="2052"/>
      <c r="AV125" s="2052"/>
      <c r="AW125" s="2052"/>
      <c r="AX125" s="2052"/>
      <c r="AY125" s="2052"/>
      <c r="AZ125" s="2052"/>
      <c r="BA125" s="2052"/>
      <c r="BB125" s="2052"/>
      <c r="BC125" s="2052"/>
      <c r="BD125" s="2053"/>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1"/>
      <c r="Y126" s="2052"/>
      <c r="Z126" s="2052"/>
      <c r="AA126" s="2052"/>
      <c r="AB126" s="2052"/>
      <c r="AC126" s="2052"/>
      <c r="AD126" s="2052"/>
      <c r="AE126" s="2052"/>
      <c r="AF126" s="2052"/>
      <c r="AG126" s="2052"/>
      <c r="AH126" s="2052"/>
      <c r="AI126" s="2052"/>
      <c r="AJ126" s="2052"/>
      <c r="AK126" s="2052"/>
      <c r="AL126" s="2052"/>
      <c r="AM126" s="2052"/>
      <c r="AN126" s="2052"/>
      <c r="AO126" s="2052"/>
      <c r="AP126" s="2052"/>
      <c r="AQ126" s="2052"/>
      <c r="AR126" s="2052"/>
      <c r="AS126" s="2052"/>
      <c r="AT126" s="2052"/>
      <c r="AU126" s="2052"/>
      <c r="AV126" s="2052"/>
      <c r="AW126" s="2052"/>
      <c r="AX126" s="2052"/>
      <c r="AY126" s="2052"/>
      <c r="AZ126" s="2052"/>
      <c r="BA126" s="2052"/>
      <c r="BB126" s="2052"/>
      <c r="BC126" s="2052"/>
      <c r="BD126" s="205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1"/>
      <c r="Y127" s="2052"/>
      <c r="Z127" s="2052"/>
      <c r="AA127" s="2052"/>
      <c r="AB127" s="2052"/>
      <c r="AC127" s="2052"/>
      <c r="AD127" s="2052"/>
      <c r="AE127" s="2052"/>
      <c r="AF127" s="2052"/>
      <c r="AG127" s="2052"/>
      <c r="AH127" s="2052"/>
      <c r="AI127" s="2052"/>
      <c r="AJ127" s="2052"/>
      <c r="AK127" s="2052"/>
      <c r="AL127" s="2052"/>
      <c r="AM127" s="2052"/>
      <c r="AN127" s="2052"/>
      <c r="AO127" s="2052"/>
      <c r="AP127" s="2052"/>
      <c r="AQ127" s="2052"/>
      <c r="AR127" s="2052"/>
      <c r="AS127" s="2052"/>
      <c r="AT127" s="2052"/>
      <c r="AU127" s="2052"/>
      <c r="AV127" s="2052"/>
      <c r="AW127" s="2052"/>
      <c r="AX127" s="2052"/>
      <c r="AY127" s="2052"/>
      <c r="AZ127" s="2052"/>
      <c r="BA127" s="2052"/>
      <c r="BB127" s="2052"/>
      <c r="BC127" s="2052"/>
      <c r="BD127" s="2053"/>
      <c r="BE127" s="1215"/>
    </row>
    <row r="128" spans="1:57" ht="15.75" customHeight="1">
      <c r="A128" s="1208"/>
      <c r="B128" s="2111" t="s">
        <v>2301</v>
      </c>
      <c r="C128" s="2112"/>
      <c r="D128" s="2112"/>
      <c r="E128" s="2112"/>
      <c r="F128" s="2112"/>
      <c r="G128" s="2112"/>
      <c r="H128" s="2112"/>
      <c r="I128" s="2112"/>
      <c r="J128" s="2112"/>
      <c r="K128" s="2112"/>
      <c r="L128" s="2112"/>
      <c r="M128" s="2112"/>
      <c r="N128" s="2112"/>
      <c r="O128" s="2112"/>
      <c r="P128" s="2112"/>
      <c r="Q128" s="2112"/>
      <c r="R128" s="2112"/>
      <c r="S128" s="2112"/>
      <c r="T128" s="2112"/>
      <c r="U128" s="2113"/>
      <c r="V128" s="1208"/>
      <c r="W128" s="1208"/>
      <c r="X128" s="2051"/>
      <c r="Y128" s="2052"/>
      <c r="Z128" s="2052"/>
      <c r="AA128" s="2052"/>
      <c r="AB128" s="2052"/>
      <c r="AC128" s="2052"/>
      <c r="AD128" s="2052"/>
      <c r="AE128" s="2052"/>
      <c r="AF128" s="2052"/>
      <c r="AG128" s="2052"/>
      <c r="AH128" s="2052"/>
      <c r="AI128" s="2052"/>
      <c r="AJ128" s="2052"/>
      <c r="AK128" s="2052"/>
      <c r="AL128" s="2052"/>
      <c r="AM128" s="2052"/>
      <c r="AN128" s="2052"/>
      <c r="AO128" s="2052"/>
      <c r="AP128" s="2052"/>
      <c r="AQ128" s="2052"/>
      <c r="AR128" s="2052"/>
      <c r="AS128" s="2052"/>
      <c r="AT128" s="2052"/>
      <c r="AU128" s="2052"/>
      <c r="AV128" s="2052"/>
      <c r="AW128" s="2052"/>
      <c r="AX128" s="2052"/>
      <c r="AY128" s="2052"/>
      <c r="AZ128" s="2052"/>
      <c r="BA128" s="2052"/>
      <c r="BB128" s="2052"/>
      <c r="BC128" s="2052"/>
      <c r="BD128" s="2053"/>
      <c r="BE128" s="1215"/>
    </row>
    <row r="129" spans="1:57" ht="15.75" customHeight="1">
      <c r="A129" s="1208"/>
      <c r="B129" s="2048"/>
      <c r="C129" s="2049"/>
      <c r="D129" s="2049"/>
      <c r="E129" s="2049"/>
      <c r="F129" s="2049"/>
      <c r="G129" s="2049"/>
      <c r="H129" s="2049"/>
      <c r="I129" s="2086" t="s">
        <v>2289</v>
      </c>
      <c r="J129" s="2086"/>
      <c r="K129" s="2086"/>
      <c r="L129" s="2086"/>
      <c r="M129" s="2086"/>
      <c r="N129" s="2086"/>
      <c r="O129" s="2086"/>
      <c r="P129" s="2086" t="s">
        <v>2288</v>
      </c>
      <c r="Q129" s="2086"/>
      <c r="R129" s="2086"/>
      <c r="S129" s="2086"/>
      <c r="T129" s="2086"/>
      <c r="U129" s="2087"/>
      <c r="V129" s="1208"/>
      <c r="W129" s="1208"/>
      <c r="X129" s="2051"/>
      <c r="Y129" s="2052"/>
      <c r="Z129" s="2052"/>
      <c r="AA129" s="2052"/>
      <c r="AB129" s="2052"/>
      <c r="AC129" s="2052"/>
      <c r="AD129" s="2052"/>
      <c r="AE129" s="2052"/>
      <c r="AF129" s="2052"/>
      <c r="AG129" s="2052"/>
      <c r="AH129" s="2052"/>
      <c r="AI129" s="2052"/>
      <c r="AJ129" s="2052"/>
      <c r="AK129" s="2052"/>
      <c r="AL129" s="2052"/>
      <c r="AM129" s="2052"/>
      <c r="AN129" s="2052"/>
      <c r="AO129" s="2052"/>
      <c r="AP129" s="2052"/>
      <c r="AQ129" s="2052"/>
      <c r="AR129" s="2052"/>
      <c r="AS129" s="2052"/>
      <c r="AT129" s="2052"/>
      <c r="AU129" s="2052"/>
      <c r="AV129" s="2052"/>
      <c r="AW129" s="2052"/>
      <c r="AX129" s="2052"/>
      <c r="AY129" s="2052"/>
      <c r="AZ129" s="2052"/>
      <c r="BA129" s="2052"/>
      <c r="BB129" s="2052"/>
      <c r="BC129" s="2052"/>
      <c r="BD129" s="2053"/>
      <c r="BE129" s="1215"/>
    </row>
    <row r="130" spans="1:57" ht="15.75" customHeight="1">
      <c r="A130" s="1208"/>
      <c r="B130" s="2048"/>
      <c r="C130" s="2049"/>
      <c r="D130" s="2049"/>
      <c r="E130" s="2049"/>
      <c r="F130" s="2049"/>
      <c r="G130" s="2049"/>
      <c r="H130" s="2049"/>
      <c r="I130" s="2086"/>
      <c r="J130" s="2086"/>
      <c r="K130" s="2086"/>
      <c r="L130" s="2086"/>
      <c r="M130" s="2086"/>
      <c r="N130" s="2086"/>
      <c r="O130" s="2086"/>
      <c r="P130" s="2086"/>
      <c r="Q130" s="2086"/>
      <c r="R130" s="2086"/>
      <c r="S130" s="2086"/>
      <c r="T130" s="2086"/>
      <c r="U130" s="2087"/>
      <c r="V130" s="1208"/>
      <c r="W130" s="1208"/>
      <c r="X130" s="2051"/>
      <c r="Y130" s="2052"/>
      <c r="Z130" s="2052"/>
      <c r="AA130" s="2052"/>
      <c r="AB130" s="2052"/>
      <c r="AC130" s="2052"/>
      <c r="AD130" s="2052"/>
      <c r="AE130" s="2052"/>
      <c r="AF130" s="2052"/>
      <c r="AG130" s="2052"/>
      <c r="AH130" s="2052"/>
      <c r="AI130" s="2052"/>
      <c r="AJ130" s="2052"/>
      <c r="AK130" s="2052"/>
      <c r="AL130" s="2052"/>
      <c r="AM130" s="2052"/>
      <c r="AN130" s="2052"/>
      <c r="AO130" s="2052"/>
      <c r="AP130" s="2052"/>
      <c r="AQ130" s="2052"/>
      <c r="AR130" s="2052"/>
      <c r="AS130" s="2052"/>
      <c r="AT130" s="2052"/>
      <c r="AU130" s="2052"/>
      <c r="AV130" s="2052"/>
      <c r="AW130" s="2052"/>
      <c r="AX130" s="2052"/>
      <c r="AY130" s="2052"/>
      <c r="AZ130" s="2052"/>
      <c r="BA130" s="2052"/>
      <c r="BB130" s="2052"/>
      <c r="BC130" s="2052"/>
      <c r="BD130" s="2053"/>
      <c r="BE130" s="1215"/>
    </row>
    <row r="131" spans="1:57" ht="15.75" customHeight="1">
      <c r="A131" s="1208"/>
      <c r="B131" s="2082" t="s">
        <v>2287</v>
      </c>
      <c r="C131" s="2083"/>
      <c r="D131" s="2083"/>
      <c r="E131" s="2083"/>
      <c r="F131" s="2083"/>
      <c r="G131" s="2083"/>
      <c r="H131" s="2083"/>
      <c r="I131" s="2084">
        <v>0</v>
      </c>
      <c r="J131" s="2084"/>
      <c r="K131" s="2084"/>
      <c r="L131" s="2084"/>
      <c r="M131" s="2084"/>
      <c r="N131" s="2084"/>
      <c r="O131" s="2084"/>
      <c r="P131" s="2084">
        <v>0</v>
      </c>
      <c r="Q131" s="2084"/>
      <c r="R131" s="2084"/>
      <c r="S131" s="2084"/>
      <c r="T131" s="2084"/>
      <c r="U131" s="2085"/>
      <c r="V131" s="1208"/>
      <c r="W131" s="1208"/>
      <c r="X131" s="2051"/>
      <c r="Y131" s="2052"/>
      <c r="Z131" s="2052"/>
      <c r="AA131" s="2052"/>
      <c r="AB131" s="2052"/>
      <c r="AC131" s="2052"/>
      <c r="AD131" s="2052"/>
      <c r="AE131" s="2052"/>
      <c r="AF131" s="2052"/>
      <c r="AG131" s="2052"/>
      <c r="AH131" s="2052"/>
      <c r="AI131" s="2052"/>
      <c r="AJ131" s="2052"/>
      <c r="AK131" s="2052"/>
      <c r="AL131" s="2052"/>
      <c r="AM131" s="2052"/>
      <c r="AN131" s="2052"/>
      <c r="AO131" s="2052"/>
      <c r="AP131" s="2052"/>
      <c r="AQ131" s="2052"/>
      <c r="AR131" s="2052"/>
      <c r="AS131" s="2052"/>
      <c r="AT131" s="2052"/>
      <c r="AU131" s="2052"/>
      <c r="AV131" s="2052"/>
      <c r="AW131" s="2052"/>
      <c r="AX131" s="2052"/>
      <c r="AY131" s="2052"/>
      <c r="AZ131" s="2052"/>
      <c r="BA131" s="2052"/>
      <c r="BB131" s="2052"/>
      <c r="BC131" s="2052"/>
      <c r="BD131" s="2053"/>
      <c r="BE131" s="1215"/>
    </row>
    <row r="132" spans="1:57" ht="15.75" customHeight="1" thickBot="1">
      <c r="A132" s="1208"/>
      <c r="B132" s="2076" t="s">
        <v>2286</v>
      </c>
      <c r="C132" s="2077"/>
      <c r="D132" s="2077"/>
      <c r="E132" s="2077"/>
      <c r="F132" s="2077"/>
      <c r="G132" s="2077"/>
      <c r="H132" s="2077"/>
      <c r="I132" s="2078">
        <v>0</v>
      </c>
      <c r="J132" s="2078"/>
      <c r="K132" s="2078"/>
      <c r="L132" s="2078"/>
      <c r="M132" s="2078"/>
      <c r="N132" s="2078"/>
      <c r="O132" s="2078"/>
      <c r="P132" s="2078">
        <v>0</v>
      </c>
      <c r="Q132" s="2078"/>
      <c r="R132" s="2078"/>
      <c r="S132" s="2078"/>
      <c r="T132" s="2078"/>
      <c r="U132" s="2079"/>
      <c r="V132" s="1208"/>
      <c r="W132" s="1208"/>
      <c r="X132" s="2054"/>
      <c r="Y132" s="2055"/>
      <c r="Z132" s="2055"/>
      <c r="AA132" s="2055"/>
      <c r="AB132" s="2055"/>
      <c r="AC132" s="2055"/>
      <c r="AD132" s="2055"/>
      <c r="AE132" s="2055"/>
      <c r="AF132" s="2055"/>
      <c r="AG132" s="2055"/>
      <c r="AH132" s="2055"/>
      <c r="AI132" s="2055"/>
      <c r="AJ132" s="2055"/>
      <c r="AK132" s="2055"/>
      <c r="AL132" s="2055"/>
      <c r="AM132" s="2055"/>
      <c r="AN132" s="2055"/>
      <c r="AO132" s="2055"/>
      <c r="AP132" s="2055"/>
      <c r="AQ132" s="2055"/>
      <c r="AR132" s="2055"/>
      <c r="AS132" s="2055"/>
      <c r="AT132" s="2055"/>
      <c r="AU132" s="2055"/>
      <c r="AV132" s="2055"/>
      <c r="AW132" s="2055"/>
      <c r="AX132" s="2055"/>
      <c r="AY132" s="2055"/>
      <c r="AZ132" s="2055"/>
      <c r="BA132" s="2055"/>
      <c r="BB132" s="2055"/>
      <c r="BC132" s="2055"/>
      <c r="BD132" s="205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3" t="s">
        <v>2300</v>
      </c>
      <c r="C134" s="2104"/>
      <c r="D134" s="2104"/>
      <c r="E134" s="2104"/>
      <c r="F134" s="2104"/>
      <c r="G134" s="2104"/>
      <c r="H134" s="2104"/>
      <c r="I134" s="2104"/>
      <c r="J134" s="2104"/>
      <c r="K134" s="2104"/>
      <c r="L134" s="2104"/>
      <c r="M134" s="2104"/>
      <c r="N134" s="2104"/>
      <c r="O134" s="2104"/>
      <c r="P134" s="2104"/>
      <c r="Q134" s="2104"/>
      <c r="R134" s="2104"/>
      <c r="S134" s="2104"/>
      <c r="T134" s="2104"/>
      <c r="U134" s="2104"/>
      <c r="V134" s="2104"/>
      <c r="W134" s="2104"/>
      <c r="X134" s="2104"/>
      <c r="Y134" s="2104"/>
      <c r="Z134" s="2104"/>
      <c r="AA134" s="2104"/>
      <c r="AB134" s="2104"/>
      <c r="AC134" s="2104"/>
      <c r="AD134" s="2104"/>
      <c r="AE134" s="2104"/>
      <c r="AF134" s="2104"/>
      <c r="AG134" s="2104"/>
      <c r="AH134" s="2091" t="s">
        <v>544</v>
      </c>
      <c r="AI134" s="2091"/>
      <c r="AJ134" s="2091"/>
      <c r="AK134" s="2091"/>
      <c r="AL134" s="2091"/>
      <c r="AM134" s="2091"/>
      <c r="AN134" s="2091"/>
      <c r="AO134" s="2091"/>
      <c r="AP134" s="2091"/>
      <c r="AQ134" s="2091"/>
      <c r="AR134" s="2091"/>
      <c r="AS134" s="2091"/>
      <c r="AT134" s="2091"/>
      <c r="AU134" s="2091"/>
      <c r="AV134" s="2091"/>
      <c r="AW134" s="2091"/>
      <c r="AX134" s="2092"/>
      <c r="AY134" s="1208"/>
      <c r="AZ134" s="1208"/>
      <c r="BA134" s="1208"/>
      <c r="BB134" s="1208"/>
      <c r="BC134" s="1208"/>
      <c r="BD134" s="1208"/>
      <c r="BE134" s="1215"/>
    </row>
    <row r="135" spans="1:57" ht="15.75" customHeight="1" thickBot="1">
      <c r="A135" s="1208"/>
      <c r="B135" s="2088" t="s">
        <v>2299</v>
      </c>
      <c r="C135" s="2089"/>
      <c r="D135" s="2089"/>
      <c r="E135" s="2089"/>
      <c r="F135" s="2089"/>
      <c r="G135" s="2089"/>
      <c r="H135" s="2089"/>
      <c r="I135" s="2089"/>
      <c r="J135" s="2089"/>
      <c r="K135" s="2089"/>
      <c r="L135" s="2089"/>
      <c r="M135" s="2089"/>
      <c r="N135" s="2089"/>
      <c r="O135" s="2089"/>
      <c r="P135" s="2089"/>
      <c r="Q135" s="2089"/>
      <c r="R135" s="2089"/>
      <c r="S135" s="2089"/>
      <c r="T135" s="2089"/>
      <c r="U135" s="2089"/>
      <c r="V135" s="2089"/>
      <c r="W135" s="2089"/>
      <c r="X135" s="2089"/>
      <c r="Y135" s="2089"/>
      <c r="Z135" s="2089"/>
      <c r="AA135" s="2089"/>
      <c r="AB135" s="2089"/>
      <c r="AC135" s="2089"/>
      <c r="AD135" s="2089"/>
      <c r="AE135" s="2089"/>
      <c r="AF135" s="2089"/>
      <c r="AG135" s="2090"/>
      <c r="AH135" s="2105"/>
      <c r="AI135" s="2106"/>
      <c r="AJ135" s="2106"/>
      <c r="AK135" s="2106"/>
      <c r="AL135" s="2106"/>
      <c r="AM135" s="2106"/>
      <c r="AN135" s="2106"/>
      <c r="AO135" s="2106"/>
      <c r="AP135" s="2106"/>
      <c r="AQ135" s="2106"/>
      <c r="AR135" s="2106"/>
      <c r="AS135" s="2106"/>
      <c r="AT135" s="2106"/>
      <c r="AU135" s="2106"/>
      <c r="AV135" s="2106"/>
      <c r="AW135" s="2106"/>
      <c r="AX135" s="2107"/>
      <c r="AY135" s="1208"/>
      <c r="AZ135" s="1208"/>
      <c r="BA135" s="1208"/>
      <c r="BB135" s="1208"/>
      <c r="BC135" s="1208"/>
      <c r="BD135" s="1208"/>
      <c r="BE135" s="1215"/>
    </row>
    <row r="136" spans="1:57" ht="15.75" customHeight="1">
      <c r="A136" s="1208"/>
      <c r="B136" s="2088" t="s">
        <v>2298</v>
      </c>
      <c r="C136" s="2089"/>
      <c r="D136" s="2089"/>
      <c r="E136" s="2089"/>
      <c r="F136" s="2089"/>
      <c r="G136" s="2089"/>
      <c r="H136" s="2089"/>
      <c r="I136" s="2089"/>
      <c r="J136" s="2089"/>
      <c r="K136" s="2089"/>
      <c r="L136" s="2089"/>
      <c r="M136" s="2089"/>
      <c r="N136" s="2089"/>
      <c r="O136" s="2089"/>
      <c r="P136" s="2089"/>
      <c r="Q136" s="2089"/>
      <c r="R136" s="2089"/>
      <c r="S136" s="2089"/>
      <c r="T136" s="2089"/>
      <c r="U136" s="2089"/>
      <c r="V136" s="2089"/>
      <c r="W136" s="2089"/>
      <c r="X136" s="2089"/>
      <c r="Y136" s="2089"/>
      <c r="Z136" s="2089"/>
      <c r="AA136" s="2089"/>
      <c r="AB136" s="2089"/>
      <c r="AC136" s="2089"/>
      <c r="AD136" s="2089"/>
      <c r="AE136" s="2089"/>
      <c r="AF136" s="2089"/>
      <c r="AG136" s="2090"/>
      <c r="AH136" s="2091" t="s">
        <v>544</v>
      </c>
      <c r="AI136" s="2091"/>
      <c r="AJ136" s="2091"/>
      <c r="AK136" s="2091"/>
      <c r="AL136" s="2091"/>
      <c r="AM136" s="2091"/>
      <c r="AN136" s="2091"/>
      <c r="AO136" s="2091"/>
      <c r="AP136" s="2091"/>
      <c r="AQ136" s="2091"/>
      <c r="AR136" s="2091"/>
      <c r="AS136" s="2091"/>
      <c r="AT136" s="2091"/>
      <c r="AU136" s="2091"/>
      <c r="AV136" s="2091"/>
      <c r="AW136" s="2091"/>
      <c r="AX136" s="2092"/>
      <c r="AY136" s="1208"/>
      <c r="AZ136" s="1208"/>
      <c r="BA136" s="1208"/>
      <c r="BB136" s="1208"/>
      <c r="BC136" s="1208"/>
      <c r="BD136" s="1208"/>
      <c r="BE136" s="1215"/>
    </row>
    <row r="137" spans="1:57" ht="15.75" customHeight="1">
      <c r="A137" s="1208"/>
      <c r="B137" s="2093" t="s">
        <v>2297</v>
      </c>
      <c r="C137" s="2094"/>
      <c r="D137" s="2094"/>
      <c r="E137" s="2094"/>
      <c r="F137" s="2094"/>
      <c r="G137" s="2094"/>
      <c r="H137" s="2094"/>
      <c r="I137" s="2094"/>
      <c r="J137" s="2094"/>
      <c r="K137" s="2094"/>
      <c r="L137" s="2094"/>
      <c r="M137" s="2094"/>
      <c r="N137" s="2094"/>
      <c r="O137" s="2094"/>
      <c r="P137" s="2094"/>
      <c r="Q137" s="2094"/>
      <c r="R137" s="2095" t="s">
        <v>2296</v>
      </c>
      <c r="S137" s="2095"/>
      <c r="T137" s="2095"/>
      <c r="U137" s="2095"/>
      <c r="V137" s="2095"/>
      <c r="W137" s="2095"/>
      <c r="X137" s="2095"/>
      <c r="Y137" s="2095"/>
      <c r="Z137" s="2095"/>
      <c r="AA137" s="2095"/>
      <c r="AB137" s="2095"/>
      <c r="AC137" s="2095"/>
      <c r="AD137" s="2095"/>
      <c r="AE137" s="2095"/>
      <c r="AF137" s="2095"/>
      <c r="AG137" s="2095"/>
      <c r="AH137" s="2095"/>
      <c r="AI137" s="2095"/>
      <c r="AJ137" s="2095"/>
      <c r="AK137" s="2095"/>
      <c r="AL137" s="2095"/>
      <c r="AM137" s="2095"/>
      <c r="AN137" s="2095"/>
      <c r="AO137" s="2095"/>
      <c r="AP137" s="2095"/>
      <c r="AQ137" s="2095"/>
      <c r="AR137" s="2095"/>
      <c r="AS137" s="2095"/>
      <c r="AT137" s="2095"/>
      <c r="AU137" s="2095"/>
      <c r="AV137" s="2095"/>
      <c r="AW137" s="2095"/>
      <c r="AX137" s="2096"/>
      <c r="AY137" s="1208"/>
      <c r="AZ137" s="1208"/>
      <c r="BA137" s="1208"/>
      <c r="BB137" s="1208"/>
      <c r="BC137" s="1208" t="s">
        <v>250</v>
      </c>
      <c r="BD137" s="1208"/>
      <c r="BE137" s="1215"/>
    </row>
    <row r="138" spans="1:57" ht="15.75" customHeight="1">
      <c r="A138" s="1208"/>
      <c r="B138" s="2097" t="s">
        <v>2295</v>
      </c>
      <c r="C138" s="2098"/>
      <c r="D138" s="2098"/>
      <c r="E138" s="2098"/>
      <c r="F138" s="2098"/>
      <c r="G138" s="2098"/>
      <c r="H138" s="2098"/>
      <c r="I138" s="2098"/>
      <c r="J138" s="2098"/>
      <c r="K138" s="2098"/>
      <c r="L138" s="2098"/>
      <c r="M138" s="2098"/>
      <c r="N138" s="2098"/>
      <c r="O138" s="2098"/>
      <c r="P138" s="2098"/>
      <c r="Q138" s="2098"/>
      <c r="R138" s="2098"/>
      <c r="S138" s="2098"/>
      <c r="T138" s="2098"/>
      <c r="U138" s="2098"/>
      <c r="V138" s="2098"/>
      <c r="W138" s="2098"/>
      <c r="X138" s="2098"/>
      <c r="Y138" s="2098"/>
      <c r="Z138" s="2098"/>
      <c r="AA138" s="2098"/>
      <c r="AB138" s="2098"/>
      <c r="AC138" s="2098"/>
      <c r="AD138" s="2098"/>
      <c r="AE138" s="2098"/>
      <c r="AF138" s="2098"/>
      <c r="AG138" s="2098"/>
      <c r="AH138" s="2098"/>
      <c r="AI138" s="2098"/>
      <c r="AJ138" s="2098"/>
      <c r="AK138" s="2098"/>
      <c r="AL138" s="2098"/>
      <c r="AM138" s="2098"/>
      <c r="AN138" s="2098"/>
      <c r="AO138" s="2098"/>
      <c r="AP138" s="2098"/>
      <c r="AQ138" s="2098"/>
      <c r="AR138" s="2098"/>
      <c r="AS138" s="2098"/>
      <c r="AT138" s="2098"/>
      <c r="AU138" s="2098"/>
      <c r="AV138" s="2098"/>
      <c r="AW138" s="2098"/>
      <c r="AX138" s="2099"/>
      <c r="AY138" s="1208"/>
      <c r="AZ138" s="1208"/>
      <c r="BA138" s="1208"/>
      <c r="BB138" s="1208"/>
      <c r="BC138" s="1208"/>
      <c r="BD138" s="1208"/>
      <c r="BE138" s="1215"/>
    </row>
    <row r="139" spans="1:57" ht="15.75" customHeight="1">
      <c r="A139" s="1208"/>
      <c r="B139" s="2097"/>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98"/>
      <c r="AI139" s="2098"/>
      <c r="AJ139" s="2098"/>
      <c r="AK139" s="2098"/>
      <c r="AL139" s="2098"/>
      <c r="AM139" s="2098"/>
      <c r="AN139" s="2098"/>
      <c r="AO139" s="2098"/>
      <c r="AP139" s="2098"/>
      <c r="AQ139" s="2098"/>
      <c r="AR139" s="2098"/>
      <c r="AS139" s="2098"/>
      <c r="AT139" s="2098"/>
      <c r="AU139" s="2098"/>
      <c r="AV139" s="2098"/>
      <c r="AW139" s="2098"/>
      <c r="AX139" s="2099"/>
      <c r="AY139" s="1208"/>
      <c r="AZ139" s="1208"/>
      <c r="BA139" s="1208"/>
      <c r="BB139" s="1208"/>
      <c r="BC139" s="1208"/>
      <c r="BD139" s="1208"/>
      <c r="BE139" s="1215"/>
    </row>
    <row r="140" spans="1:57" ht="15.75" customHeight="1">
      <c r="A140" s="1208"/>
      <c r="B140" s="2097"/>
      <c r="C140" s="2098"/>
      <c r="D140" s="2098"/>
      <c r="E140" s="2098"/>
      <c r="F140" s="2098"/>
      <c r="G140" s="2098"/>
      <c r="H140" s="2098"/>
      <c r="I140" s="2098"/>
      <c r="J140" s="2098"/>
      <c r="K140" s="2098"/>
      <c r="L140" s="2098"/>
      <c r="M140" s="2098"/>
      <c r="N140" s="2098"/>
      <c r="O140" s="2098"/>
      <c r="P140" s="2098"/>
      <c r="Q140" s="2098"/>
      <c r="R140" s="2098"/>
      <c r="S140" s="2098"/>
      <c r="T140" s="2098"/>
      <c r="U140" s="2098"/>
      <c r="V140" s="2098"/>
      <c r="W140" s="2098"/>
      <c r="X140" s="2098"/>
      <c r="Y140" s="2098"/>
      <c r="Z140" s="2098"/>
      <c r="AA140" s="2098"/>
      <c r="AB140" s="2098"/>
      <c r="AC140" s="2098"/>
      <c r="AD140" s="2098"/>
      <c r="AE140" s="2098"/>
      <c r="AF140" s="2098"/>
      <c r="AG140" s="2098"/>
      <c r="AH140" s="2098"/>
      <c r="AI140" s="2098"/>
      <c r="AJ140" s="2098"/>
      <c r="AK140" s="2098"/>
      <c r="AL140" s="2098"/>
      <c r="AM140" s="2098"/>
      <c r="AN140" s="2098"/>
      <c r="AO140" s="2098"/>
      <c r="AP140" s="2098"/>
      <c r="AQ140" s="2098"/>
      <c r="AR140" s="2098"/>
      <c r="AS140" s="2098"/>
      <c r="AT140" s="2098"/>
      <c r="AU140" s="2098"/>
      <c r="AV140" s="2098"/>
      <c r="AW140" s="2098"/>
      <c r="AX140" s="2099"/>
      <c r="AY140" s="1208"/>
      <c r="AZ140" s="1208"/>
      <c r="BA140" s="1208"/>
      <c r="BB140" s="1208"/>
      <c r="BC140" s="1208"/>
      <c r="BD140" s="1208"/>
      <c r="BE140" s="1215"/>
    </row>
    <row r="141" spans="1:57" ht="15.75" customHeight="1">
      <c r="A141" s="1208"/>
      <c r="B141" s="2097"/>
      <c r="C141" s="2098"/>
      <c r="D141" s="2098"/>
      <c r="E141" s="2098"/>
      <c r="F141" s="2098"/>
      <c r="G141" s="2098"/>
      <c r="H141" s="2098"/>
      <c r="I141" s="2098"/>
      <c r="J141" s="2098"/>
      <c r="K141" s="2098"/>
      <c r="L141" s="2098"/>
      <c r="M141" s="2098"/>
      <c r="N141" s="2098"/>
      <c r="O141" s="2098"/>
      <c r="P141" s="2098"/>
      <c r="Q141" s="2098"/>
      <c r="R141" s="2098"/>
      <c r="S141" s="2098"/>
      <c r="T141" s="2098"/>
      <c r="U141" s="2098"/>
      <c r="V141" s="2098"/>
      <c r="W141" s="2098"/>
      <c r="X141" s="2098"/>
      <c r="Y141" s="2098"/>
      <c r="Z141" s="2098"/>
      <c r="AA141" s="2098"/>
      <c r="AB141" s="2098"/>
      <c r="AC141" s="2098"/>
      <c r="AD141" s="2098"/>
      <c r="AE141" s="2098"/>
      <c r="AF141" s="2098"/>
      <c r="AG141" s="2098"/>
      <c r="AH141" s="2098"/>
      <c r="AI141" s="2098"/>
      <c r="AJ141" s="2098"/>
      <c r="AK141" s="2098"/>
      <c r="AL141" s="2098"/>
      <c r="AM141" s="2098"/>
      <c r="AN141" s="2098"/>
      <c r="AO141" s="2098"/>
      <c r="AP141" s="2098"/>
      <c r="AQ141" s="2098"/>
      <c r="AR141" s="2098"/>
      <c r="AS141" s="2098"/>
      <c r="AT141" s="2098"/>
      <c r="AU141" s="2098"/>
      <c r="AV141" s="2098"/>
      <c r="AW141" s="2098"/>
      <c r="AX141" s="2099"/>
      <c r="AY141" s="1208"/>
      <c r="AZ141" s="1208"/>
      <c r="BA141" s="1208"/>
      <c r="BB141" s="1208"/>
      <c r="BC141" s="1208"/>
      <c r="BD141" s="1208"/>
      <c r="BE141" s="1215"/>
    </row>
    <row r="142" spans="1:57" ht="15.75" customHeight="1">
      <c r="A142" s="1208"/>
      <c r="B142" s="2097"/>
      <c r="C142" s="2098"/>
      <c r="D142" s="2098"/>
      <c r="E142" s="2098"/>
      <c r="F142" s="2098"/>
      <c r="G142" s="2098"/>
      <c r="H142" s="2098"/>
      <c r="I142" s="2098"/>
      <c r="J142" s="2098"/>
      <c r="K142" s="2098"/>
      <c r="L142" s="2098"/>
      <c r="M142" s="2098"/>
      <c r="N142" s="2098"/>
      <c r="O142" s="2098"/>
      <c r="P142" s="2098"/>
      <c r="Q142" s="2098"/>
      <c r="R142" s="2098"/>
      <c r="S142" s="2098"/>
      <c r="T142" s="2098"/>
      <c r="U142" s="2098"/>
      <c r="V142" s="2098"/>
      <c r="W142" s="2098"/>
      <c r="X142" s="2098"/>
      <c r="Y142" s="2098"/>
      <c r="Z142" s="2098"/>
      <c r="AA142" s="2098"/>
      <c r="AB142" s="2098"/>
      <c r="AC142" s="2098"/>
      <c r="AD142" s="2098"/>
      <c r="AE142" s="2098"/>
      <c r="AF142" s="2098"/>
      <c r="AG142" s="2098"/>
      <c r="AH142" s="2098"/>
      <c r="AI142" s="2098"/>
      <c r="AJ142" s="2098"/>
      <c r="AK142" s="2098"/>
      <c r="AL142" s="2098"/>
      <c r="AM142" s="2098"/>
      <c r="AN142" s="2098"/>
      <c r="AO142" s="2098"/>
      <c r="AP142" s="2098"/>
      <c r="AQ142" s="2098"/>
      <c r="AR142" s="2098"/>
      <c r="AS142" s="2098"/>
      <c r="AT142" s="2098"/>
      <c r="AU142" s="2098"/>
      <c r="AV142" s="2098"/>
      <c r="AW142" s="2098"/>
      <c r="AX142" s="2099"/>
      <c r="AY142" s="1208"/>
      <c r="AZ142" s="1208"/>
      <c r="BA142" s="1208"/>
      <c r="BB142" s="1208"/>
      <c r="BC142" s="1208"/>
      <c r="BD142" s="1208"/>
      <c r="BE142" s="1215"/>
    </row>
    <row r="143" spans="1:57" ht="15.75" customHeight="1">
      <c r="A143" s="1208"/>
      <c r="B143" s="2097"/>
      <c r="C143" s="2098"/>
      <c r="D143" s="2098"/>
      <c r="E143" s="2098"/>
      <c r="F143" s="2098"/>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c r="AJ143" s="2098"/>
      <c r="AK143" s="2098"/>
      <c r="AL143" s="2098"/>
      <c r="AM143" s="2098"/>
      <c r="AN143" s="2098"/>
      <c r="AO143" s="2098"/>
      <c r="AP143" s="2098"/>
      <c r="AQ143" s="2098"/>
      <c r="AR143" s="2098"/>
      <c r="AS143" s="2098"/>
      <c r="AT143" s="2098"/>
      <c r="AU143" s="2098"/>
      <c r="AV143" s="2098"/>
      <c r="AW143" s="2098"/>
      <c r="AX143" s="2099"/>
      <c r="AY143" s="1208"/>
      <c r="AZ143" s="1208"/>
      <c r="BA143" s="1208"/>
      <c r="BB143" s="1208"/>
      <c r="BC143" s="1208"/>
      <c r="BD143" s="1208"/>
      <c r="BE143" s="1215"/>
    </row>
    <row r="144" spans="1:57" ht="15.75" customHeight="1">
      <c r="A144" s="1208"/>
      <c r="B144" s="2097"/>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c r="AJ144" s="2098"/>
      <c r="AK144" s="2098"/>
      <c r="AL144" s="2098"/>
      <c r="AM144" s="2098"/>
      <c r="AN144" s="2098"/>
      <c r="AO144" s="2098"/>
      <c r="AP144" s="2098"/>
      <c r="AQ144" s="2098"/>
      <c r="AR144" s="2098"/>
      <c r="AS144" s="2098"/>
      <c r="AT144" s="2098"/>
      <c r="AU144" s="2098"/>
      <c r="AV144" s="2098"/>
      <c r="AW144" s="2098"/>
      <c r="AX144" s="2099"/>
      <c r="AY144" s="1208"/>
      <c r="AZ144" s="1208"/>
      <c r="BA144" s="1208"/>
      <c r="BB144" s="1208"/>
      <c r="BC144" s="1208"/>
      <c r="BD144" s="1208"/>
      <c r="BE144" s="1215"/>
    </row>
    <row r="145" spans="1:57" ht="15.75" customHeight="1">
      <c r="A145" s="1208"/>
      <c r="B145" s="2097"/>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c r="AJ145" s="2098"/>
      <c r="AK145" s="2098"/>
      <c r="AL145" s="2098"/>
      <c r="AM145" s="2098"/>
      <c r="AN145" s="2098"/>
      <c r="AO145" s="2098"/>
      <c r="AP145" s="2098"/>
      <c r="AQ145" s="2098"/>
      <c r="AR145" s="2098"/>
      <c r="AS145" s="2098"/>
      <c r="AT145" s="2098"/>
      <c r="AU145" s="2098"/>
      <c r="AV145" s="2098"/>
      <c r="AW145" s="2098"/>
      <c r="AX145" s="2099"/>
      <c r="AY145" s="1208"/>
      <c r="AZ145" s="1208"/>
      <c r="BA145" s="1208"/>
      <c r="BB145" s="1208"/>
      <c r="BC145" s="1208"/>
      <c r="BD145" s="1208"/>
      <c r="BE145" s="1215"/>
    </row>
    <row r="146" spans="1:57" ht="15.75" customHeight="1">
      <c r="A146" s="1208"/>
      <c r="B146" s="2097"/>
      <c r="C146" s="2098"/>
      <c r="D146" s="2098"/>
      <c r="E146" s="2098"/>
      <c r="F146" s="2098"/>
      <c r="G146" s="2098"/>
      <c r="H146" s="2098"/>
      <c r="I146" s="2098"/>
      <c r="J146" s="2098"/>
      <c r="K146" s="2098"/>
      <c r="L146" s="2098"/>
      <c r="M146" s="2098"/>
      <c r="N146" s="2098"/>
      <c r="O146" s="2098"/>
      <c r="P146" s="2098"/>
      <c r="Q146" s="2098"/>
      <c r="R146" s="2098"/>
      <c r="S146" s="2098"/>
      <c r="T146" s="2098"/>
      <c r="U146" s="2098"/>
      <c r="V146" s="2098"/>
      <c r="W146" s="2098"/>
      <c r="X146" s="2098"/>
      <c r="Y146" s="2098"/>
      <c r="Z146" s="2098"/>
      <c r="AA146" s="2098"/>
      <c r="AB146" s="2098"/>
      <c r="AC146" s="2098"/>
      <c r="AD146" s="2098"/>
      <c r="AE146" s="2098"/>
      <c r="AF146" s="2098"/>
      <c r="AG146" s="2098"/>
      <c r="AH146" s="2098"/>
      <c r="AI146" s="2098"/>
      <c r="AJ146" s="2098"/>
      <c r="AK146" s="2098"/>
      <c r="AL146" s="2098"/>
      <c r="AM146" s="2098"/>
      <c r="AN146" s="2098"/>
      <c r="AO146" s="2098"/>
      <c r="AP146" s="2098"/>
      <c r="AQ146" s="2098"/>
      <c r="AR146" s="2098"/>
      <c r="AS146" s="2098"/>
      <c r="AT146" s="2098"/>
      <c r="AU146" s="2098"/>
      <c r="AV146" s="2098"/>
      <c r="AW146" s="2098"/>
      <c r="AX146" s="2099"/>
      <c r="AY146" s="1208"/>
      <c r="AZ146" s="1208"/>
      <c r="BA146" s="1208"/>
      <c r="BB146" s="1208"/>
      <c r="BC146" s="1208"/>
      <c r="BD146" s="1208"/>
      <c r="BE146" s="1215"/>
    </row>
    <row r="147" spans="1:57" ht="15.75" customHeight="1" thickBot="1">
      <c r="A147" s="1208"/>
      <c r="B147" s="2100"/>
      <c r="C147" s="2101"/>
      <c r="D147" s="2101"/>
      <c r="E147" s="2101"/>
      <c r="F147" s="2101"/>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J147" s="2101"/>
      <c r="AK147" s="2101"/>
      <c r="AL147" s="2101"/>
      <c r="AM147" s="2101"/>
      <c r="AN147" s="2101"/>
      <c r="AO147" s="2101"/>
      <c r="AP147" s="2101"/>
      <c r="AQ147" s="2101"/>
      <c r="AR147" s="2101"/>
      <c r="AS147" s="2101"/>
      <c r="AT147" s="2101"/>
      <c r="AU147" s="2101"/>
      <c r="AV147" s="2101"/>
      <c r="AW147" s="2101"/>
      <c r="AX147" s="210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0" t="s">
        <v>2292</v>
      </c>
      <c r="C151" s="2036"/>
      <c r="D151" s="2036"/>
      <c r="E151" s="2036"/>
      <c r="F151" s="2036"/>
      <c r="G151" s="2036"/>
      <c r="H151" s="2036"/>
      <c r="I151" s="2036"/>
      <c r="J151" s="2036"/>
      <c r="K151" s="2036"/>
      <c r="L151" s="2036"/>
      <c r="M151" s="2036"/>
      <c r="N151" s="2036"/>
      <c r="O151" s="2036"/>
      <c r="P151" s="2036"/>
      <c r="Q151" s="2036"/>
      <c r="R151" s="2036"/>
      <c r="S151" s="2036"/>
      <c r="T151" s="2036"/>
      <c r="U151" s="2037"/>
      <c r="V151" s="1208"/>
      <c r="W151" s="1209"/>
      <c r="X151" s="2080" t="s">
        <v>2291</v>
      </c>
      <c r="Y151" s="2036"/>
      <c r="Z151" s="2036"/>
      <c r="AA151" s="2036"/>
      <c r="AB151" s="2036"/>
      <c r="AC151" s="2036"/>
      <c r="AD151" s="2036"/>
      <c r="AE151" s="2036"/>
      <c r="AF151" s="2036"/>
      <c r="AG151" s="2036"/>
      <c r="AH151" s="2036"/>
      <c r="AI151" s="2036"/>
      <c r="AJ151" s="2036"/>
      <c r="AK151" s="2036"/>
      <c r="AL151" s="2036"/>
      <c r="AM151" s="2036"/>
      <c r="AN151" s="2036"/>
      <c r="AO151" s="2036"/>
      <c r="AP151" s="2036"/>
      <c r="AQ151" s="2037"/>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8"/>
      <c r="C152" s="2049"/>
      <c r="D152" s="2049"/>
      <c r="E152" s="2049"/>
      <c r="F152" s="2049"/>
      <c r="G152" s="2049"/>
      <c r="H152" s="2049"/>
      <c r="I152" s="2086" t="s">
        <v>2289</v>
      </c>
      <c r="J152" s="2086"/>
      <c r="K152" s="2086"/>
      <c r="L152" s="2086"/>
      <c r="M152" s="2086"/>
      <c r="N152" s="2086"/>
      <c r="O152" s="2086"/>
      <c r="P152" s="2086" t="s">
        <v>2290</v>
      </c>
      <c r="Q152" s="2086"/>
      <c r="R152" s="2086"/>
      <c r="S152" s="2086"/>
      <c r="T152" s="2086"/>
      <c r="U152" s="2087"/>
      <c r="V152" s="1208"/>
      <c r="W152" s="1208"/>
      <c r="X152" s="2048"/>
      <c r="Y152" s="2049"/>
      <c r="Z152" s="2049"/>
      <c r="AA152" s="2049"/>
      <c r="AB152" s="2049"/>
      <c r="AC152" s="2049"/>
      <c r="AD152" s="2049"/>
      <c r="AE152" s="2086" t="s">
        <v>2289</v>
      </c>
      <c r="AF152" s="2086"/>
      <c r="AG152" s="2086"/>
      <c r="AH152" s="2086"/>
      <c r="AI152" s="2086"/>
      <c r="AJ152" s="2086"/>
      <c r="AK152" s="2086"/>
      <c r="AL152" s="2086" t="s">
        <v>2288</v>
      </c>
      <c r="AM152" s="2086"/>
      <c r="AN152" s="2086"/>
      <c r="AO152" s="2086"/>
      <c r="AP152" s="2086"/>
      <c r="AQ152" s="2087"/>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8"/>
      <c r="C153" s="2049"/>
      <c r="D153" s="2049"/>
      <c r="E153" s="2049"/>
      <c r="F153" s="2049"/>
      <c r="G153" s="2049"/>
      <c r="H153" s="2049"/>
      <c r="I153" s="2086"/>
      <c r="J153" s="2086"/>
      <c r="K153" s="2086"/>
      <c r="L153" s="2086"/>
      <c r="M153" s="2086"/>
      <c r="N153" s="2086"/>
      <c r="O153" s="2086"/>
      <c r="P153" s="2086"/>
      <c r="Q153" s="2086"/>
      <c r="R153" s="2086"/>
      <c r="S153" s="2086"/>
      <c r="T153" s="2086"/>
      <c r="U153" s="2087"/>
      <c r="V153" s="1208"/>
      <c r="W153" s="1208"/>
      <c r="X153" s="2048"/>
      <c r="Y153" s="2049"/>
      <c r="Z153" s="2049"/>
      <c r="AA153" s="2049"/>
      <c r="AB153" s="2049"/>
      <c r="AC153" s="2049"/>
      <c r="AD153" s="2049"/>
      <c r="AE153" s="2086"/>
      <c r="AF153" s="2086"/>
      <c r="AG153" s="2086"/>
      <c r="AH153" s="2086"/>
      <c r="AI153" s="2086"/>
      <c r="AJ153" s="2086"/>
      <c r="AK153" s="2086"/>
      <c r="AL153" s="2086"/>
      <c r="AM153" s="2086"/>
      <c r="AN153" s="2086"/>
      <c r="AO153" s="2086"/>
      <c r="AP153" s="2086"/>
      <c r="AQ153" s="208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2" t="s">
        <v>2287</v>
      </c>
      <c r="C154" s="2083"/>
      <c r="D154" s="2083"/>
      <c r="E154" s="2083"/>
      <c r="F154" s="2083"/>
      <c r="G154" s="2083"/>
      <c r="H154" s="2083"/>
      <c r="I154" s="2084">
        <v>0</v>
      </c>
      <c r="J154" s="2084"/>
      <c r="K154" s="2084"/>
      <c r="L154" s="2084"/>
      <c r="M154" s="2084"/>
      <c r="N154" s="2084"/>
      <c r="O154" s="2084"/>
      <c r="P154" s="2084">
        <v>0</v>
      </c>
      <c r="Q154" s="2084"/>
      <c r="R154" s="2084"/>
      <c r="S154" s="2084"/>
      <c r="T154" s="2084"/>
      <c r="U154" s="2085"/>
      <c r="V154" s="1208"/>
      <c r="W154" s="1208"/>
      <c r="X154" s="2076" t="s">
        <v>2287</v>
      </c>
      <c r="Y154" s="2077"/>
      <c r="Z154" s="2077"/>
      <c r="AA154" s="2077"/>
      <c r="AB154" s="2077"/>
      <c r="AC154" s="2077"/>
      <c r="AD154" s="2077"/>
      <c r="AE154" s="2078">
        <v>0</v>
      </c>
      <c r="AF154" s="2078"/>
      <c r="AG154" s="2078"/>
      <c r="AH154" s="2078"/>
      <c r="AI154" s="2078"/>
      <c r="AJ154" s="2078"/>
      <c r="AK154" s="2078"/>
      <c r="AL154" s="2078">
        <v>0</v>
      </c>
      <c r="AM154" s="2078"/>
      <c r="AN154" s="2078"/>
      <c r="AO154" s="2078"/>
      <c r="AP154" s="2078"/>
      <c r="AQ154" s="207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6" t="s">
        <v>2286</v>
      </c>
      <c r="C155" s="2077"/>
      <c r="D155" s="2077"/>
      <c r="E155" s="2077"/>
      <c r="F155" s="2077"/>
      <c r="G155" s="2077"/>
      <c r="H155" s="2077"/>
      <c r="I155" s="2078">
        <v>0</v>
      </c>
      <c r="J155" s="2078"/>
      <c r="K155" s="2078"/>
      <c r="L155" s="2078"/>
      <c r="M155" s="2078"/>
      <c r="N155" s="2078"/>
      <c r="O155" s="2078"/>
      <c r="P155" s="2078">
        <v>0</v>
      </c>
      <c r="Q155" s="2078"/>
      <c r="R155" s="2078"/>
      <c r="S155" s="2078"/>
      <c r="T155" s="2078"/>
      <c r="U155" s="207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0" t="s">
        <v>2285</v>
      </c>
      <c r="D157" s="2036"/>
      <c r="E157" s="2036"/>
      <c r="F157" s="2036"/>
      <c r="G157" s="2036"/>
      <c r="H157" s="2036"/>
      <c r="I157" s="2036"/>
      <c r="J157" s="2036"/>
      <c r="K157" s="2036"/>
      <c r="L157" s="2036"/>
      <c r="M157" s="2036"/>
      <c r="N157" s="2036"/>
      <c r="O157" s="2036"/>
      <c r="P157" s="2036"/>
      <c r="Q157" s="2036"/>
      <c r="R157" s="2036"/>
      <c r="S157" s="2036"/>
      <c r="T157" s="2036"/>
      <c r="U157" s="2036"/>
      <c r="V157" s="2036"/>
      <c r="W157" s="2036"/>
      <c r="X157" s="2036"/>
      <c r="Y157" s="2036"/>
      <c r="Z157" s="2036"/>
      <c r="AA157" s="2036"/>
      <c r="AB157" s="2036"/>
      <c r="AC157" s="2036"/>
      <c r="AD157" s="2036"/>
      <c r="AE157" s="2036"/>
      <c r="AF157" s="2036"/>
      <c r="AG157" s="203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8" t="s">
        <v>2270</v>
      </c>
      <c r="D158" s="2049"/>
      <c r="E158" s="2049"/>
      <c r="F158" s="2049"/>
      <c r="G158" s="2049"/>
      <c r="H158" s="2049"/>
      <c r="I158" s="2049"/>
      <c r="J158" s="2049"/>
      <c r="K158" s="2049"/>
      <c r="L158" s="2049"/>
      <c r="M158" s="2049"/>
      <c r="N158" s="2049"/>
      <c r="O158" s="2049"/>
      <c r="P158" s="2049"/>
      <c r="Q158" s="2049" t="s">
        <v>2284</v>
      </c>
      <c r="R158" s="2049"/>
      <c r="S158" s="2049"/>
      <c r="T158" s="2081" t="s">
        <v>2283</v>
      </c>
      <c r="U158" s="2081"/>
      <c r="V158" s="2081"/>
      <c r="W158" s="2081"/>
      <c r="X158" s="2081"/>
      <c r="Y158" s="2081"/>
      <c r="Z158" s="2081"/>
      <c r="AA158" s="2081"/>
      <c r="AB158" s="2049" t="s">
        <v>2282</v>
      </c>
      <c r="AC158" s="2049"/>
      <c r="AD158" s="2049"/>
      <c r="AE158" s="2049"/>
      <c r="AF158" s="2049"/>
      <c r="AG158" s="205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3" t="s">
        <v>2281</v>
      </c>
      <c r="D159" s="2064"/>
      <c r="E159" s="2064"/>
      <c r="F159" s="2064"/>
      <c r="G159" s="2064"/>
      <c r="H159" s="2064"/>
      <c r="I159" s="2064"/>
      <c r="J159" s="2064"/>
      <c r="K159" s="2064"/>
      <c r="L159" s="2064"/>
      <c r="M159" s="2064"/>
      <c r="N159" s="2064"/>
      <c r="O159" s="2064"/>
      <c r="P159" s="2064"/>
      <c r="Q159" s="2006">
        <v>55</v>
      </c>
      <c r="R159" s="2006"/>
      <c r="S159" s="2006"/>
      <c r="T159" s="2057"/>
      <c r="U159" s="2057"/>
      <c r="V159" s="2057"/>
      <c r="W159" s="2057"/>
      <c r="X159" s="2057"/>
      <c r="Y159" s="2057"/>
      <c r="Z159" s="2057"/>
      <c r="AA159" s="2057"/>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3" t="s">
        <v>2280</v>
      </c>
      <c r="D160" s="2064"/>
      <c r="E160" s="2064"/>
      <c r="F160" s="2064"/>
      <c r="G160" s="2064"/>
      <c r="H160" s="2064"/>
      <c r="I160" s="2064"/>
      <c r="J160" s="2064"/>
      <c r="K160" s="2064"/>
      <c r="L160" s="2064"/>
      <c r="M160" s="2064"/>
      <c r="N160" s="2064"/>
      <c r="O160" s="2064"/>
      <c r="P160" s="2064"/>
      <c r="Q160" s="2006">
        <v>55</v>
      </c>
      <c r="R160" s="2006"/>
      <c r="S160" s="2006"/>
      <c r="T160" s="2066"/>
      <c r="U160" s="2066"/>
      <c r="V160" s="2066"/>
      <c r="W160" s="2066"/>
      <c r="X160" s="2066"/>
      <c r="Y160" s="2066"/>
      <c r="Z160" s="2066"/>
      <c r="AA160" s="206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3" t="s">
        <v>2279</v>
      </c>
      <c r="D161" s="2064"/>
      <c r="E161" s="2064"/>
      <c r="F161" s="2064"/>
      <c r="G161" s="2064"/>
      <c r="H161" s="2064"/>
      <c r="I161" s="2064"/>
      <c r="J161" s="2064"/>
      <c r="K161" s="2064"/>
      <c r="L161" s="2064"/>
      <c r="M161" s="2064"/>
      <c r="N161" s="2064"/>
      <c r="O161" s="2064"/>
      <c r="P161" s="2064"/>
      <c r="Q161" s="2006">
        <v>55</v>
      </c>
      <c r="R161" s="2006"/>
      <c r="S161" s="2006"/>
      <c r="T161" s="2057"/>
      <c r="U161" s="2057"/>
      <c r="V161" s="2057"/>
      <c r="W161" s="2057"/>
      <c r="X161" s="2057"/>
      <c r="Y161" s="2057"/>
      <c r="Z161" s="2057"/>
      <c r="AA161" s="205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3" t="s">
        <v>2278</v>
      </c>
      <c r="D162" s="2064"/>
      <c r="E162" s="2064"/>
      <c r="F162" s="2064"/>
      <c r="G162" s="2064"/>
      <c r="H162" s="2064"/>
      <c r="I162" s="2064"/>
      <c r="J162" s="2064"/>
      <c r="K162" s="2064"/>
      <c r="L162" s="2064"/>
      <c r="M162" s="2064"/>
      <c r="N162" s="2064"/>
      <c r="O162" s="2064"/>
      <c r="P162" s="2064"/>
      <c r="Q162" s="2006">
        <v>55</v>
      </c>
      <c r="R162" s="2006"/>
      <c r="S162" s="2006"/>
      <c r="T162" s="2057"/>
      <c r="U162" s="2057"/>
      <c r="V162" s="2057"/>
      <c r="W162" s="2057"/>
      <c r="X162" s="2057"/>
      <c r="Y162" s="2057"/>
      <c r="Z162" s="2057"/>
      <c r="AA162" s="2057"/>
      <c r="AB162" s="2067">
        <v>0</v>
      </c>
      <c r="AC162" s="2067"/>
      <c r="AD162" s="2067"/>
      <c r="AE162" s="2067"/>
      <c r="AF162" s="2067"/>
      <c r="AG162" s="206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3" t="s">
        <v>170</v>
      </c>
      <c r="D163" s="2064"/>
      <c r="E163" s="2064"/>
      <c r="F163" s="2065" t="s">
        <v>2259</v>
      </c>
      <c r="G163" s="2065"/>
      <c r="H163" s="2065"/>
      <c r="I163" s="2065"/>
      <c r="J163" s="2065"/>
      <c r="K163" s="2065"/>
      <c r="L163" s="2065"/>
      <c r="M163" s="2065"/>
      <c r="N163" s="2065"/>
      <c r="O163" s="2065"/>
      <c r="P163" s="2065"/>
      <c r="Q163" s="2006">
        <v>55</v>
      </c>
      <c r="R163" s="2006"/>
      <c r="S163" s="2006"/>
      <c r="T163" s="2066"/>
      <c r="U163" s="2066"/>
      <c r="V163" s="2066"/>
      <c r="W163" s="2066"/>
      <c r="X163" s="2066"/>
      <c r="Y163" s="2066"/>
      <c r="Z163" s="2066"/>
      <c r="AA163" s="2066"/>
      <c r="AB163" s="2067">
        <v>0</v>
      </c>
      <c r="AC163" s="2067"/>
      <c r="AD163" s="2067"/>
      <c r="AE163" s="2067"/>
      <c r="AF163" s="2067"/>
      <c r="AG163" s="206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3" t="s">
        <v>170</v>
      </c>
      <c r="D164" s="2064"/>
      <c r="E164" s="2064"/>
      <c r="F164" s="2065" t="s">
        <v>2259</v>
      </c>
      <c r="G164" s="2065"/>
      <c r="H164" s="2065"/>
      <c r="I164" s="2065"/>
      <c r="J164" s="2065"/>
      <c r="K164" s="2065"/>
      <c r="L164" s="2065"/>
      <c r="M164" s="2065"/>
      <c r="N164" s="2065"/>
      <c r="O164" s="2065"/>
      <c r="P164" s="2065"/>
      <c r="Q164" s="2006">
        <v>55</v>
      </c>
      <c r="R164" s="2006"/>
      <c r="S164" s="2006"/>
      <c r="T164" s="2066"/>
      <c r="U164" s="2066"/>
      <c r="V164" s="2066"/>
      <c r="W164" s="2066"/>
      <c r="X164" s="2066"/>
      <c r="Y164" s="2066"/>
      <c r="Z164" s="2066"/>
      <c r="AA164" s="2066"/>
      <c r="AB164" s="2067">
        <v>0</v>
      </c>
      <c r="AC164" s="2067"/>
      <c r="AD164" s="2067"/>
      <c r="AE164" s="2067"/>
      <c r="AF164" s="2067"/>
      <c r="AG164" s="2068"/>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9" t="s">
        <v>170</v>
      </c>
      <c r="D165" s="2070"/>
      <c r="E165" s="2070"/>
      <c r="F165" s="2071" t="s">
        <v>2259</v>
      </c>
      <c r="G165" s="2071"/>
      <c r="H165" s="2071"/>
      <c r="I165" s="2071"/>
      <c r="J165" s="2071"/>
      <c r="K165" s="2071"/>
      <c r="L165" s="2071"/>
      <c r="M165" s="2071"/>
      <c r="N165" s="2071"/>
      <c r="O165" s="2071"/>
      <c r="P165" s="2071"/>
      <c r="Q165" s="2072">
        <v>55</v>
      </c>
      <c r="R165" s="2072"/>
      <c r="S165" s="2072"/>
      <c r="T165" s="2073"/>
      <c r="U165" s="2073"/>
      <c r="V165" s="2073"/>
      <c r="W165" s="2073"/>
      <c r="X165" s="2073"/>
      <c r="Y165" s="2073"/>
      <c r="Z165" s="2073"/>
      <c r="AA165" s="2073"/>
      <c r="AB165" s="2074">
        <v>0</v>
      </c>
      <c r="AC165" s="2074"/>
      <c r="AD165" s="2074"/>
      <c r="AE165" s="2074"/>
      <c r="AF165" s="2074"/>
      <c r="AG165" s="207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4" t="s">
        <v>2277</v>
      </c>
      <c r="D167" s="2035"/>
      <c r="E167" s="2035"/>
      <c r="F167" s="2035"/>
      <c r="G167" s="2035"/>
      <c r="H167" s="2035"/>
      <c r="I167" s="2035"/>
      <c r="J167" s="2035"/>
      <c r="K167" s="2035"/>
      <c r="L167" s="2035"/>
      <c r="M167" s="2035"/>
      <c r="N167" s="2044"/>
      <c r="O167" s="1208"/>
      <c r="P167" s="2045" t="s">
        <v>2276</v>
      </c>
      <c r="Q167" s="2046"/>
      <c r="R167" s="2046"/>
      <c r="S167" s="2046"/>
      <c r="T167" s="2046"/>
      <c r="U167" s="2046"/>
      <c r="V167" s="2046"/>
      <c r="W167" s="2046"/>
      <c r="X167" s="2046"/>
      <c r="Y167" s="2046"/>
      <c r="Z167" s="2046"/>
      <c r="AA167" s="2046"/>
      <c r="AB167" s="2046"/>
      <c r="AC167" s="2046"/>
      <c r="AD167" s="2046"/>
      <c r="AE167" s="2046"/>
      <c r="AF167" s="2046"/>
      <c r="AG167" s="2046"/>
      <c r="AH167" s="2046"/>
      <c r="AI167" s="2046"/>
      <c r="AJ167" s="2046"/>
      <c r="AK167" s="2046"/>
      <c r="AL167" s="2046"/>
      <c r="AM167" s="2046"/>
      <c r="AN167" s="2046"/>
      <c r="AO167" s="204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8" t="s">
        <v>2275</v>
      </c>
      <c r="D168" s="2049"/>
      <c r="E168" s="2049"/>
      <c r="F168" s="2049"/>
      <c r="G168" s="2049"/>
      <c r="H168" s="2049"/>
      <c r="I168" s="2049" t="s">
        <v>2274</v>
      </c>
      <c r="J168" s="2049"/>
      <c r="K168" s="2049"/>
      <c r="L168" s="2049"/>
      <c r="M168" s="2049"/>
      <c r="N168" s="2050"/>
      <c r="O168" s="1208"/>
      <c r="P168" s="2051" t="s">
        <v>2273</v>
      </c>
      <c r="Q168" s="2052"/>
      <c r="R168" s="2052"/>
      <c r="S168" s="2052"/>
      <c r="T168" s="2052"/>
      <c r="U168" s="2052"/>
      <c r="V168" s="2052"/>
      <c r="W168" s="2052"/>
      <c r="X168" s="2052"/>
      <c r="Y168" s="2052"/>
      <c r="Z168" s="2052"/>
      <c r="AA168" s="2052"/>
      <c r="AB168" s="2052"/>
      <c r="AC168" s="2052"/>
      <c r="AD168" s="2052"/>
      <c r="AE168" s="2052"/>
      <c r="AF168" s="2052"/>
      <c r="AG168" s="2052"/>
      <c r="AH168" s="2052"/>
      <c r="AI168" s="2052"/>
      <c r="AJ168" s="2052"/>
      <c r="AK168" s="2052"/>
      <c r="AL168" s="2052"/>
      <c r="AM168" s="2052"/>
      <c r="AN168" s="2052"/>
      <c r="AO168" s="205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6"/>
      <c r="D169" s="1997"/>
      <c r="E169" s="1997"/>
      <c r="F169" s="1997"/>
      <c r="G169" s="1997"/>
      <c r="H169" s="1997"/>
      <c r="I169" s="2057"/>
      <c r="J169" s="2057"/>
      <c r="K169" s="2057"/>
      <c r="L169" s="2057"/>
      <c r="M169" s="2057"/>
      <c r="N169" s="2058"/>
      <c r="O169" s="1208"/>
      <c r="P169" s="2051"/>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AM169" s="2052"/>
      <c r="AN169" s="2052"/>
      <c r="AO169" s="205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6"/>
      <c r="D170" s="1997"/>
      <c r="E170" s="1997"/>
      <c r="F170" s="1997"/>
      <c r="G170" s="1997"/>
      <c r="H170" s="1997"/>
      <c r="I170" s="2057"/>
      <c r="J170" s="2057"/>
      <c r="K170" s="2057"/>
      <c r="L170" s="2057"/>
      <c r="M170" s="2057"/>
      <c r="N170" s="2058"/>
      <c r="O170" s="1208"/>
      <c r="P170" s="2051"/>
      <c r="Q170" s="2052"/>
      <c r="R170" s="2052"/>
      <c r="S170" s="2052"/>
      <c r="T170" s="2052"/>
      <c r="U170" s="2052"/>
      <c r="V170" s="2052"/>
      <c r="W170" s="2052"/>
      <c r="X170" s="2052"/>
      <c r="Y170" s="2052"/>
      <c r="Z170" s="2052"/>
      <c r="AA170" s="2052"/>
      <c r="AB170" s="2052"/>
      <c r="AC170" s="2052"/>
      <c r="AD170" s="2052"/>
      <c r="AE170" s="2052"/>
      <c r="AF170" s="2052"/>
      <c r="AG170" s="2052"/>
      <c r="AH170" s="2052"/>
      <c r="AI170" s="2052"/>
      <c r="AJ170" s="2052"/>
      <c r="AK170" s="2052"/>
      <c r="AL170" s="2052"/>
      <c r="AM170" s="2052"/>
      <c r="AN170" s="2052"/>
      <c r="AO170" s="205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6"/>
      <c r="D171" s="1997"/>
      <c r="E171" s="1997"/>
      <c r="F171" s="1997"/>
      <c r="G171" s="1997"/>
      <c r="H171" s="1997"/>
      <c r="I171" s="2057"/>
      <c r="J171" s="2057"/>
      <c r="K171" s="2057"/>
      <c r="L171" s="2057"/>
      <c r="M171" s="2057"/>
      <c r="N171" s="2058"/>
      <c r="O171" s="1208"/>
      <c r="P171" s="2051"/>
      <c r="Q171" s="2052"/>
      <c r="R171" s="2052"/>
      <c r="S171" s="2052"/>
      <c r="T171" s="2052"/>
      <c r="U171" s="2052"/>
      <c r="V171" s="2052"/>
      <c r="W171" s="2052"/>
      <c r="X171" s="2052"/>
      <c r="Y171" s="2052"/>
      <c r="Z171" s="2052"/>
      <c r="AA171" s="2052"/>
      <c r="AB171" s="2052"/>
      <c r="AC171" s="2052"/>
      <c r="AD171" s="2052"/>
      <c r="AE171" s="2052"/>
      <c r="AF171" s="2052"/>
      <c r="AG171" s="2052"/>
      <c r="AH171" s="2052"/>
      <c r="AI171" s="2052"/>
      <c r="AJ171" s="2052"/>
      <c r="AK171" s="2052"/>
      <c r="AL171" s="2052"/>
      <c r="AM171" s="2052"/>
      <c r="AN171" s="2052"/>
      <c r="AO171" s="205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6"/>
      <c r="D172" s="1997"/>
      <c r="E172" s="1997"/>
      <c r="F172" s="1997"/>
      <c r="G172" s="1997"/>
      <c r="H172" s="1997"/>
      <c r="I172" s="2057"/>
      <c r="J172" s="2057"/>
      <c r="K172" s="2057"/>
      <c r="L172" s="2057"/>
      <c r="M172" s="2057"/>
      <c r="N172" s="2058"/>
      <c r="O172" s="1208"/>
      <c r="P172" s="2051"/>
      <c r="Q172" s="2052"/>
      <c r="R172" s="2052"/>
      <c r="S172" s="2052"/>
      <c r="T172" s="2052"/>
      <c r="U172" s="2052"/>
      <c r="V172" s="2052"/>
      <c r="W172" s="2052"/>
      <c r="X172" s="2052"/>
      <c r="Y172" s="2052"/>
      <c r="Z172" s="2052"/>
      <c r="AA172" s="2052"/>
      <c r="AB172" s="2052"/>
      <c r="AC172" s="2052"/>
      <c r="AD172" s="2052"/>
      <c r="AE172" s="2052"/>
      <c r="AF172" s="2052"/>
      <c r="AG172" s="2052"/>
      <c r="AH172" s="2052"/>
      <c r="AI172" s="2052"/>
      <c r="AJ172" s="2052"/>
      <c r="AK172" s="2052"/>
      <c r="AL172" s="2052"/>
      <c r="AM172" s="2052"/>
      <c r="AN172" s="2052"/>
      <c r="AO172" s="205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6"/>
      <c r="D173" s="1997"/>
      <c r="E173" s="1997"/>
      <c r="F173" s="1997"/>
      <c r="G173" s="1997"/>
      <c r="H173" s="1997"/>
      <c r="I173" s="2057"/>
      <c r="J173" s="2057"/>
      <c r="K173" s="2057"/>
      <c r="L173" s="2057"/>
      <c r="M173" s="2057"/>
      <c r="N173" s="2058"/>
      <c r="O173" s="1208"/>
      <c r="P173" s="2051"/>
      <c r="Q173" s="2052"/>
      <c r="R173" s="2052"/>
      <c r="S173" s="2052"/>
      <c r="T173" s="2052"/>
      <c r="U173" s="2052"/>
      <c r="V173" s="2052"/>
      <c r="W173" s="2052"/>
      <c r="X173" s="2052"/>
      <c r="Y173" s="2052"/>
      <c r="Z173" s="2052"/>
      <c r="AA173" s="2052"/>
      <c r="AB173" s="2052"/>
      <c r="AC173" s="2052"/>
      <c r="AD173" s="2052"/>
      <c r="AE173" s="2052"/>
      <c r="AF173" s="2052"/>
      <c r="AG173" s="2052"/>
      <c r="AH173" s="2052"/>
      <c r="AI173" s="2052"/>
      <c r="AJ173" s="2052"/>
      <c r="AK173" s="2052"/>
      <c r="AL173" s="2052"/>
      <c r="AM173" s="2052"/>
      <c r="AN173" s="2052"/>
      <c r="AO173" s="205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6"/>
      <c r="D174" s="1997"/>
      <c r="E174" s="1997"/>
      <c r="F174" s="1997"/>
      <c r="G174" s="1997"/>
      <c r="H174" s="1997"/>
      <c r="I174" s="2057"/>
      <c r="J174" s="2057"/>
      <c r="K174" s="2057"/>
      <c r="L174" s="2057"/>
      <c r="M174" s="2057"/>
      <c r="N174" s="2058"/>
      <c r="O174" s="1208"/>
      <c r="P174" s="2051"/>
      <c r="Q174" s="2052"/>
      <c r="R174" s="2052"/>
      <c r="S174" s="2052"/>
      <c r="T174" s="2052"/>
      <c r="U174" s="2052"/>
      <c r="V174" s="2052"/>
      <c r="W174" s="2052"/>
      <c r="X174" s="2052"/>
      <c r="Y174" s="2052"/>
      <c r="Z174" s="2052"/>
      <c r="AA174" s="2052"/>
      <c r="AB174" s="2052"/>
      <c r="AC174" s="2052"/>
      <c r="AD174" s="2052"/>
      <c r="AE174" s="2052"/>
      <c r="AF174" s="2052"/>
      <c r="AG174" s="2052"/>
      <c r="AH174" s="2052"/>
      <c r="AI174" s="2052"/>
      <c r="AJ174" s="2052"/>
      <c r="AK174" s="2052"/>
      <c r="AL174" s="2052"/>
      <c r="AM174" s="2052"/>
      <c r="AN174" s="2052"/>
      <c r="AO174" s="205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9"/>
      <c r="D175" s="2060"/>
      <c r="E175" s="2060"/>
      <c r="F175" s="2060"/>
      <c r="G175" s="2060"/>
      <c r="H175" s="2060"/>
      <c r="I175" s="2061"/>
      <c r="J175" s="2061"/>
      <c r="K175" s="2061"/>
      <c r="L175" s="2061"/>
      <c r="M175" s="2061"/>
      <c r="N175" s="2062"/>
      <c r="O175" s="1208"/>
      <c r="P175" s="2054"/>
      <c r="Q175" s="2055"/>
      <c r="R175" s="2055"/>
      <c r="S175" s="2055"/>
      <c r="T175" s="2055"/>
      <c r="U175" s="2055"/>
      <c r="V175" s="2055"/>
      <c r="W175" s="2055"/>
      <c r="X175" s="2055"/>
      <c r="Y175" s="2055"/>
      <c r="Z175" s="2055"/>
      <c r="AA175" s="2055"/>
      <c r="AB175" s="2055"/>
      <c r="AC175" s="2055"/>
      <c r="AD175" s="2055"/>
      <c r="AE175" s="2055"/>
      <c r="AF175" s="2055"/>
      <c r="AG175" s="2055"/>
      <c r="AH175" s="2055"/>
      <c r="AI175" s="2055"/>
      <c r="AJ175" s="2055"/>
      <c r="AK175" s="2055"/>
      <c r="AL175" s="2055"/>
      <c r="AM175" s="2055"/>
      <c r="AN175" s="2055"/>
      <c r="AO175" s="205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5" t="s">
        <v>2272</v>
      </c>
      <c r="D177" s="2026"/>
      <c r="E177" s="2026"/>
      <c r="F177" s="2026"/>
      <c r="G177" s="2026"/>
      <c r="H177" s="2026"/>
      <c r="I177" s="2026"/>
      <c r="J177" s="2026"/>
      <c r="K177" s="2026"/>
      <c r="L177" s="2026"/>
      <c r="M177" s="2026"/>
      <c r="N177" s="2026"/>
      <c r="O177" s="2026"/>
      <c r="P177" s="2026"/>
      <c r="Q177" s="2026"/>
      <c r="R177" s="2026"/>
      <c r="S177" s="2026"/>
      <c r="T177" s="2026"/>
      <c r="U177" s="2026"/>
      <c r="V177" s="2026"/>
      <c r="W177" s="2026"/>
      <c r="X177" s="2026"/>
      <c r="Y177" s="2026"/>
      <c r="Z177" s="2026"/>
      <c r="AA177" s="2026"/>
      <c r="AB177" s="2026"/>
      <c r="AC177" s="2026"/>
      <c r="AD177" s="2026"/>
      <c r="AE177" s="2027"/>
      <c r="AF177" s="1208"/>
      <c r="AG177" s="1208"/>
      <c r="AH177" s="1910"/>
      <c r="AI177" s="1910"/>
      <c r="AJ177" s="1910"/>
      <c r="AK177" s="1910"/>
      <c r="AL177" s="1910"/>
      <c r="AM177" s="1910"/>
      <c r="AN177" s="1910"/>
      <c r="AO177" s="1910"/>
      <c r="AP177" s="1910"/>
      <c r="AQ177" s="1910"/>
      <c r="AR177" s="1910"/>
      <c r="AS177" s="1910"/>
      <c r="AT177" s="1910"/>
      <c r="AU177" s="1910"/>
      <c r="AV177" s="1910"/>
      <c r="AW177" s="1910"/>
      <c r="AX177" s="1910"/>
      <c r="AY177" s="1910"/>
      <c r="AZ177" s="1910"/>
      <c r="BA177" s="1910"/>
      <c r="BB177" s="1910"/>
      <c r="BC177" s="1910"/>
      <c r="BD177" s="1910"/>
      <c r="BE177" s="1910"/>
    </row>
    <row r="178" spans="1:57" ht="15.75" customHeight="1" thickBot="1">
      <c r="A178" s="1208"/>
      <c r="B178" s="1208"/>
      <c r="C178" s="2028"/>
      <c r="D178" s="2029"/>
      <c r="E178" s="2029"/>
      <c r="F178" s="2029"/>
      <c r="G178" s="2029"/>
      <c r="H178" s="2029"/>
      <c r="I178" s="2029"/>
      <c r="J178" s="2029"/>
      <c r="K178" s="2029"/>
      <c r="L178" s="2029"/>
      <c r="M178" s="2029"/>
      <c r="N178" s="2029"/>
      <c r="O178" s="2029"/>
      <c r="P178" s="2029"/>
      <c r="Q178" s="2029"/>
      <c r="R178" s="2029"/>
      <c r="S178" s="2029"/>
      <c r="T178" s="2029"/>
      <c r="U178" s="2029"/>
      <c r="V178" s="2029"/>
      <c r="W178" s="2029"/>
      <c r="X178" s="2029"/>
      <c r="Y178" s="2029"/>
      <c r="Z178" s="2029"/>
      <c r="AA178" s="2029"/>
      <c r="AB178" s="2029"/>
      <c r="AC178" s="2029"/>
      <c r="AD178" s="2029"/>
      <c r="AE178" s="2030"/>
      <c r="AF178" s="1208"/>
      <c r="AG178" s="1208"/>
      <c r="AH178" s="1910"/>
      <c r="AI178" s="1910"/>
      <c r="AJ178" s="1910"/>
      <c r="AK178" s="1910"/>
      <c r="AL178" s="1910"/>
      <c r="AM178" s="1910"/>
      <c r="AN178" s="1910"/>
      <c r="AO178" s="1910"/>
      <c r="AP178" s="1910"/>
      <c r="AQ178" s="1910"/>
      <c r="AR178" s="1910"/>
      <c r="AS178" s="1910"/>
      <c r="AT178" s="1910"/>
      <c r="AU178" s="1910"/>
      <c r="AV178" s="1910"/>
      <c r="AW178" s="1910"/>
      <c r="AX178" s="1910"/>
      <c r="AY178" s="1910"/>
      <c r="AZ178" s="1910"/>
      <c r="BA178" s="1910"/>
      <c r="BB178" s="1910"/>
      <c r="BC178" s="1910"/>
      <c r="BD178" s="1910"/>
      <c r="BE178" s="1910"/>
    </row>
    <row r="179" spans="1:57" ht="15.75" customHeight="1">
      <c r="A179" s="1208"/>
      <c r="B179" s="1208"/>
      <c r="C179" s="2034" t="s">
        <v>2270</v>
      </c>
      <c r="D179" s="2035"/>
      <c r="E179" s="2035"/>
      <c r="F179" s="2035"/>
      <c r="G179" s="2035"/>
      <c r="H179" s="2035"/>
      <c r="I179" s="2035"/>
      <c r="J179" s="2035"/>
      <c r="K179" s="2035"/>
      <c r="L179" s="2035"/>
      <c r="M179" s="2035"/>
      <c r="N179" s="2035" t="s">
        <v>2271</v>
      </c>
      <c r="O179" s="2035"/>
      <c r="P179" s="2035"/>
      <c r="Q179" s="2035"/>
      <c r="R179" s="2035"/>
      <c r="S179" s="2035"/>
      <c r="T179" s="2035"/>
      <c r="U179" s="2036" t="s">
        <v>2270</v>
      </c>
      <c r="V179" s="2036"/>
      <c r="W179" s="2036"/>
      <c r="X179" s="2036"/>
      <c r="Y179" s="2036"/>
      <c r="Z179" s="2036"/>
      <c r="AA179" s="2036"/>
      <c r="AB179" s="2036"/>
      <c r="AC179" s="2036"/>
      <c r="AD179" s="2036"/>
      <c r="AE179" s="2037"/>
      <c r="AF179" s="1208"/>
      <c r="AG179" s="1208"/>
      <c r="AH179" s="1910"/>
      <c r="AI179" s="1910"/>
      <c r="AJ179" s="1910"/>
      <c r="AK179" s="1910"/>
      <c r="AL179" s="1910"/>
      <c r="AM179" s="1910"/>
      <c r="AN179" s="1910"/>
      <c r="AO179" s="1910"/>
      <c r="AP179" s="1910"/>
      <c r="AQ179" s="1910"/>
      <c r="AR179" s="1910"/>
      <c r="AS179" s="1910"/>
      <c r="AT179" s="1910"/>
      <c r="AU179" s="1910"/>
      <c r="AV179" s="1910"/>
      <c r="AW179" s="1910"/>
      <c r="AX179" s="1910"/>
      <c r="AY179" s="1910"/>
      <c r="AZ179" s="1910"/>
      <c r="BA179" s="1910"/>
      <c r="BB179" s="1910"/>
      <c r="BC179" s="1910"/>
      <c r="BD179" s="1910"/>
      <c r="BE179" s="1910"/>
    </row>
    <row r="180" spans="1:57" ht="15.75" customHeight="1">
      <c r="A180" s="1208"/>
      <c r="B180" s="1208"/>
      <c r="C180" s="2013" t="s">
        <v>2269</v>
      </c>
      <c r="D180" s="2014"/>
      <c r="E180" s="2014"/>
      <c r="F180" s="2014"/>
      <c r="G180" s="2014"/>
      <c r="H180" s="2014"/>
      <c r="I180" s="2014"/>
      <c r="J180" s="2014"/>
      <c r="K180" s="2014"/>
      <c r="L180" s="2014"/>
      <c r="M180" s="2014"/>
      <c r="N180" s="2024">
        <f>'Sources and Uses Budget'!B105</f>
        <v>26143091</v>
      </c>
      <c r="O180" s="2024"/>
      <c r="P180" s="2024"/>
      <c r="Q180" s="2024"/>
      <c r="R180" s="2024"/>
      <c r="S180" s="2024"/>
      <c r="T180" s="2024"/>
      <c r="U180" s="2038"/>
      <c r="V180" s="2038"/>
      <c r="W180" s="2038"/>
      <c r="X180" s="2038"/>
      <c r="Y180" s="2038"/>
      <c r="Z180" s="2038"/>
      <c r="AA180" s="2038"/>
      <c r="AB180" s="2038"/>
      <c r="AC180" s="2038"/>
      <c r="AD180" s="2038"/>
      <c r="AE180" s="2039"/>
      <c r="AF180" s="1208"/>
      <c r="AG180" s="1208"/>
      <c r="AH180" s="1910"/>
      <c r="AI180" s="1910"/>
      <c r="AJ180" s="1910"/>
      <c r="AK180" s="1910"/>
      <c r="AL180" s="1910"/>
      <c r="AM180" s="1910"/>
      <c r="AN180" s="1910"/>
      <c r="AO180" s="1910"/>
      <c r="AP180" s="1910"/>
      <c r="AQ180" s="1910"/>
      <c r="AR180" s="1910"/>
      <c r="AS180" s="1910"/>
      <c r="AT180" s="1910"/>
      <c r="AU180" s="1910"/>
      <c r="AV180" s="1910"/>
      <c r="AW180" s="1910"/>
      <c r="AX180" s="1910"/>
      <c r="AY180" s="1910"/>
      <c r="AZ180" s="1910"/>
      <c r="BA180" s="1910"/>
      <c r="BB180" s="1910"/>
      <c r="BC180" s="1910"/>
      <c r="BD180" s="1910"/>
      <c r="BE180" s="1910"/>
    </row>
    <row r="181" spans="1:57" ht="15.75" customHeight="1">
      <c r="A181" s="1208"/>
      <c r="B181" s="1208"/>
      <c r="C181" s="2013" t="s">
        <v>2268</v>
      </c>
      <c r="D181" s="2014"/>
      <c r="E181" s="2014"/>
      <c r="F181" s="2014"/>
      <c r="G181" s="2014"/>
      <c r="H181" s="2014"/>
      <c r="I181" s="2014"/>
      <c r="J181" s="2014"/>
      <c r="K181" s="2014"/>
      <c r="L181" s="2014"/>
      <c r="M181" s="2014"/>
      <c r="N181" s="2024">
        <f>N180/J29</f>
        <v>2178590.9166666665</v>
      </c>
      <c r="O181" s="2024"/>
      <c r="P181" s="2024"/>
      <c r="Q181" s="2024"/>
      <c r="R181" s="2024"/>
      <c r="S181" s="2024"/>
      <c r="T181" s="2024"/>
      <c r="U181" s="1248"/>
      <c r="V181" s="1248"/>
      <c r="W181" s="1248"/>
      <c r="X181" s="1248"/>
      <c r="Y181" s="1248"/>
      <c r="Z181" s="1248"/>
      <c r="AA181" s="1248"/>
      <c r="AB181" s="1248"/>
      <c r="AC181" s="1248"/>
      <c r="AD181" s="1248"/>
      <c r="AE181" s="1249"/>
      <c r="AF181" s="1208"/>
      <c r="AG181" s="1208"/>
      <c r="AH181" s="1910"/>
      <c r="AI181" s="1910"/>
      <c r="AJ181" s="1910"/>
      <c r="AK181" s="1910"/>
      <c r="AL181" s="1910"/>
      <c r="AM181" s="1910"/>
      <c r="AN181" s="1910"/>
      <c r="AO181" s="1910"/>
      <c r="AP181" s="1910"/>
      <c r="AQ181" s="1910"/>
      <c r="AR181" s="1910"/>
      <c r="AS181" s="1910"/>
      <c r="AT181" s="1910"/>
      <c r="AU181" s="1910"/>
      <c r="AV181" s="1910"/>
      <c r="AW181" s="1910"/>
      <c r="AX181" s="1910"/>
      <c r="AY181" s="1910"/>
      <c r="AZ181" s="1910"/>
      <c r="BA181" s="1910"/>
      <c r="BB181" s="1910"/>
      <c r="BC181" s="1910"/>
      <c r="BD181" s="1910"/>
      <c r="BE181" s="1910"/>
    </row>
    <row r="182" spans="1:57" ht="15.75" customHeight="1">
      <c r="A182" s="1208"/>
      <c r="B182" s="1208"/>
      <c r="C182" s="2040" t="s">
        <v>2267</v>
      </c>
      <c r="D182" s="2041"/>
      <c r="E182" s="2041"/>
      <c r="F182" s="2041"/>
      <c r="G182" s="2041"/>
      <c r="H182" s="2041"/>
      <c r="I182" s="2041"/>
      <c r="J182" s="2041"/>
      <c r="K182" s="2041"/>
      <c r="L182" s="2041"/>
      <c r="M182" s="2041"/>
      <c r="N182" s="2042">
        <v>0</v>
      </c>
      <c r="O182" s="2042"/>
      <c r="P182" s="2042"/>
      <c r="Q182" s="2042"/>
      <c r="R182" s="2042"/>
      <c r="S182" s="2042"/>
      <c r="T182" s="2042"/>
      <c r="U182" s="2000"/>
      <c r="V182" s="2000"/>
      <c r="W182" s="2000"/>
      <c r="X182" s="2000"/>
      <c r="Y182" s="2000"/>
      <c r="Z182" s="2000"/>
      <c r="AA182" s="2000"/>
      <c r="AB182" s="2000"/>
      <c r="AC182" s="2000"/>
      <c r="AD182" s="2000"/>
      <c r="AE182" s="2001"/>
      <c r="AF182" s="1208"/>
      <c r="AG182" s="1208"/>
      <c r="AH182" s="1910"/>
      <c r="AI182" s="1910"/>
      <c r="AJ182" s="1910"/>
      <c r="AK182" s="1910"/>
      <c r="AL182" s="1910"/>
      <c r="AM182" s="1910"/>
      <c r="AN182" s="1910"/>
      <c r="AO182" s="1910"/>
      <c r="AP182" s="1910"/>
      <c r="AQ182" s="1910"/>
      <c r="AR182" s="1910"/>
      <c r="AS182" s="1910"/>
      <c r="AT182" s="1910"/>
      <c r="AU182" s="1910"/>
      <c r="AV182" s="1910"/>
      <c r="AW182" s="1910"/>
      <c r="AX182" s="1910"/>
      <c r="AY182" s="1910"/>
      <c r="AZ182" s="1910"/>
      <c r="BA182" s="1910"/>
      <c r="BB182" s="1910"/>
      <c r="BC182" s="1910"/>
      <c r="BD182" s="1910"/>
      <c r="BE182" s="1910"/>
    </row>
    <row r="183" spans="1:57" ht="15.75" customHeight="1" thickBot="1">
      <c r="A183" s="1208"/>
      <c r="B183" s="1208"/>
      <c r="C183" s="2013" t="s">
        <v>2266</v>
      </c>
      <c r="D183" s="2014"/>
      <c r="E183" s="2014"/>
      <c r="F183" s="2014"/>
      <c r="G183" s="2014"/>
      <c r="H183" s="2014"/>
      <c r="I183" s="2014"/>
      <c r="J183" s="2014"/>
      <c r="K183" s="2014"/>
      <c r="L183" s="2014"/>
      <c r="M183" s="2014"/>
      <c r="N183" s="2043">
        <f>SUM('Sources and Uses Budget'!B85:B86)</f>
        <v>912319</v>
      </c>
      <c r="O183" s="2043"/>
      <c r="P183" s="2043"/>
      <c r="Q183" s="2043"/>
      <c r="R183" s="2043"/>
      <c r="S183" s="2043"/>
      <c r="T183" s="2043"/>
      <c r="U183" s="2000"/>
      <c r="V183" s="2000"/>
      <c r="W183" s="2000"/>
      <c r="X183" s="2000"/>
      <c r="Y183" s="2000"/>
      <c r="Z183" s="2000"/>
      <c r="AA183" s="2000"/>
      <c r="AB183" s="2000"/>
      <c r="AC183" s="2000"/>
      <c r="AD183" s="2000"/>
      <c r="AE183" s="2001"/>
      <c r="AF183" s="1208"/>
      <c r="AG183" s="1208"/>
      <c r="AH183" s="1910"/>
      <c r="AI183" s="1910"/>
      <c r="AJ183" s="1910"/>
      <c r="AK183" s="1910"/>
      <c r="AL183" s="1910"/>
      <c r="AM183" s="1910"/>
      <c r="AN183" s="1910"/>
      <c r="AO183" s="1910"/>
      <c r="AP183" s="1910"/>
      <c r="AQ183" s="1910"/>
      <c r="AR183" s="1910"/>
      <c r="AS183" s="1910"/>
      <c r="AT183" s="1910"/>
      <c r="AU183" s="1910"/>
      <c r="AV183" s="1910"/>
      <c r="AW183" s="1910"/>
      <c r="AX183" s="1910"/>
      <c r="AY183" s="1910"/>
      <c r="AZ183" s="1910"/>
      <c r="BA183" s="1910"/>
      <c r="BB183" s="1910"/>
      <c r="BC183" s="1910"/>
      <c r="BD183" s="1910"/>
      <c r="BE183" s="1910"/>
    </row>
    <row r="184" spans="1:57" ht="15.75" customHeight="1" thickBot="1">
      <c r="A184" s="1208"/>
      <c r="B184" s="1208"/>
      <c r="C184" s="2013" t="s">
        <v>2265</v>
      </c>
      <c r="D184" s="2014"/>
      <c r="E184" s="2014"/>
      <c r="F184" s="2014"/>
      <c r="G184" s="2014"/>
      <c r="H184" s="2014"/>
      <c r="I184" s="2014"/>
      <c r="J184" s="2014"/>
      <c r="K184" s="2014"/>
      <c r="L184" s="2014"/>
      <c r="M184" s="2014"/>
      <c r="N184" s="2043">
        <f>'Sources and Uses Budget'!B8</f>
        <v>1817497</v>
      </c>
      <c r="O184" s="2043"/>
      <c r="P184" s="2043"/>
      <c r="Q184" s="2043"/>
      <c r="R184" s="2043"/>
      <c r="S184" s="2043"/>
      <c r="T184" s="2043"/>
      <c r="U184" s="2000"/>
      <c r="V184" s="2000"/>
      <c r="W184" s="2000"/>
      <c r="X184" s="2000"/>
      <c r="Y184" s="2000"/>
      <c r="Z184" s="2000"/>
      <c r="AA184" s="2000"/>
      <c r="AB184" s="2000"/>
      <c r="AC184" s="2000"/>
      <c r="AD184" s="2000"/>
      <c r="AE184" s="2001"/>
      <c r="AF184" s="1208"/>
      <c r="AG184" s="1208"/>
      <c r="AH184" s="2010" t="s">
        <v>2263</v>
      </c>
      <c r="AI184" s="2011"/>
      <c r="AJ184" s="2011"/>
      <c r="AK184" s="2011"/>
      <c r="AL184" s="2011"/>
      <c r="AM184" s="2011"/>
      <c r="AN184" s="2011"/>
      <c r="AO184" s="2011"/>
      <c r="AP184" s="2011"/>
      <c r="AQ184" s="2011"/>
      <c r="AR184" s="2011"/>
      <c r="AS184" s="2011"/>
      <c r="AT184" s="2011"/>
      <c r="AU184" s="2011"/>
      <c r="AV184" s="2011"/>
      <c r="AW184" s="2011"/>
      <c r="AX184" s="2011"/>
      <c r="AY184" s="2011"/>
      <c r="AZ184" s="2011"/>
      <c r="BA184" s="2011"/>
      <c r="BB184" s="2011"/>
      <c r="BC184" s="2011"/>
      <c r="BD184" s="2011"/>
      <c r="BE184" s="2012"/>
    </row>
    <row r="185" spans="1:57" ht="15.75" customHeight="1">
      <c r="A185" s="1208"/>
      <c r="B185" s="1208"/>
      <c r="C185" s="2013" t="s">
        <v>2264</v>
      </c>
      <c r="D185" s="2014"/>
      <c r="E185" s="2014"/>
      <c r="F185" s="2014"/>
      <c r="G185" s="2014"/>
      <c r="H185" s="2014"/>
      <c r="I185" s="2014"/>
      <c r="J185" s="2014"/>
      <c r="K185" s="2014"/>
      <c r="L185" s="2014"/>
      <c r="M185" s="2014"/>
      <c r="N185" s="1999">
        <v>0</v>
      </c>
      <c r="O185" s="1999"/>
      <c r="P185" s="1999"/>
      <c r="Q185" s="1999"/>
      <c r="R185" s="1999"/>
      <c r="S185" s="1999"/>
      <c r="T185" s="1999"/>
      <c r="U185" s="2000"/>
      <c r="V185" s="2000"/>
      <c r="W185" s="2000"/>
      <c r="X185" s="2000"/>
      <c r="Y185" s="2000"/>
      <c r="Z185" s="2000"/>
      <c r="AA185" s="2000"/>
      <c r="AB185" s="2000"/>
      <c r="AC185" s="2000"/>
      <c r="AD185" s="2000"/>
      <c r="AE185" s="2001"/>
      <c r="AF185" s="1208"/>
      <c r="AG185" s="1208"/>
      <c r="AH185" s="2015" t="s">
        <v>2263</v>
      </c>
      <c r="AI185" s="2016"/>
      <c r="AJ185" s="2016"/>
      <c r="AK185" s="2016"/>
      <c r="AL185" s="2016"/>
      <c r="AM185" s="2016"/>
      <c r="AN185" s="2016"/>
      <c r="AO185" s="2016"/>
      <c r="AP185" s="2016"/>
      <c r="AQ185" s="2016"/>
      <c r="AR185" s="2016"/>
      <c r="AS185" s="2016"/>
      <c r="AT185" s="2016"/>
      <c r="AU185" s="2017">
        <v>0</v>
      </c>
      <c r="AV185" s="2017"/>
      <c r="AW185" s="2017"/>
      <c r="AX185" s="2017"/>
      <c r="AY185" s="2017"/>
      <c r="AZ185" s="2017"/>
      <c r="BA185" s="2017"/>
      <c r="BB185" s="2017"/>
      <c r="BC185" s="2018"/>
      <c r="BD185" s="2019"/>
      <c r="BE185" s="2020"/>
    </row>
    <row r="186" spans="1:57" ht="15.75" customHeight="1">
      <c r="A186" s="1208"/>
      <c r="B186" s="1208"/>
      <c r="C186" s="2013" t="s">
        <v>2262</v>
      </c>
      <c r="D186" s="2014"/>
      <c r="E186" s="2014"/>
      <c r="F186" s="2014"/>
      <c r="G186" s="2014"/>
      <c r="H186" s="2014"/>
      <c r="I186" s="2014"/>
      <c r="J186" s="2014"/>
      <c r="K186" s="2014"/>
      <c r="L186" s="2014"/>
      <c r="M186" s="2014"/>
      <c r="N186" s="1999">
        <v>0</v>
      </c>
      <c r="O186" s="1999"/>
      <c r="P186" s="1999"/>
      <c r="Q186" s="1999"/>
      <c r="R186" s="1999"/>
      <c r="S186" s="1999"/>
      <c r="T186" s="1999"/>
      <c r="U186" s="2000"/>
      <c r="V186" s="2000"/>
      <c r="W186" s="2000"/>
      <c r="X186" s="2000"/>
      <c r="Y186" s="2000"/>
      <c r="Z186" s="2000"/>
      <c r="AA186" s="2000"/>
      <c r="AB186" s="2000"/>
      <c r="AC186" s="2000"/>
      <c r="AD186" s="2000"/>
      <c r="AE186" s="2001"/>
      <c r="AF186" s="1208"/>
      <c r="AG186" s="1208"/>
      <c r="AH186" s="2031" t="s">
        <v>2261</v>
      </c>
      <c r="AI186" s="2032"/>
      <c r="AJ186" s="2032"/>
      <c r="AK186" s="2032"/>
      <c r="AL186" s="2032"/>
      <c r="AM186" s="2032"/>
      <c r="AN186" s="2032"/>
      <c r="AO186" s="2032"/>
      <c r="AP186" s="2032"/>
      <c r="AQ186" s="2032"/>
      <c r="AR186" s="2032"/>
      <c r="AS186" s="2032"/>
      <c r="AT186" s="2032"/>
      <c r="AU186" s="2033"/>
      <c r="AV186" s="2033"/>
      <c r="AW186" s="2033"/>
      <c r="AX186" s="2033"/>
      <c r="AY186" s="2033"/>
      <c r="AZ186" s="2033"/>
      <c r="BA186" s="2033"/>
      <c r="BB186" s="2033"/>
      <c r="BC186" s="2021"/>
      <c r="BD186" s="2022"/>
      <c r="BE186" s="2023"/>
    </row>
    <row r="187" spans="1:57" ht="15.75" customHeight="1">
      <c r="A187" s="1208"/>
      <c r="B187" s="1208"/>
      <c r="C187" s="2005" t="s">
        <v>300</v>
      </c>
      <c r="D187" s="2006"/>
      <c r="E187" s="1998" t="s">
        <v>2259</v>
      </c>
      <c r="F187" s="1998"/>
      <c r="G187" s="1998"/>
      <c r="H187" s="1998"/>
      <c r="I187" s="1998"/>
      <c r="J187" s="1998"/>
      <c r="K187" s="1998"/>
      <c r="L187" s="1998"/>
      <c r="M187" s="1998"/>
      <c r="N187" s="1999">
        <v>0</v>
      </c>
      <c r="O187" s="1999"/>
      <c r="P187" s="1999"/>
      <c r="Q187" s="1999"/>
      <c r="R187" s="1999"/>
      <c r="S187" s="1999"/>
      <c r="T187" s="1999"/>
      <c r="U187" s="2000"/>
      <c r="V187" s="2000"/>
      <c r="W187" s="2000"/>
      <c r="X187" s="2000"/>
      <c r="Y187" s="2000"/>
      <c r="Z187" s="2000"/>
      <c r="AA187" s="2000"/>
      <c r="AB187" s="2000"/>
      <c r="AC187" s="2000"/>
      <c r="AD187" s="2000"/>
      <c r="AE187" s="2001"/>
      <c r="AF187" s="1208"/>
      <c r="AG187" s="1208"/>
      <c r="AH187" s="2007" t="s">
        <v>2260</v>
      </c>
      <c r="AI187" s="2008"/>
      <c r="AJ187" s="2008"/>
      <c r="AK187" s="2008"/>
      <c r="AL187" s="2008"/>
      <c r="AM187" s="2008"/>
      <c r="AN187" s="2008"/>
      <c r="AO187" s="2008"/>
      <c r="AP187" s="2008"/>
      <c r="AQ187" s="2008"/>
      <c r="AR187" s="2008"/>
      <c r="AS187" s="2008"/>
      <c r="AT187" s="2008"/>
      <c r="AU187" s="2009">
        <f>SUM(AU185:BB186)</f>
        <v>0</v>
      </c>
      <c r="AV187" s="2009"/>
      <c r="AW187" s="2009"/>
      <c r="AX187" s="2009"/>
      <c r="AY187" s="2009"/>
      <c r="AZ187" s="2009"/>
      <c r="BA187" s="2009"/>
      <c r="BB187" s="2009"/>
      <c r="BC187" s="2021"/>
      <c r="BD187" s="2022"/>
      <c r="BE187" s="2023"/>
    </row>
    <row r="188" spans="1:57" ht="15.75" customHeight="1" thickBot="1">
      <c r="A188" s="1208"/>
      <c r="B188" s="1208"/>
      <c r="C188" s="1996" t="s">
        <v>300</v>
      </c>
      <c r="D188" s="1997"/>
      <c r="E188" s="1998" t="s">
        <v>2259</v>
      </c>
      <c r="F188" s="1998"/>
      <c r="G188" s="1998"/>
      <c r="H188" s="1998"/>
      <c r="I188" s="1998"/>
      <c r="J188" s="1998"/>
      <c r="K188" s="1998"/>
      <c r="L188" s="1998"/>
      <c r="M188" s="1998"/>
      <c r="N188" s="1999">
        <v>0</v>
      </c>
      <c r="O188" s="1999"/>
      <c r="P188" s="1999"/>
      <c r="Q188" s="1999"/>
      <c r="R188" s="1999"/>
      <c r="S188" s="1999"/>
      <c r="T188" s="1999"/>
      <c r="U188" s="2000"/>
      <c r="V188" s="2000"/>
      <c r="W188" s="2000"/>
      <c r="X188" s="2000"/>
      <c r="Y188" s="2000"/>
      <c r="Z188" s="2000"/>
      <c r="AA188" s="2000"/>
      <c r="AB188" s="2000"/>
      <c r="AC188" s="2000"/>
      <c r="AD188" s="2000"/>
      <c r="AE188" s="200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2"/>
      <c r="BD188" s="2003"/>
      <c r="BE188" s="2004"/>
    </row>
    <row r="189" spans="1:57" ht="15.75" customHeight="1" thickBot="1">
      <c r="A189" s="1208"/>
      <c r="B189" s="1208"/>
      <c r="C189" s="1984" t="s">
        <v>300</v>
      </c>
      <c r="D189" s="1985"/>
      <c r="E189" s="1986" t="s">
        <v>2259</v>
      </c>
      <c r="F189" s="1986"/>
      <c r="G189" s="1986"/>
      <c r="H189" s="1986"/>
      <c r="I189" s="1986"/>
      <c r="J189" s="1986"/>
      <c r="K189" s="1986"/>
      <c r="L189" s="1986"/>
      <c r="M189" s="1987"/>
      <c r="N189" s="1988">
        <v>0</v>
      </c>
      <c r="O189" s="1988"/>
      <c r="P189" s="1988"/>
      <c r="Q189" s="1988"/>
      <c r="R189" s="1988"/>
      <c r="S189" s="1988"/>
      <c r="T189" s="1989"/>
      <c r="U189" s="1990"/>
      <c r="V189" s="1991"/>
      <c r="W189" s="1991"/>
      <c r="X189" s="1991"/>
      <c r="Y189" s="1991"/>
      <c r="Z189" s="1991"/>
      <c r="AA189" s="1991"/>
      <c r="AB189" s="1991"/>
      <c r="AC189" s="1991"/>
      <c r="AD189" s="1991"/>
      <c r="AE189" s="1992"/>
      <c r="AF189" s="1208"/>
      <c r="AG189" s="1208"/>
      <c r="AH189" s="1993" t="s">
        <v>2258</v>
      </c>
      <c r="AI189" s="1994"/>
      <c r="AJ189" s="1994"/>
      <c r="AK189" s="1994"/>
      <c r="AL189" s="1994"/>
      <c r="AM189" s="1994"/>
      <c r="AN189" s="1994"/>
      <c r="AO189" s="1994"/>
      <c r="AP189" s="1994"/>
      <c r="AQ189" s="1994"/>
      <c r="AR189" s="1994"/>
      <c r="AS189" s="1994"/>
      <c r="AT189" s="1994"/>
      <c r="AU189" s="1995"/>
      <c r="AV189" s="1995"/>
      <c r="AW189" s="1995"/>
      <c r="AX189" s="1995"/>
      <c r="AY189" s="1995"/>
      <c r="AZ189" s="1995"/>
      <c r="BA189" s="1995"/>
      <c r="BB189" s="1995"/>
      <c r="BC189" s="1164"/>
      <c r="BD189" s="1164"/>
      <c r="BE189" s="1252"/>
    </row>
    <row r="190" spans="1:57" ht="15.75" customHeight="1">
      <c r="A190" s="1208"/>
      <c r="B190" s="1208"/>
      <c r="C190" s="1967" t="s">
        <v>2257</v>
      </c>
      <c r="D190" s="1968"/>
      <c r="E190" s="1968"/>
      <c r="F190" s="1968"/>
      <c r="G190" s="1968"/>
      <c r="H190" s="1968"/>
      <c r="I190" s="1968"/>
      <c r="J190" s="1968"/>
      <c r="K190" s="1968"/>
      <c r="L190" s="1968"/>
      <c r="M190" s="1968"/>
      <c r="N190" s="1969">
        <f>SUM(N182:T189)</f>
        <v>2729816</v>
      </c>
      <c r="O190" s="1969"/>
      <c r="P190" s="1969"/>
      <c r="Q190" s="1969"/>
      <c r="R190" s="1969"/>
      <c r="S190" s="1969"/>
      <c r="T190" s="1970"/>
      <c r="U190" s="1208"/>
      <c r="V190" s="1208"/>
      <c r="W190" s="1208"/>
      <c r="X190" s="1208"/>
      <c r="Y190" s="1208"/>
      <c r="Z190" s="1208"/>
      <c r="AA190" s="1208"/>
      <c r="AB190" s="1208"/>
      <c r="AC190" s="1208"/>
      <c r="AD190" s="1208"/>
      <c r="AE190" s="1208"/>
      <c r="AF190" s="1208"/>
      <c r="AG190" s="1208"/>
      <c r="AH190" s="1971" t="s">
        <v>2256</v>
      </c>
      <c r="AI190" s="1972"/>
      <c r="AJ190" s="1972"/>
      <c r="AK190" s="1972"/>
      <c r="AL190" s="1972"/>
      <c r="AM190" s="1972"/>
      <c r="AN190" s="1972"/>
      <c r="AO190" s="1972"/>
      <c r="AP190" s="1972"/>
      <c r="AQ190" s="1972"/>
      <c r="AR190" s="1972"/>
      <c r="AS190" s="1972"/>
      <c r="AT190" s="1972"/>
      <c r="AU190" s="1972"/>
      <c r="AV190" s="1972"/>
      <c r="AW190" s="1972"/>
      <c r="AX190" s="1972"/>
      <c r="AY190" s="1972"/>
      <c r="AZ190" s="1972"/>
      <c r="BA190" s="1972"/>
      <c r="BB190" s="1972"/>
      <c r="BC190" s="1972"/>
      <c r="BD190" s="1972"/>
      <c r="BE190" s="1973"/>
    </row>
    <row r="191" spans="1:57" ht="15.75" customHeight="1" thickBot="1">
      <c r="A191" s="1208"/>
      <c r="B191" s="1208"/>
      <c r="C191" s="1977" t="s">
        <v>2255</v>
      </c>
      <c r="D191" s="1978"/>
      <c r="E191" s="1978"/>
      <c r="F191" s="1978"/>
      <c r="G191" s="1978"/>
      <c r="H191" s="1978"/>
      <c r="I191" s="1978"/>
      <c r="J191" s="1978"/>
      <c r="K191" s="1978"/>
      <c r="L191" s="1978"/>
      <c r="M191" s="1978"/>
      <c r="N191" s="1979">
        <f>(N180-N190)/J29</f>
        <v>1951106.25</v>
      </c>
      <c r="O191" s="1980"/>
      <c r="P191" s="1980"/>
      <c r="Q191" s="1980"/>
      <c r="R191" s="1980"/>
      <c r="S191" s="1980"/>
      <c r="T191" s="1981"/>
      <c r="U191" s="1216"/>
      <c r="V191" s="1208"/>
      <c r="W191" s="1208"/>
      <c r="X191" s="1208"/>
      <c r="Y191" s="1208"/>
      <c r="Z191" s="1208"/>
      <c r="AA191" s="1208"/>
      <c r="AB191" s="1208"/>
      <c r="AC191" s="1208"/>
      <c r="AD191" s="1208"/>
      <c r="AE191" s="1208"/>
      <c r="AF191" s="1208"/>
      <c r="AG191" s="1208"/>
      <c r="AH191" s="1974"/>
      <c r="AI191" s="1975"/>
      <c r="AJ191" s="1975"/>
      <c r="AK191" s="1975"/>
      <c r="AL191" s="1975"/>
      <c r="AM191" s="1975"/>
      <c r="AN191" s="1975"/>
      <c r="AO191" s="1975"/>
      <c r="AP191" s="1975"/>
      <c r="AQ191" s="1975"/>
      <c r="AR191" s="1975"/>
      <c r="AS191" s="1975"/>
      <c r="AT191" s="1975"/>
      <c r="AU191" s="1975"/>
      <c r="AV191" s="1975"/>
      <c r="AW191" s="1975"/>
      <c r="AX191" s="1975"/>
      <c r="AY191" s="1975"/>
      <c r="AZ191" s="1975"/>
      <c r="BA191" s="1975"/>
      <c r="BB191" s="1975"/>
      <c r="BC191" s="1975"/>
      <c r="BD191" s="1975"/>
      <c r="BE191" s="197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2"/>
      <c r="AI192" s="1982"/>
      <c r="AJ192" s="1982"/>
      <c r="AK192" s="1982"/>
      <c r="AL192" s="1982"/>
      <c r="AM192" s="1982"/>
      <c r="AN192" s="1982"/>
      <c r="AO192" s="1982"/>
      <c r="AP192" s="1982"/>
      <c r="AQ192" s="1982"/>
      <c r="AR192" s="1982"/>
      <c r="AS192" s="1983"/>
      <c r="AT192" s="1983"/>
      <c r="AU192" s="1983"/>
      <c r="AV192" s="1983"/>
      <c r="AW192" s="1983"/>
      <c r="AX192" s="1983"/>
      <c r="AY192" s="1983"/>
      <c r="AZ192" s="1983"/>
      <c r="BA192" s="1983"/>
      <c r="BB192" s="1983"/>
      <c r="BC192" s="1983"/>
      <c r="BD192" s="198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2" t="s">
        <v>2254</v>
      </c>
      <c r="D194" s="1963"/>
      <c r="E194" s="1963"/>
      <c r="F194" s="1963"/>
      <c r="G194" s="1963"/>
      <c r="H194" s="1963"/>
      <c r="I194" s="1963"/>
      <c r="J194" s="1963"/>
      <c r="K194" s="1963"/>
      <c r="L194" s="1963"/>
      <c r="M194" s="1963"/>
      <c r="N194" s="1963"/>
      <c r="O194" s="1963"/>
      <c r="P194" s="1963"/>
      <c r="Q194" s="1963"/>
      <c r="R194" s="1963"/>
      <c r="S194" s="1963"/>
      <c r="T194" s="1963"/>
      <c r="U194" s="1963"/>
      <c r="V194" s="1963"/>
      <c r="W194" s="1963"/>
      <c r="X194" s="1963"/>
      <c r="Y194" s="1963"/>
      <c r="Z194" s="1963"/>
      <c r="AA194" s="1963"/>
      <c r="AB194" s="1963"/>
      <c r="AC194" s="1963"/>
      <c r="AD194" s="1963"/>
      <c r="AE194" s="196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5" t="s">
        <v>2253</v>
      </c>
      <c r="D195" s="1965"/>
      <c r="E195" s="1965"/>
      <c r="F195" s="1965"/>
      <c r="G195" s="1965"/>
      <c r="H195" s="1965"/>
      <c r="I195" s="1965"/>
      <c r="J195" s="1965"/>
      <c r="K195" s="1965"/>
      <c r="L195" s="1965"/>
      <c r="M195" s="1965"/>
      <c r="N195" s="1965"/>
      <c r="O195" s="1966" t="s">
        <v>2252</v>
      </c>
      <c r="P195" s="1966"/>
      <c r="Q195" s="1966"/>
      <c r="R195" s="1966"/>
      <c r="S195" s="1966"/>
      <c r="T195" s="1966"/>
      <c r="U195" s="1966"/>
      <c r="V195" s="1966"/>
      <c r="W195" s="1966"/>
      <c r="X195" s="1966" t="s">
        <v>2251</v>
      </c>
      <c r="Y195" s="1966"/>
      <c r="Z195" s="1966"/>
      <c r="AA195" s="1966"/>
      <c r="AB195" s="1966"/>
      <c r="AC195" s="1966"/>
      <c r="AD195" s="1966"/>
      <c r="AE195" s="196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7" t="s">
        <v>2250</v>
      </c>
      <c r="D196" s="1957"/>
      <c r="E196" s="1957"/>
      <c r="F196" s="1957"/>
      <c r="G196" s="1957"/>
      <c r="H196" s="1957"/>
      <c r="I196" s="1957"/>
      <c r="J196" s="1957"/>
      <c r="K196" s="1957"/>
      <c r="L196" s="1957"/>
      <c r="M196" s="1957"/>
      <c r="N196" s="1957"/>
      <c r="O196" s="1958" t="s">
        <v>2249</v>
      </c>
      <c r="P196" s="1958"/>
      <c r="Q196" s="1958"/>
      <c r="R196" s="1958"/>
      <c r="S196" s="1958"/>
      <c r="T196" s="1958"/>
      <c r="U196" s="1958"/>
      <c r="V196" s="1958"/>
      <c r="W196" s="1958"/>
      <c r="X196" s="1959">
        <v>0.03</v>
      </c>
      <c r="Y196" s="1959"/>
      <c r="Z196" s="1959"/>
      <c r="AA196" s="1959"/>
      <c r="AB196" s="1959"/>
      <c r="AC196" s="1959"/>
      <c r="AD196" s="1959"/>
      <c r="AE196" s="195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7" t="s">
        <v>853</v>
      </c>
      <c r="D197" s="1957"/>
      <c r="E197" s="1957"/>
      <c r="F197" s="1957"/>
      <c r="G197" s="1957"/>
      <c r="H197" s="1957"/>
      <c r="I197" s="1957"/>
      <c r="J197" s="1957"/>
      <c r="K197" s="1957"/>
      <c r="L197" s="1957"/>
      <c r="M197" s="1957"/>
      <c r="N197" s="1957"/>
      <c r="O197" s="1958" t="s">
        <v>2249</v>
      </c>
      <c r="P197" s="1958"/>
      <c r="Q197" s="1958"/>
      <c r="R197" s="1958"/>
      <c r="S197" s="1958"/>
      <c r="T197" s="1958"/>
      <c r="U197" s="1958"/>
      <c r="V197" s="1958"/>
      <c r="W197" s="1958"/>
      <c r="X197" s="1959">
        <v>0.03</v>
      </c>
      <c r="Y197" s="1959"/>
      <c r="Z197" s="1959"/>
      <c r="AA197" s="1959"/>
      <c r="AB197" s="1959"/>
      <c r="AC197" s="1959"/>
      <c r="AD197" s="1959"/>
      <c r="AE197" s="195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7" t="s">
        <v>2248</v>
      </c>
      <c r="D198" s="1957"/>
      <c r="E198" s="1957"/>
      <c r="F198" s="1957"/>
      <c r="G198" s="1957"/>
      <c r="H198" s="1957"/>
      <c r="I198" s="1957"/>
      <c r="J198" s="1957"/>
      <c r="K198" s="1957"/>
      <c r="L198" s="1957"/>
      <c r="M198" s="1957"/>
      <c r="N198" s="1957"/>
      <c r="O198" s="1960">
        <f>SUM(O196:W197)</f>
        <v>0</v>
      </c>
      <c r="P198" s="1961"/>
      <c r="Q198" s="1961"/>
      <c r="R198" s="1961"/>
      <c r="S198" s="1961"/>
      <c r="T198" s="1961"/>
      <c r="U198" s="1961"/>
      <c r="V198" s="1961"/>
      <c r="W198" s="1961"/>
      <c r="X198" s="1961" t="s">
        <v>2247</v>
      </c>
      <c r="Y198" s="1961"/>
      <c r="Z198" s="1961"/>
      <c r="AA198" s="1961"/>
      <c r="AB198" s="1961"/>
      <c r="AC198" s="1961"/>
      <c r="AD198" s="1961"/>
      <c r="AE198" s="196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1" t="s">
        <v>2246</v>
      </c>
      <c r="D199" s="1931"/>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1931"/>
      <c r="AA199" s="1931"/>
      <c r="AB199" s="1931"/>
      <c r="AC199" s="1931"/>
      <c r="AD199" s="1931"/>
      <c r="AE199" s="193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2" t="s">
        <v>2245</v>
      </c>
      <c r="D201" s="1933"/>
      <c r="E201" s="1933"/>
      <c r="F201" s="1933"/>
      <c r="G201" s="1933"/>
      <c r="H201" s="1933"/>
      <c r="I201" s="1933"/>
      <c r="J201" s="1933"/>
      <c r="K201" s="1933"/>
      <c r="L201" s="1933"/>
      <c r="M201" s="1933"/>
      <c r="N201" s="1933"/>
      <c r="O201" s="1933"/>
      <c r="P201" s="1933"/>
      <c r="Q201" s="1933"/>
      <c r="R201" s="1933"/>
      <c r="S201" s="1933"/>
      <c r="T201" s="1933"/>
      <c r="U201" s="1933"/>
      <c r="V201" s="1933"/>
      <c r="W201" s="1933"/>
      <c r="X201" s="1933"/>
      <c r="Y201" s="1933"/>
      <c r="Z201" s="1933"/>
      <c r="AA201" s="1933"/>
      <c r="AB201" s="1933"/>
      <c r="AC201" s="1933"/>
      <c r="AD201" s="1933"/>
      <c r="AE201" s="1933"/>
      <c r="AF201" s="1933"/>
      <c r="AG201" s="1933"/>
      <c r="AH201" s="1933"/>
      <c r="AI201" s="1933"/>
      <c r="AJ201" s="1933"/>
      <c r="AK201" s="193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5" t="s">
        <v>2244</v>
      </c>
      <c r="D202" s="1936"/>
      <c r="E202" s="1936"/>
      <c r="F202" s="1937"/>
      <c r="G202" s="1941" t="s">
        <v>2243</v>
      </c>
      <c r="H202" s="1936"/>
      <c r="I202" s="1936"/>
      <c r="J202" s="1936"/>
      <c r="K202" s="1936"/>
      <c r="L202" s="1936"/>
      <c r="M202" s="1936"/>
      <c r="N202" s="1936"/>
      <c r="O202" s="1937"/>
      <c r="P202" s="1943" t="s">
        <v>2242</v>
      </c>
      <c r="Q202" s="1944"/>
      <c r="R202" s="1944"/>
      <c r="S202" s="1944"/>
      <c r="T202" s="1945"/>
      <c r="U202" s="1949" t="s">
        <v>2241</v>
      </c>
      <c r="V202" s="1950"/>
      <c r="W202" s="1950"/>
      <c r="X202" s="1951"/>
      <c r="Y202" s="1949" t="s">
        <v>2240</v>
      </c>
      <c r="Z202" s="1950"/>
      <c r="AA202" s="1950"/>
      <c r="AB202" s="1951"/>
      <c r="AC202" s="1949" t="s">
        <v>2239</v>
      </c>
      <c r="AD202" s="1950"/>
      <c r="AE202" s="1950"/>
      <c r="AF202" s="1951"/>
      <c r="AG202" s="1941" t="s">
        <v>2238</v>
      </c>
      <c r="AH202" s="1936"/>
      <c r="AI202" s="1936"/>
      <c r="AJ202" s="1936"/>
      <c r="AK202" s="195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8"/>
      <c r="D203" s="1939"/>
      <c r="E203" s="1939"/>
      <c r="F203" s="1940"/>
      <c r="G203" s="1942"/>
      <c r="H203" s="1939"/>
      <c r="I203" s="1939"/>
      <c r="J203" s="1939"/>
      <c r="K203" s="1939"/>
      <c r="L203" s="1939"/>
      <c r="M203" s="1939"/>
      <c r="N203" s="1939"/>
      <c r="O203" s="1940"/>
      <c r="P203" s="1946"/>
      <c r="Q203" s="1947"/>
      <c r="R203" s="1947"/>
      <c r="S203" s="1947"/>
      <c r="T203" s="1948"/>
      <c r="U203" s="1952"/>
      <c r="V203" s="1953"/>
      <c r="W203" s="1953"/>
      <c r="X203" s="1954"/>
      <c r="Y203" s="1952"/>
      <c r="Z203" s="1953"/>
      <c r="AA203" s="1953"/>
      <c r="AB203" s="1954"/>
      <c r="AC203" s="1952"/>
      <c r="AD203" s="1953"/>
      <c r="AE203" s="1953"/>
      <c r="AF203" s="1954"/>
      <c r="AG203" s="1942"/>
      <c r="AH203" s="1939"/>
      <c r="AI203" s="1939"/>
      <c r="AJ203" s="1939"/>
      <c r="AK203" s="195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4">
        <v>1</v>
      </c>
      <c r="D204" s="1925"/>
      <c r="E204" s="1925"/>
      <c r="F204" s="1925"/>
      <c r="G204" s="1926" t="s">
        <v>1858</v>
      </c>
      <c r="H204" s="1926"/>
      <c r="I204" s="1926"/>
      <c r="J204" s="1926"/>
      <c r="K204" s="1926"/>
      <c r="L204" s="1926"/>
      <c r="M204" s="1926"/>
      <c r="N204" s="1926"/>
      <c r="O204" s="1926"/>
      <c r="P204" s="1927"/>
      <c r="Q204" s="1930"/>
      <c r="R204" s="1930"/>
      <c r="S204" s="1930"/>
      <c r="T204" s="1930"/>
      <c r="U204" s="1928" t="s">
        <v>1858</v>
      </c>
      <c r="V204" s="1928"/>
      <c r="W204" s="1928"/>
      <c r="X204" s="1928"/>
      <c r="Y204" s="1928" t="s">
        <v>1858</v>
      </c>
      <c r="Z204" s="1928"/>
      <c r="AA204" s="1928"/>
      <c r="AB204" s="1928"/>
      <c r="AC204" s="1929" t="s">
        <v>1858</v>
      </c>
      <c r="AD204" s="1929"/>
      <c r="AE204" s="1929"/>
      <c r="AF204" s="1929"/>
      <c r="AG204" s="1913"/>
      <c r="AH204" s="1914"/>
      <c r="AI204" s="1914"/>
      <c r="AJ204" s="1914"/>
      <c r="AK204" s="191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4">
        <v>2</v>
      </c>
      <c r="D205" s="1925"/>
      <c r="E205" s="1925"/>
      <c r="F205" s="1925"/>
      <c r="G205" s="1926" t="s">
        <v>1858</v>
      </c>
      <c r="H205" s="1926"/>
      <c r="I205" s="1926"/>
      <c r="J205" s="1926"/>
      <c r="K205" s="1926"/>
      <c r="L205" s="1926"/>
      <c r="M205" s="1926"/>
      <c r="N205" s="1926"/>
      <c r="O205" s="1926"/>
      <c r="P205" s="1927"/>
      <c r="Q205" s="1927"/>
      <c r="R205" s="1927"/>
      <c r="S205" s="1927"/>
      <c r="T205" s="1927"/>
      <c r="U205" s="1928" t="s">
        <v>1858</v>
      </c>
      <c r="V205" s="1928"/>
      <c r="W205" s="1928"/>
      <c r="X205" s="1928"/>
      <c r="Y205" s="1928" t="s">
        <v>1858</v>
      </c>
      <c r="Z205" s="1928"/>
      <c r="AA205" s="1928"/>
      <c r="AB205" s="1928"/>
      <c r="AC205" s="1929" t="s">
        <v>1858</v>
      </c>
      <c r="AD205" s="1929"/>
      <c r="AE205" s="1929"/>
      <c r="AF205" s="1929"/>
      <c r="AG205" s="1913"/>
      <c r="AH205" s="1914"/>
      <c r="AI205" s="1914"/>
      <c r="AJ205" s="1914"/>
      <c r="AK205" s="191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4">
        <v>3</v>
      </c>
      <c r="D206" s="1925"/>
      <c r="E206" s="1925"/>
      <c r="F206" s="1925"/>
      <c r="G206" s="1926" t="s">
        <v>1858</v>
      </c>
      <c r="H206" s="1926"/>
      <c r="I206" s="1926"/>
      <c r="J206" s="1926"/>
      <c r="K206" s="1926"/>
      <c r="L206" s="1926"/>
      <c r="M206" s="1926"/>
      <c r="N206" s="1926"/>
      <c r="O206" s="1926"/>
      <c r="P206" s="1927"/>
      <c r="Q206" s="1927"/>
      <c r="R206" s="1927"/>
      <c r="S206" s="1927"/>
      <c r="T206" s="1927"/>
      <c r="U206" s="1928" t="s">
        <v>1858</v>
      </c>
      <c r="V206" s="1928"/>
      <c r="W206" s="1928"/>
      <c r="X206" s="1928"/>
      <c r="Y206" s="1928" t="s">
        <v>1858</v>
      </c>
      <c r="Z206" s="1928"/>
      <c r="AA206" s="1928"/>
      <c r="AB206" s="1928"/>
      <c r="AC206" s="1929" t="s">
        <v>1858</v>
      </c>
      <c r="AD206" s="1929"/>
      <c r="AE206" s="1929"/>
      <c r="AF206" s="1929"/>
      <c r="AG206" s="1913"/>
      <c r="AH206" s="1914"/>
      <c r="AI206" s="1914"/>
      <c r="AJ206" s="1914"/>
      <c r="AK206" s="191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4">
        <v>4</v>
      </c>
      <c r="D207" s="1925"/>
      <c r="E207" s="1925"/>
      <c r="F207" s="1925"/>
      <c r="G207" s="1926" t="s">
        <v>1858</v>
      </c>
      <c r="H207" s="1926"/>
      <c r="I207" s="1926"/>
      <c r="J207" s="1926"/>
      <c r="K207" s="1926"/>
      <c r="L207" s="1926"/>
      <c r="M207" s="1926"/>
      <c r="N207" s="1926"/>
      <c r="O207" s="1926"/>
      <c r="P207" s="1927"/>
      <c r="Q207" s="1927"/>
      <c r="R207" s="1927"/>
      <c r="S207" s="1927"/>
      <c r="T207" s="1927"/>
      <c r="U207" s="1928" t="s">
        <v>1858</v>
      </c>
      <c r="V207" s="1928"/>
      <c r="W207" s="1928"/>
      <c r="X207" s="1928"/>
      <c r="Y207" s="1928" t="s">
        <v>1858</v>
      </c>
      <c r="Z207" s="1928"/>
      <c r="AA207" s="1928"/>
      <c r="AB207" s="1928"/>
      <c r="AC207" s="1929" t="s">
        <v>1858</v>
      </c>
      <c r="AD207" s="1929"/>
      <c r="AE207" s="1929"/>
      <c r="AF207" s="1929"/>
      <c r="AG207" s="1913"/>
      <c r="AH207" s="1914"/>
      <c r="AI207" s="1914"/>
      <c r="AJ207" s="1914"/>
      <c r="AK207" s="191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4">
        <v>5</v>
      </c>
      <c r="D208" s="1925"/>
      <c r="E208" s="1925"/>
      <c r="F208" s="1925"/>
      <c r="G208" s="1926" t="s">
        <v>1858</v>
      </c>
      <c r="H208" s="1926"/>
      <c r="I208" s="1926"/>
      <c r="J208" s="1926"/>
      <c r="K208" s="1926"/>
      <c r="L208" s="1926"/>
      <c r="M208" s="1926"/>
      <c r="N208" s="1926"/>
      <c r="O208" s="1926"/>
      <c r="P208" s="1927"/>
      <c r="Q208" s="1927"/>
      <c r="R208" s="1927"/>
      <c r="S208" s="1927"/>
      <c r="T208" s="1927"/>
      <c r="U208" s="1928" t="s">
        <v>1858</v>
      </c>
      <c r="V208" s="1928"/>
      <c r="W208" s="1928"/>
      <c r="X208" s="1928"/>
      <c r="Y208" s="1928" t="s">
        <v>1858</v>
      </c>
      <c r="Z208" s="1928"/>
      <c r="AA208" s="1928"/>
      <c r="AB208" s="1928"/>
      <c r="AC208" s="1929" t="s">
        <v>1858</v>
      </c>
      <c r="AD208" s="1929"/>
      <c r="AE208" s="1929"/>
      <c r="AF208" s="1929"/>
      <c r="AG208" s="1913"/>
      <c r="AH208" s="1914"/>
      <c r="AI208" s="1914"/>
      <c r="AJ208" s="1914"/>
      <c r="AK208" s="191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4">
        <v>6</v>
      </c>
      <c r="D209" s="1925"/>
      <c r="E209" s="1925"/>
      <c r="F209" s="1925"/>
      <c r="G209" s="1926" t="s">
        <v>1858</v>
      </c>
      <c r="H209" s="1926"/>
      <c r="I209" s="1926"/>
      <c r="J209" s="1926"/>
      <c r="K209" s="1926"/>
      <c r="L209" s="1926"/>
      <c r="M209" s="1926"/>
      <c r="N209" s="1926"/>
      <c r="O209" s="1926"/>
      <c r="P209" s="1927"/>
      <c r="Q209" s="1927"/>
      <c r="R209" s="1927"/>
      <c r="S209" s="1927"/>
      <c r="T209" s="1927"/>
      <c r="U209" s="1928"/>
      <c r="V209" s="1928"/>
      <c r="W209" s="1928"/>
      <c r="X209" s="1928"/>
      <c r="Y209" s="1928"/>
      <c r="Z209" s="1928"/>
      <c r="AA209" s="1928"/>
      <c r="AB209" s="1928"/>
      <c r="AC209" s="1929" t="s">
        <v>1858</v>
      </c>
      <c r="AD209" s="1929"/>
      <c r="AE209" s="1929"/>
      <c r="AF209" s="1929"/>
      <c r="AG209" s="1913"/>
      <c r="AH209" s="1914"/>
      <c r="AI209" s="1914"/>
      <c r="AJ209" s="1914"/>
      <c r="AK209" s="191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4">
        <v>7</v>
      </c>
      <c r="D210" s="1925"/>
      <c r="E210" s="1925"/>
      <c r="F210" s="1925"/>
      <c r="G210" s="1926"/>
      <c r="H210" s="1926"/>
      <c r="I210" s="1926"/>
      <c r="J210" s="1926"/>
      <c r="K210" s="1926"/>
      <c r="L210" s="1926"/>
      <c r="M210" s="1926"/>
      <c r="N210" s="1926"/>
      <c r="O210" s="1926"/>
      <c r="P210" s="1927"/>
      <c r="Q210" s="1927"/>
      <c r="R210" s="1927"/>
      <c r="S210" s="1927"/>
      <c r="T210" s="1927"/>
      <c r="U210" s="1928"/>
      <c r="V210" s="1928"/>
      <c r="W210" s="1928"/>
      <c r="X210" s="1928"/>
      <c r="Y210" s="1928"/>
      <c r="Z210" s="1928"/>
      <c r="AA210" s="1928"/>
      <c r="AB210" s="1928"/>
      <c r="AC210" s="1929" t="s">
        <v>1858</v>
      </c>
      <c r="AD210" s="1929"/>
      <c r="AE210" s="1929"/>
      <c r="AF210" s="1929"/>
      <c r="AG210" s="1913"/>
      <c r="AH210" s="1914"/>
      <c r="AI210" s="1914"/>
      <c r="AJ210" s="1914"/>
      <c r="AK210" s="191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6" t="s">
        <v>2237</v>
      </c>
      <c r="D211" s="1917"/>
      <c r="E211" s="1917"/>
      <c r="F211" s="1917"/>
      <c r="G211" s="1917"/>
      <c r="H211" s="1917"/>
      <c r="I211" s="1917"/>
      <c r="J211" s="1917"/>
      <c r="K211" s="1917"/>
      <c r="L211" s="1917"/>
      <c r="M211" s="1917"/>
      <c r="N211" s="1917"/>
      <c r="O211" s="1917"/>
      <c r="P211" s="1918"/>
      <c r="Q211" s="1918"/>
      <c r="R211" s="1918"/>
      <c r="S211" s="1918"/>
      <c r="T211" s="1918"/>
      <c r="U211" s="1919">
        <f>-SUM(U204:U210)</f>
        <v>0</v>
      </c>
      <c r="V211" s="1919"/>
      <c r="W211" s="1919"/>
      <c r="X211" s="1919"/>
      <c r="Y211" s="1919">
        <f>-SUM(Y204:Y210)</f>
        <v>0</v>
      </c>
      <c r="Z211" s="1919"/>
      <c r="AA211" s="1919"/>
      <c r="AB211" s="1919"/>
      <c r="AC211" s="1920">
        <f>-SUM(AC204:AC210)</f>
        <v>0</v>
      </c>
      <c r="AD211" s="1920"/>
      <c r="AE211" s="1920"/>
      <c r="AF211" s="1920"/>
      <c r="AG211" s="1921"/>
      <c r="AH211" s="1922"/>
      <c r="AI211" s="1922"/>
      <c r="AJ211" s="1922"/>
      <c r="AK211" s="192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0" t="s">
        <v>2235</v>
      </c>
      <c r="C216" s="1901"/>
      <c r="D216" s="1901"/>
      <c r="E216" s="1901"/>
      <c r="F216" s="1901"/>
      <c r="G216" s="1901"/>
      <c r="H216" s="1901"/>
      <c r="I216" s="1901"/>
      <c r="J216" s="1901"/>
      <c r="K216" s="1901"/>
      <c r="L216" s="1901"/>
      <c r="M216" s="1901"/>
      <c r="N216" s="1901"/>
      <c r="O216" s="1901"/>
      <c r="P216" s="1901"/>
      <c r="Q216" s="1901"/>
      <c r="R216" s="1901"/>
      <c r="S216" s="1901"/>
      <c r="T216" s="1901"/>
      <c r="U216" s="1901"/>
      <c r="V216" s="1901"/>
      <c r="W216" s="1901"/>
      <c r="X216" s="1901"/>
      <c r="Y216" s="1901"/>
      <c r="Z216" s="1901"/>
      <c r="AA216" s="1901"/>
      <c r="AB216" s="1901"/>
      <c r="AC216" s="1901"/>
      <c r="AD216" s="1901"/>
      <c r="AE216" s="1901"/>
      <c r="AF216" s="1901"/>
      <c r="AG216" s="1901"/>
      <c r="AH216" s="1901"/>
      <c r="AI216" s="1901"/>
      <c r="AJ216" s="1901"/>
      <c r="AK216" s="1901"/>
      <c r="AL216" s="1901"/>
      <c r="AM216" s="1901"/>
      <c r="AN216" s="1901"/>
      <c r="AO216" s="1901"/>
      <c r="AP216" s="1901"/>
      <c r="AQ216" s="1901"/>
      <c r="AR216" s="1901"/>
      <c r="AS216" s="1901"/>
      <c r="AT216" s="1901"/>
      <c r="AU216" s="1901"/>
      <c r="AV216" s="1901"/>
      <c r="AW216" s="1901"/>
      <c r="AX216" s="1901"/>
      <c r="AY216" s="1901"/>
      <c r="AZ216" s="1901"/>
      <c r="BA216" s="1901"/>
      <c r="BB216" s="1901"/>
      <c r="BC216" s="1901"/>
      <c r="BD216" s="1902"/>
      <c r="BE216" s="1215"/>
    </row>
    <row r="217" spans="1:57" ht="15.75" customHeight="1">
      <c r="A217" s="1208"/>
      <c r="B217" s="1903"/>
      <c r="C217" s="1904"/>
      <c r="D217" s="1904"/>
      <c r="E217" s="1904"/>
      <c r="F217" s="1904"/>
      <c r="G217" s="1904"/>
      <c r="H217" s="1904"/>
      <c r="I217" s="1904"/>
      <c r="J217" s="1904"/>
      <c r="K217" s="1904"/>
      <c r="L217" s="1904"/>
      <c r="M217" s="1904"/>
      <c r="N217" s="1904"/>
      <c r="O217" s="1904"/>
      <c r="P217" s="1904"/>
      <c r="Q217" s="1904"/>
      <c r="R217" s="1904"/>
      <c r="S217" s="1904"/>
      <c r="T217" s="1904"/>
      <c r="U217" s="1904"/>
      <c r="V217" s="1904"/>
      <c r="W217" s="1904"/>
      <c r="X217" s="1904"/>
      <c r="Y217" s="1904"/>
      <c r="Z217" s="1904"/>
      <c r="AA217" s="1904"/>
      <c r="AB217" s="1904"/>
      <c r="AC217" s="1904"/>
      <c r="AD217" s="1904"/>
      <c r="AE217" s="1904"/>
      <c r="AF217" s="1904"/>
      <c r="AG217" s="1904"/>
      <c r="AH217" s="1904"/>
      <c r="AI217" s="1904"/>
      <c r="AJ217" s="1904"/>
      <c r="AK217" s="1904"/>
      <c r="AL217" s="1904"/>
      <c r="AM217" s="1904"/>
      <c r="AN217" s="1904"/>
      <c r="AO217" s="1904"/>
      <c r="AP217" s="1904"/>
      <c r="AQ217" s="1904"/>
      <c r="AR217" s="1904"/>
      <c r="AS217" s="1904"/>
      <c r="AT217" s="1904"/>
      <c r="AU217" s="1904"/>
      <c r="AV217" s="1904"/>
      <c r="AW217" s="1904"/>
      <c r="AX217" s="1904"/>
      <c r="AY217" s="1904"/>
      <c r="AZ217" s="1904"/>
      <c r="BA217" s="1904"/>
      <c r="BB217" s="1904"/>
      <c r="BC217" s="1904"/>
      <c r="BD217" s="1905"/>
      <c r="BE217" s="1215"/>
    </row>
    <row r="218" spans="1:57" ht="15.75" customHeight="1">
      <c r="A218" s="1208"/>
      <c r="B218" s="1906" t="s">
        <v>2234</v>
      </c>
      <c r="C218" s="1907"/>
      <c r="D218" s="1907"/>
      <c r="E218" s="1907"/>
      <c r="F218" s="1907"/>
      <c r="G218" s="1907"/>
      <c r="H218" s="1907"/>
      <c r="I218" s="1907"/>
      <c r="J218" s="1907"/>
      <c r="K218" s="1907"/>
      <c r="L218" s="1907"/>
      <c r="M218" s="1907"/>
      <c r="N218" s="1907"/>
      <c r="O218" s="1907"/>
      <c r="P218" s="1907"/>
      <c r="Q218" s="1907"/>
      <c r="R218" s="1907"/>
      <c r="S218" s="1907"/>
      <c r="T218" s="1907"/>
      <c r="U218" s="1907"/>
      <c r="V218" s="1907"/>
      <c r="W218" s="1907"/>
      <c r="X218" s="1907"/>
      <c r="Y218" s="1907"/>
      <c r="Z218" s="1907"/>
      <c r="AA218" s="1907"/>
      <c r="AB218" s="1907"/>
      <c r="AC218" s="1907"/>
      <c r="AD218" s="1907"/>
      <c r="AE218" s="1907"/>
      <c r="AF218" s="1907"/>
      <c r="AG218" s="1907"/>
      <c r="AH218" s="1907"/>
      <c r="AI218" s="1907"/>
      <c r="AJ218" s="1907"/>
      <c r="AK218" s="1907"/>
      <c r="AL218" s="1907"/>
      <c r="AM218" s="1907"/>
      <c r="AN218" s="1907"/>
      <c r="AO218" s="1907"/>
      <c r="AP218" s="1907"/>
      <c r="AQ218" s="1907"/>
      <c r="AR218" s="1907"/>
      <c r="AS218" s="1907"/>
      <c r="AT218" s="1907"/>
      <c r="AU218" s="1907"/>
      <c r="AV218" s="1907"/>
      <c r="AW218" s="1907"/>
      <c r="AX218" s="1907"/>
      <c r="AY218" s="1907"/>
      <c r="AZ218" s="1907"/>
      <c r="BA218" s="1907"/>
      <c r="BB218" s="1907"/>
      <c r="BC218" s="1907"/>
      <c r="BD218" s="1908"/>
      <c r="BE218" s="1215"/>
    </row>
    <row r="219" spans="1:57" ht="15.75" customHeight="1">
      <c r="A219" s="1208"/>
      <c r="B219" s="1906" t="s">
        <v>2233</v>
      </c>
      <c r="C219" s="1907"/>
      <c r="D219" s="1907"/>
      <c r="E219" s="1907"/>
      <c r="F219" s="1907"/>
      <c r="G219" s="1907"/>
      <c r="H219" s="1907"/>
      <c r="I219" s="1907"/>
      <c r="J219" s="1907"/>
      <c r="K219" s="1907"/>
      <c r="L219" s="1907"/>
      <c r="M219" s="1907"/>
      <c r="N219" s="1907"/>
      <c r="O219" s="1907"/>
      <c r="P219" s="1907"/>
      <c r="Q219" s="1907"/>
      <c r="R219" s="1907"/>
      <c r="S219" s="1907"/>
      <c r="T219" s="1907"/>
      <c r="U219" s="1907"/>
      <c r="V219" s="1907"/>
      <c r="W219" s="1907"/>
      <c r="X219" s="1907"/>
      <c r="Y219" s="1907"/>
      <c r="Z219" s="1907"/>
      <c r="AA219" s="1907"/>
      <c r="AB219" s="1907"/>
      <c r="AC219" s="1907"/>
      <c r="AD219" s="1907"/>
      <c r="AE219" s="1907"/>
      <c r="AF219" s="1907"/>
      <c r="AG219" s="1907"/>
      <c r="AH219" s="1907"/>
      <c r="AI219" s="1907"/>
      <c r="AJ219" s="1907"/>
      <c r="AK219" s="1907"/>
      <c r="AL219" s="1907"/>
      <c r="AM219" s="1907"/>
      <c r="AN219" s="1907"/>
      <c r="AO219" s="1907"/>
      <c r="AP219" s="1907"/>
      <c r="AQ219" s="1907"/>
      <c r="AR219" s="1907"/>
      <c r="AS219" s="1907"/>
      <c r="AT219" s="1907"/>
      <c r="AU219" s="1907"/>
      <c r="AV219" s="1907"/>
      <c r="AW219" s="1907"/>
      <c r="AX219" s="1907"/>
      <c r="AY219" s="1907"/>
      <c r="AZ219" s="1907"/>
      <c r="BA219" s="1907"/>
      <c r="BB219" s="1907"/>
      <c r="BC219" s="1907"/>
      <c r="BD219" s="190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9" t="s">
        <v>2232</v>
      </c>
      <c r="C221" s="1910"/>
      <c r="D221" s="1910"/>
      <c r="E221" s="1910"/>
      <c r="F221" s="1910"/>
      <c r="G221" s="1910"/>
      <c r="H221" s="1910"/>
      <c r="I221" s="1910"/>
      <c r="J221" s="1910"/>
      <c r="K221" s="1910"/>
      <c r="L221" s="1910"/>
      <c r="M221" s="1910"/>
      <c r="N221" s="1910"/>
      <c r="O221" s="1910"/>
      <c r="P221" s="1910"/>
      <c r="Q221" s="1910"/>
      <c r="R221" s="1910"/>
      <c r="S221" s="1910"/>
      <c r="T221" s="1910"/>
      <c r="U221" s="1910"/>
      <c r="V221" s="1910"/>
      <c r="W221" s="1910"/>
      <c r="X221" s="1910"/>
      <c r="Y221" s="1910"/>
      <c r="Z221" s="1910"/>
      <c r="AA221" s="1910"/>
      <c r="AB221" s="1910"/>
      <c r="AC221" s="1910"/>
      <c r="AD221" s="1910"/>
      <c r="AE221" s="1910"/>
      <c r="AF221" s="1910"/>
      <c r="AG221" s="1910"/>
      <c r="AH221" s="1910"/>
      <c r="AI221" s="1910"/>
      <c r="AJ221" s="1910"/>
      <c r="AK221" s="1910"/>
      <c r="AL221" s="1910"/>
      <c r="AM221" s="1910"/>
      <c r="AN221" s="1910"/>
      <c r="AO221" s="1910"/>
      <c r="AP221" s="1910"/>
      <c r="AQ221" s="1910"/>
      <c r="AR221" s="1910"/>
      <c r="AS221" s="1910"/>
      <c r="AT221" s="1910"/>
      <c r="AU221" s="1910"/>
      <c r="AV221" s="1910"/>
      <c r="AW221" s="1910"/>
      <c r="AX221" s="1910"/>
      <c r="AY221" s="1910"/>
      <c r="AZ221" s="1910"/>
      <c r="BA221" s="1910"/>
      <c r="BB221" s="1910"/>
      <c r="BC221" s="1910"/>
      <c r="BD221" s="191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2" t="s">
        <v>2230</v>
      </c>
      <c r="I225" s="1912"/>
      <c r="J225" s="1912"/>
      <c r="K225" s="1912"/>
      <c r="L225" s="1912"/>
      <c r="M225" s="1912"/>
      <c r="N225" s="1912"/>
      <c r="O225" s="1912"/>
      <c r="P225" s="1912"/>
      <c r="Q225" s="1912"/>
      <c r="R225" s="1912"/>
      <c r="S225" s="1912"/>
      <c r="T225" s="1912"/>
      <c r="U225" s="1912"/>
      <c r="V225" s="1912"/>
      <c r="W225" s="1912"/>
      <c r="X225" s="1912"/>
      <c r="Y225" s="1912"/>
      <c r="Z225" s="1912"/>
      <c r="AA225" s="1912"/>
      <c r="AB225" s="1912"/>
      <c r="AC225" s="1912"/>
      <c r="AD225" s="1912"/>
      <c r="AE225" s="1912"/>
      <c r="AF225" s="1912"/>
      <c r="AG225" s="1912"/>
      <c r="AH225" s="1912"/>
      <c r="AI225" s="1912"/>
      <c r="AJ225" s="1912"/>
      <c r="AK225" s="1912"/>
      <c r="AL225" s="1912"/>
      <c r="AM225" s="1912"/>
      <c r="AN225" s="1912"/>
      <c r="AO225" s="1912"/>
      <c r="AP225" s="1912"/>
      <c r="AQ225" s="1912"/>
      <c r="AR225" s="1912"/>
      <c r="AS225" s="1912"/>
      <c r="AT225" s="1912"/>
      <c r="AU225" s="1912"/>
      <c r="AV225" s="1912"/>
      <c r="AW225" s="1912"/>
      <c r="AX225" s="1912"/>
      <c r="AY225" s="191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5" t="s">
        <v>2229</v>
      </c>
      <c r="I227" s="1895"/>
      <c r="J227" s="1895"/>
      <c r="K227" s="1895"/>
      <c r="L227" s="1895"/>
      <c r="M227" s="1895"/>
      <c r="N227" s="1895"/>
      <c r="O227" s="1895"/>
      <c r="P227" s="1895"/>
      <c r="Q227" s="1895"/>
      <c r="R227" s="1895"/>
      <c r="S227" s="1895"/>
      <c r="T227" s="1895"/>
      <c r="U227" s="1895"/>
      <c r="V227" s="1895"/>
      <c r="W227" s="1895"/>
      <c r="X227" s="1895"/>
      <c r="Y227" s="1895"/>
      <c r="Z227" s="1895"/>
      <c r="AA227" s="1895"/>
      <c r="AB227" s="1895"/>
      <c r="AC227" s="1895"/>
      <c r="AD227" s="1895"/>
      <c r="AE227" s="1895"/>
      <c r="AF227" s="1895"/>
      <c r="AG227" s="1895"/>
      <c r="AH227" s="1895"/>
      <c r="AI227" s="1895"/>
      <c r="AJ227" s="1895"/>
      <c r="AK227" s="1895"/>
      <c r="AL227" s="1895"/>
      <c r="AM227" s="1895"/>
      <c r="AN227" s="1895"/>
      <c r="AO227" s="1895"/>
      <c r="AP227" s="1895"/>
      <c r="AQ227" s="1895"/>
      <c r="AR227" s="1895"/>
      <c r="AS227" s="1895"/>
      <c r="AT227" s="1895"/>
      <c r="AU227" s="1895"/>
      <c r="AV227" s="1895"/>
      <c r="AW227" s="1895"/>
      <c r="AX227" s="1895"/>
      <c r="AY227" s="1895"/>
      <c r="AZ227" s="1895"/>
      <c r="BA227" s="1208"/>
      <c r="BB227" s="1208"/>
      <c r="BC227" s="1208"/>
      <c r="BD227" s="1215"/>
      <c r="BE227" s="1215"/>
    </row>
    <row r="228" spans="1:57" ht="15.75" customHeight="1">
      <c r="A228" s="1208"/>
      <c r="B228" s="1207"/>
      <c r="C228" s="1208"/>
      <c r="D228" s="1208"/>
      <c r="E228" s="1208"/>
      <c r="F228" s="1208"/>
      <c r="G228" s="1208"/>
      <c r="H228" s="1895"/>
      <c r="I228" s="1895"/>
      <c r="J228" s="1895"/>
      <c r="K228" s="1895"/>
      <c r="L228" s="1895"/>
      <c r="M228" s="1895"/>
      <c r="N228" s="1895"/>
      <c r="O228" s="1895"/>
      <c r="P228" s="1895"/>
      <c r="Q228" s="1895"/>
      <c r="R228" s="1895"/>
      <c r="S228" s="1895"/>
      <c r="T228" s="1895"/>
      <c r="U228" s="1895"/>
      <c r="V228" s="1895"/>
      <c r="W228" s="1895"/>
      <c r="X228" s="1895"/>
      <c r="Y228" s="1895"/>
      <c r="Z228" s="1895"/>
      <c r="AA228" s="1895"/>
      <c r="AB228" s="1895"/>
      <c r="AC228" s="1895"/>
      <c r="AD228" s="1895"/>
      <c r="AE228" s="1895"/>
      <c r="AF228" s="1895"/>
      <c r="AG228" s="1895"/>
      <c r="AH228" s="1895"/>
      <c r="AI228" s="1895"/>
      <c r="AJ228" s="1895"/>
      <c r="AK228" s="1895"/>
      <c r="AL228" s="1895"/>
      <c r="AM228" s="1895"/>
      <c r="AN228" s="1895"/>
      <c r="AO228" s="1895"/>
      <c r="AP228" s="1895"/>
      <c r="AQ228" s="1895"/>
      <c r="AR228" s="1895"/>
      <c r="AS228" s="1895"/>
      <c r="AT228" s="1895"/>
      <c r="AU228" s="1895"/>
      <c r="AV228" s="1895"/>
      <c r="AW228" s="1895"/>
      <c r="AX228" s="1895"/>
      <c r="AY228" s="1895"/>
      <c r="AZ228" s="1895"/>
      <c r="BA228" s="1208"/>
      <c r="BB228" s="1208"/>
      <c r="BC228" s="1208"/>
      <c r="BD228" s="1215"/>
      <c r="BE228" s="1215"/>
    </row>
    <row r="229" spans="1:57" ht="15.75" customHeight="1">
      <c r="A229" s="1208"/>
      <c r="B229" s="1207"/>
      <c r="C229" s="1208"/>
      <c r="D229" s="1208"/>
      <c r="E229" s="1208"/>
      <c r="F229" s="1208"/>
      <c r="G229" s="1208"/>
      <c r="H229" s="1895"/>
      <c r="I229" s="1895"/>
      <c r="J229" s="1895"/>
      <c r="K229" s="1895"/>
      <c r="L229" s="1895"/>
      <c r="M229" s="1895"/>
      <c r="N229" s="1895"/>
      <c r="O229" s="1895"/>
      <c r="P229" s="1895"/>
      <c r="Q229" s="1895"/>
      <c r="R229" s="1895"/>
      <c r="S229" s="1895"/>
      <c r="T229" s="1895"/>
      <c r="U229" s="1895"/>
      <c r="V229" s="1895"/>
      <c r="W229" s="1895"/>
      <c r="X229" s="1895"/>
      <c r="Y229" s="1895"/>
      <c r="Z229" s="1895"/>
      <c r="AA229" s="1895"/>
      <c r="AB229" s="1895"/>
      <c r="AC229" s="1895"/>
      <c r="AD229" s="1895"/>
      <c r="AE229" s="1895"/>
      <c r="AF229" s="1895"/>
      <c r="AG229" s="1895"/>
      <c r="AH229" s="1895"/>
      <c r="AI229" s="1895"/>
      <c r="AJ229" s="1895"/>
      <c r="AK229" s="1895"/>
      <c r="AL229" s="1895"/>
      <c r="AM229" s="1895"/>
      <c r="AN229" s="1895"/>
      <c r="AO229" s="1895"/>
      <c r="AP229" s="1895"/>
      <c r="AQ229" s="1895"/>
      <c r="AR229" s="1895"/>
      <c r="AS229" s="1895"/>
      <c r="AT229" s="1895"/>
      <c r="AU229" s="1895"/>
      <c r="AV229" s="1895"/>
      <c r="AW229" s="1895"/>
      <c r="AX229" s="1895"/>
      <c r="AY229" s="1895"/>
      <c r="AZ229" s="1895"/>
      <c r="BA229" s="1208"/>
      <c r="BB229" s="1208"/>
      <c r="BC229" s="1208"/>
      <c r="BD229" s="1215"/>
      <c r="BE229" s="1215"/>
    </row>
    <row r="230" spans="1:57" ht="15.75" customHeight="1">
      <c r="A230" s="1208"/>
      <c r="B230" s="1207"/>
      <c r="C230" s="1208"/>
      <c r="D230" s="1208"/>
      <c r="E230" s="1208"/>
      <c r="F230" s="1208"/>
      <c r="G230" s="1208"/>
      <c r="H230" s="1895"/>
      <c r="I230" s="1895"/>
      <c r="J230" s="1895"/>
      <c r="K230" s="1895"/>
      <c r="L230" s="1895"/>
      <c r="M230" s="1895"/>
      <c r="N230" s="1895"/>
      <c r="O230" s="1895"/>
      <c r="P230" s="1895"/>
      <c r="Q230" s="1895"/>
      <c r="R230" s="1895"/>
      <c r="S230" s="1895"/>
      <c r="T230" s="1895"/>
      <c r="U230" s="1895"/>
      <c r="V230" s="1895"/>
      <c r="W230" s="1895"/>
      <c r="X230" s="1895"/>
      <c r="Y230" s="1895"/>
      <c r="Z230" s="1895"/>
      <c r="AA230" s="1895"/>
      <c r="AB230" s="1895"/>
      <c r="AC230" s="1895"/>
      <c r="AD230" s="1895"/>
      <c r="AE230" s="1895"/>
      <c r="AF230" s="1895"/>
      <c r="AG230" s="1895"/>
      <c r="AH230" s="1895"/>
      <c r="AI230" s="1895"/>
      <c r="AJ230" s="1895"/>
      <c r="AK230" s="1895"/>
      <c r="AL230" s="1895"/>
      <c r="AM230" s="1895"/>
      <c r="AN230" s="1895"/>
      <c r="AO230" s="1895"/>
      <c r="AP230" s="1895"/>
      <c r="AQ230" s="1895"/>
      <c r="AR230" s="1895"/>
      <c r="AS230" s="1895"/>
      <c r="AT230" s="1895"/>
      <c r="AU230" s="1895"/>
      <c r="AV230" s="1895"/>
      <c r="AW230" s="1895"/>
      <c r="AX230" s="1895"/>
      <c r="AY230" s="1895"/>
      <c r="AZ230" s="189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6" t="s">
        <v>2228</v>
      </c>
      <c r="I232" s="1896"/>
      <c r="J232" s="1896"/>
      <c r="K232" s="1896"/>
      <c r="L232" s="1896"/>
      <c r="M232" s="1896"/>
      <c r="N232" s="1896"/>
      <c r="O232" s="1896"/>
      <c r="P232" s="1896"/>
      <c r="Q232" s="1896"/>
      <c r="R232" s="1896"/>
      <c r="S232" s="1896"/>
      <c r="T232" s="1896"/>
      <c r="U232" s="1896"/>
      <c r="V232" s="1896"/>
      <c r="W232" s="1896"/>
      <c r="X232" s="1896"/>
      <c r="Y232" s="1896"/>
      <c r="Z232" s="1896"/>
      <c r="AA232" s="1896"/>
      <c r="AB232" s="1896"/>
      <c r="AC232" s="1896"/>
      <c r="AD232" s="1896"/>
      <c r="AE232" s="1896"/>
      <c r="AF232" s="1896"/>
      <c r="AG232" s="1896"/>
      <c r="AH232" s="1896"/>
      <c r="AI232" s="1896"/>
      <c r="AJ232" s="1896"/>
      <c r="AK232" s="1896"/>
      <c r="AL232" s="1896"/>
      <c r="AM232" s="1896"/>
      <c r="AN232" s="1896"/>
      <c r="AO232" s="1896"/>
      <c r="AP232" s="1896"/>
      <c r="AQ232" s="1896"/>
      <c r="AR232" s="1896"/>
      <c r="AS232" s="1896"/>
      <c r="AT232" s="1896"/>
      <c r="AU232" s="1896"/>
      <c r="AV232" s="189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6" t="s">
        <v>2227</v>
      </c>
      <c r="I234" s="1886"/>
      <c r="J234" s="1886"/>
      <c r="K234" s="1886"/>
      <c r="L234" s="1259"/>
      <c r="M234" s="1259"/>
      <c r="N234" s="1259"/>
      <c r="O234" s="1259"/>
      <c r="P234" s="1259"/>
      <c r="Q234" s="1259"/>
      <c r="R234" s="1259"/>
      <c r="S234" s="1897"/>
      <c r="T234" s="1898"/>
      <c r="U234" s="1898"/>
      <c r="V234" s="1898"/>
      <c r="W234" s="1898"/>
      <c r="X234" s="1898"/>
      <c r="Y234" s="1898"/>
      <c r="Z234" s="1898"/>
      <c r="AA234" s="1898"/>
      <c r="AB234" s="1898"/>
      <c r="AC234" s="1898"/>
      <c r="AD234" s="1898"/>
      <c r="AE234" s="1898"/>
      <c r="AF234" s="1898"/>
      <c r="AG234" s="1898"/>
      <c r="AH234" s="1898"/>
      <c r="AI234" s="1898"/>
      <c r="AJ234" s="189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6" t="s">
        <v>2226</v>
      </c>
      <c r="I236" s="1886"/>
      <c r="J236" s="1886"/>
      <c r="K236" s="1261"/>
      <c r="L236" s="1259"/>
      <c r="M236" s="1259"/>
      <c r="N236" s="1259"/>
      <c r="O236" s="1259"/>
      <c r="P236" s="1259"/>
      <c r="Q236" s="1259"/>
      <c r="R236" s="1259"/>
      <c r="S236" s="1887"/>
      <c r="T236" s="1888"/>
      <c r="U236" s="1888"/>
      <c r="V236" s="1888"/>
      <c r="W236" s="1888"/>
      <c r="X236" s="1888"/>
      <c r="Y236" s="1888"/>
      <c r="Z236" s="1888"/>
      <c r="AA236" s="1888"/>
      <c r="AB236" s="1888"/>
      <c r="AC236" s="1888"/>
      <c r="AD236" s="1888"/>
      <c r="AE236" s="1888"/>
      <c r="AF236" s="1888"/>
      <c r="AG236" s="1888"/>
      <c r="AH236" s="1888"/>
      <c r="AI236" s="1888"/>
      <c r="AJ236" s="188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6" t="s">
        <v>440</v>
      </c>
      <c r="I238" s="1886"/>
      <c r="J238" s="1261"/>
      <c r="K238" s="1261"/>
      <c r="L238" s="1259"/>
      <c r="M238" s="1259"/>
      <c r="N238" s="1259"/>
      <c r="O238" s="1259"/>
      <c r="P238" s="1259"/>
      <c r="Q238" s="1259"/>
      <c r="R238" s="1259"/>
      <c r="S238" s="1887"/>
      <c r="T238" s="1888"/>
      <c r="U238" s="1888"/>
      <c r="V238" s="1888"/>
      <c r="W238" s="1888"/>
      <c r="X238" s="1888"/>
      <c r="Y238" s="1888"/>
      <c r="Z238" s="1888"/>
      <c r="AA238" s="1888"/>
      <c r="AB238" s="1888"/>
      <c r="AC238" s="1888"/>
      <c r="AD238" s="1888"/>
      <c r="AE238" s="1888"/>
      <c r="AF238" s="1888"/>
      <c r="AG238" s="1888"/>
      <c r="AH238" s="1888"/>
      <c r="AI238" s="1888"/>
      <c r="AJ238" s="188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0" t="s">
        <v>2225</v>
      </c>
      <c r="I240" s="1890"/>
      <c r="J240" s="1890"/>
      <c r="K240" s="1890"/>
      <c r="L240" s="1890"/>
      <c r="M240" s="1890"/>
      <c r="N240" s="1890"/>
      <c r="O240" s="1890"/>
      <c r="P240" s="1259"/>
      <c r="Q240" s="1259"/>
      <c r="R240" s="1259"/>
      <c r="S240" s="1887"/>
      <c r="T240" s="1888"/>
      <c r="U240" s="1888"/>
      <c r="V240" s="1888"/>
      <c r="W240" s="1888"/>
      <c r="X240" s="1888"/>
      <c r="Y240" s="1888"/>
      <c r="Z240" s="1888"/>
      <c r="AA240" s="1888"/>
      <c r="AB240" s="1888"/>
      <c r="AC240" s="1888"/>
      <c r="AD240" s="1888"/>
      <c r="AE240" s="1888"/>
      <c r="AF240" s="1888"/>
      <c r="AG240" s="1888"/>
      <c r="AH240" s="1888"/>
      <c r="AI240" s="1888"/>
      <c r="AJ240" s="188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1" t="s">
        <v>2224</v>
      </c>
      <c r="I242" s="1891"/>
      <c r="J242" s="1259"/>
      <c r="K242" s="1259"/>
      <c r="L242" s="1259"/>
      <c r="M242" s="1259"/>
      <c r="N242" s="1259"/>
      <c r="O242" s="1259"/>
      <c r="P242" s="1259"/>
      <c r="Q242" s="1259"/>
      <c r="R242" s="1259"/>
      <c r="S242" s="1892"/>
      <c r="T242" s="1893"/>
      <c r="U242" s="1893"/>
      <c r="V242" s="1893"/>
      <c r="W242" s="1893"/>
      <c r="X242" s="1893"/>
      <c r="Y242" s="1893"/>
      <c r="Z242" s="1893"/>
      <c r="AA242" s="1893"/>
      <c r="AB242" s="1893"/>
      <c r="AC242" s="1893"/>
      <c r="AD242" s="1893"/>
      <c r="AE242" s="1893"/>
      <c r="AF242" s="1893"/>
      <c r="AG242" s="1893"/>
      <c r="AH242" s="1893"/>
      <c r="AI242" s="1893"/>
      <c r="AJ242" s="189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AI76" sqref="AI76"/>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0" t="s">
        <v>1279</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2.95"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2.95" customHeight="1">
      <c r="B8" s="407"/>
      <c r="T8" s="2362"/>
      <c r="U8" s="2362"/>
      <c r="V8" s="2362"/>
      <c r="W8" s="2362"/>
      <c r="X8" s="2362"/>
      <c r="Y8" s="2362"/>
      <c r="Z8" s="2362"/>
      <c r="AA8" s="2362"/>
      <c r="AB8" s="2362"/>
      <c r="AC8" s="2362"/>
      <c r="AD8" s="2362"/>
      <c r="AE8" s="2362"/>
      <c r="AF8" s="2362"/>
      <c r="AG8" s="2362"/>
      <c r="AH8" s="2362"/>
      <c r="AI8" s="2362"/>
      <c r="AJ8" s="2362"/>
      <c r="AK8" s="2362"/>
      <c r="AL8" s="2362"/>
      <c r="AM8" s="2362"/>
    </row>
    <row r="9" spans="1:40" ht="12.95" customHeight="1">
      <c r="B9" s="407"/>
      <c r="T9" s="2362"/>
      <c r="U9" s="2362"/>
      <c r="V9" s="2362"/>
      <c r="W9" s="2362"/>
      <c r="X9" s="2362"/>
      <c r="Y9" s="2362"/>
      <c r="Z9" s="2362"/>
      <c r="AA9" s="2362"/>
      <c r="AB9" s="2362"/>
      <c r="AC9" s="2362"/>
      <c r="AD9" s="2362"/>
      <c r="AE9" s="2362"/>
      <c r="AF9" s="2362"/>
      <c r="AG9" s="2362"/>
      <c r="AH9" s="2362"/>
      <c r="AI9" s="2362"/>
      <c r="AJ9" s="2362"/>
      <c r="AK9" s="2362"/>
      <c r="AL9" s="2362"/>
      <c r="AM9" s="2362"/>
    </row>
    <row r="10" spans="1:40" ht="12.95" customHeight="1">
      <c r="B10" s="408"/>
      <c r="C10" s="409"/>
      <c r="D10" s="409"/>
      <c r="E10" s="409"/>
      <c r="F10" s="409"/>
      <c r="G10" s="409"/>
      <c r="H10" s="409"/>
      <c r="I10" s="409"/>
      <c r="J10" s="409"/>
      <c r="K10" s="409"/>
      <c r="L10" s="409"/>
      <c r="M10" s="409"/>
      <c r="N10" s="409"/>
      <c r="O10" s="409"/>
      <c r="P10" s="409"/>
      <c r="Q10" s="409"/>
      <c r="R10" s="409"/>
      <c r="S10" s="409"/>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2.95" customHeight="1">
      <c r="B11" s="2341" t="s">
        <v>375</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23362665</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2.95" customHeight="1">
      <c r="B12" s="2356" t="s">
        <v>496</v>
      </c>
      <c r="C12" s="1293"/>
      <c r="D12" s="1293"/>
      <c r="E12" s="1293"/>
      <c r="F12" s="1293"/>
      <c r="G12" s="1293"/>
      <c r="H12" s="1293"/>
      <c r="I12" s="1293"/>
      <c r="J12" s="1293"/>
      <c r="K12" s="1293"/>
      <c r="L12" s="1293"/>
      <c r="M12" s="1293"/>
      <c r="N12" s="1293"/>
      <c r="O12" s="1293"/>
      <c r="P12" s="1293"/>
      <c r="Q12" s="1293"/>
      <c r="R12" s="1293"/>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2.95" customHeight="1">
      <c r="B13" s="435"/>
      <c r="C13" s="2358" t="s">
        <v>497</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2.95" customHeight="1">
      <c r="B14" s="435"/>
      <c r="C14" s="2358" t="s">
        <v>498</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2.95" customHeight="1">
      <c r="B15" s="435"/>
      <c r="C15" s="2358" t="s">
        <v>499</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2.95" customHeight="1">
      <c r="B16" s="435"/>
      <c r="C16" s="2358" t="s">
        <v>804</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2.95" customHeight="1">
      <c r="B17" s="435"/>
      <c r="C17" s="2358" t="s">
        <v>500</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2.95" customHeight="1">
      <c r="A18"/>
      <c r="B18" s="1144"/>
      <c r="C18" s="1815" t="s">
        <v>959</v>
      </c>
      <c r="D18" s="1815"/>
      <c r="E18" s="1815"/>
      <c r="F18" s="1815"/>
      <c r="G18" s="1815"/>
      <c r="H18" s="1815"/>
      <c r="I18" s="1815"/>
      <c r="J18" s="1815"/>
      <c r="K18" s="1815"/>
      <c r="L18" s="1815"/>
      <c r="M18" s="1815"/>
      <c r="N18" s="1815"/>
      <c r="O18" s="1815"/>
      <c r="P18" s="1815"/>
      <c r="Q18" s="1815"/>
      <c r="R18" s="1815"/>
      <c r="S18" s="1816"/>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2.95" customHeight="1">
      <c r="B19" s="1144"/>
      <c r="C19" s="1815" t="s">
        <v>959</v>
      </c>
      <c r="D19" s="1815"/>
      <c r="E19" s="1815"/>
      <c r="F19" s="1815"/>
      <c r="G19" s="1815"/>
      <c r="H19" s="1815"/>
      <c r="I19" s="1815"/>
      <c r="J19" s="1815"/>
      <c r="K19" s="1815"/>
      <c r="L19" s="1815"/>
      <c r="M19" s="1815"/>
      <c r="N19" s="1815"/>
      <c r="O19" s="1815"/>
      <c r="P19" s="1815"/>
      <c r="Q19" s="1815"/>
      <c r="R19" s="1815"/>
      <c r="S19" s="1816"/>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2.95" customHeight="1">
      <c r="B20" s="2341" t="s">
        <v>501</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2.95" customHeight="1">
      <c r="B21" s="2341" t="s">
        <v>1262</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2.95" customHeight="1">
      <c r="B22" s="2341" t="s">
        <v>502</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2.95" customHeight="1">
      <c r="B23" s="2341" t="s">
        <v>503</v>
      </c>
      <c r="C23" s="2342"/>
      <c r="D23" s="2342"/>
      <c r="E23" s="2342"/>
      <c r="F23" s="2342"/>
      <c r="G23" s="2342"/>
      <c r="H23" s="2342"/>
      <c r="I23" s="2342"/>
      <c r="J23" s="2342"/>
      <c r="K23" s="2342"/>
      <c r="L23" s="2342"/>
      <c r="M23" s="2342"/>
      <c r="N23" s="2342"/>
      <c r="O23" s="2342"/>
      <c r="P23" s="2342"/>
      <c r="Q23" s="2342"/>
      <c r="R23" s="2342"/>
      <c r="S23" s="2343"/>
      <c r="T23" s="2334">
        <f>T11+T22</f>
        <v>23362665</v>
      </c>
      <c r="U23" s="2335"/>
      <c r="V23" s="2335"/>
      <c r="W23" s="2335"/>
      <c r="X23" s="2335"/>
      <c r="Y23" s="2334">
        <f>Y11+Y22</f>
        <v>0</v>
      </c>
      <c r="Z23" s="2335"/>
      <c r="AA23" s="2335"/>
      <c r="AB23" s="2335"/>
      <c r="AC23" s="2335"/>
      <c r="AD23" s="2334">
        <f>AD11+AD22</f>
        <v>0</v>
      </c>
      <c r="AE23" s="2335"/>
      <c r="AF23" s="2335"/>
      <c r="AG23" s="2335"/>
      <c r="AH23" s="2335"/>
      <c r="AI23" s="2334">
        <f>AI11+AI22</f>
        <v>0</v>
      </c>
      <c r="AJ23" s="2335"/>
      <c r="AK23" s="2335"/>
      <c r="AL23" s="2335"/>
      <c r="AM23" s="2335"/>
    </row>
    <row r="24" spans="1:40" ht="12.95" customHeight="1">
      <c r="B24" s="2341" t="s">
        <v>960</v>
      </c>
      <c r="C24" s="2342"/>
      <c r="D24" s="2342"/>
      <c r="E24" s="2342"/>
      <c r="F24" s="2342"/>
      <c r="G24" s="2342"/>
      <c r="H24" s="2342"/>
      <c r="I24" s="2342"/>
      <c r="J24" s="2342"/>
      <c r="K24" s="2342"/>
      <c r="L24" s="2342"/>
      <c r="M24" s="2342"/>
      <c r="N24" s="2342"/>
      <c r="O24" s="2342"/>
      <c r="P24" s="2342"/>
      <c r="Q24" s="2342"/>
      <c r="R24" s="2342"/>
      <c r="S24" s="2343"/>
      <c r="T24" s="2336">
        <f>Application!AJ1062</f>
        <v>36628440</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2.95" customHeight="1">
      <c r="B25" s="2345" t="s">
        <v>1263</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5" customHeight="1">
      <c r="B26" s="2341" t="s">
        <v>504</v>
      </c>
      <c r="C26" s="2342"/>
      <c r="D26" s="2342"/>
      <c r="E26" s="2342"/>
      <c r="F26" s="2342"/>
      <c r="G26" s="2342"/>
      <c r="H26" s="2342"/>
      <c r="I26" s="2342"/>
      <c r="J26" s="2342"/>
      <c r="K26" s="2342"/>
      <c r="L26" s="2342"/>
      <c r="M26" s="2342"/>
      <c r="N26" s="2342"/>
      <c r="O26" s="2342"/>
      <c r="P26" s="2342"/>
      <c r="Q26" s="2342"/>
      <c r="R26" s="2342"/>
      <c r="S26" s="2343"/>
      <c r="T26" s="2334">
        <f>T23*T25</f>
        <v>30371464.5</v>
      </c>
      <c r="U26" s="2335"/>
      <c r="V26" s="2335"/>
      <c r="W26" s="2335"/>
      <c r="X26" s="2335"/>
      <c r="Y26" s="2334">
        <f>Y23*Y25</f>
        <v>0</v>
      </c>
      <c r="Z26" s="2335"/>
      <c r="AA26" s="2335"/>
      <c r="AB26" s="2335"/>
      <c r="AC26" s="2335"/>
      <c r="AD26" s="2334">
        <f>AD23*AD25</f>
        <v>0</v>
      </c>
      <c r="AE26" s="2335"/>
      <c r="AF26" s="2335"/>
      <c r="AG26" s="2335"/>
      <c r="AH26" s="2335"/>
      <c r="AI26" s="2334">
        <f>AI23*AI25</f>
        <v>0</v>
      </c>
      <c r="AJ26" s="2335"/>
      <c r="AK26" s="2335"/>
      <c r="AL26" s="2335"/>
      <c r="AM26" s="2335"/>
    </row>
    <row r="27" spans="1:40" ht="12.95" customHeight="1">
      <c r="A27" s="410"/>
      <c r="B27" s="2348" t="s">
        <v>426</v>
      </c>
      <c r="C27" s="2349"/>
      <c r="D27" s="2349"/>
      <c r="E27" s="2349"/>
      <c r="F27" s="2349"/>
      <c r="G27" s="2349"/>
      <c r="H27" s="2349"/>
      <c r="I27" s="2349"/>
      <c r="J27" s="2349"/>
      <c r="K27" s="2349"/>
      <c r="L27" s="2349"/>
      <c r="M27" s="2349"/>
      <c r="N27" s="2349"/>
      <c r="O27" s="2349"/>
      <c r="P27" s="2349"/>
      <c r="Q27" s="2349"/>
      <c r="R27" s="2349"/>
      <c r="S27" s="2350"/>
      <c r="T27" s="2354">
        <f>Application!$AG$454</f>
        <v>1</v>
      </c>
      <c r="U27" s="2355"/>
      <c r="V27" s="2355"/>
      <c r="W27" s="2355"/>
      <c r="X27" s="2355"/>
      <c r="Y27" s="2354">
        <f>Application!$AG$454</f>
        <v>1</v>
      </c>
      <c r="Z27" s="2355"/>
      <c r="AA27" s="2355"/>
      <c r="AB27" s="2355"/>
      <c r="AC27" s="2355"/>
      <c r="AD27" s="2354">
        <f>Application!$AG$454</f>
        <v>1</v>
      </c>
      <c r="AE27" s="2355"/>
      <c r="AF27" s="2355"/>
      <c r="AG27" s="2355"/>
      <c r="AH27" s="2355"/>
      <c r="AI27" s="2354">
        <f>Application!$AG$454</f>
        <v>1</v>
      </c>
      <c r="AJ27" s="2355"/>
      <c r="AK27" s="2355"/>
      <c r="AL27" s="2355"/>
      <c r="AM27" s="2355"/>
    </row>
    <row r="28" spans="1:40" ht="12.95" customHeight="1">
      <c r="A28" s="404"/>
      <c r="B28" s="2341" t="s">
        <v>505</v>
      </c>
      <c r="C28" s="2342"/>
      <c r="D28" s="2342"/>
      <c r="E28" s="2342"/>
      <c r="F28" s="2342"/>
      <c r="G28" s="2342"/>
      <c r="H28" s="2342"/>
      <c r="I28" s="2342"/>
      <c r="J28" s="2342"/>
      <c r="K28" s="2342"/>
      <c r="L28" s="2342"/>
      <c r="M28" s="2342"/>
      <c r="N28" s="2342"/>
      <c r="O28" s="2342"/>
      <c r="P28" s="2342"/>
      <c r="Q28" s="2342"/>
      <c r="R28" s="2342"/>
      <c r="S28" s="2343"/>
      <c r="T28" s="2334">
        <f>IF(ISERROR((T26*T27)),0,(T26*T27))</f>
        <v>30371464.5</v>
      </c>
      <c r="U28" s="2335"/>
      <c r="V28" s="2335"/>
      <c r="W28" s="2335"/>
      <c r="X28" s="2335"/>
      <c r="Y28" s="2334">
        <f>IF(ISERROR((Y26*Y27)),0,(Y26*Y27))</f>
        <v>0</v>
      </c>
      <c r="Z28" s="2335"/>
      <c r="AA28" s="2335"/>
      <c r="AB28" s="2335"/>
      <c r="AC28" s="2335"/>
      <c r="AD28" s="2334">
        <f>IF(ISERROR((AD26*AD27)),0,(AD26*AD27))</f>
        <v>0</v>
      </c>
      <c r="AE28" s="2335"/>
      <c r="AF28" s="2335"/>
      <c r="AG28" s="2335"/>
      <c r="AH28" s="2335"/>
      <c r="AI28" s="2334">
        <f>IF(ISERROR((AI26*AI27)),0,(AI26*AI27))</f>
        <v>0</v>
      </c>
      <c r="AJ28" s="2335"/>
      <c r="AK28" s="2335"/>
      <c r="AL28" s="2335"/>
      <c r="AM28" s="2335"/>
    </row>
    <row r="29" spans="1:40" ht="12.95" customHeight="1">
      <c r="B29" s="2341" t="s">
        <v>522</v>
      </c>
      <c r="C29" s="2342"/>
      <c r="D29" s="2342"/>
      <c r="E29" s="2342"/>
      <c r="F29" s="2342"/>
      <c r="G29" s="2342"/>
      <c r="H29" s="2342"/>
      <c r="I29" s="2342"/>
      <c r="J29" s="2342"/>
      <c r="K29" s="2342"/>
      <c r="L29" s="2342"/>
      <c r="M29" s="2342"/>
      <c r="N29" s="2342"/>
      <c r="O29" s="2342"/>
      <c r="P29" s="2342"/>
      <c r="Q29" s="2342"/>
      <c r="R29" s="2342"/>
      <c r="S29" s="2343"/>
      <c r="T29" s="2336">
        <f>T28+Y28+AD28+AI28</f>
        <v>30371464.5</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2.95" customHeight="1">
      <c r="B30" s="2344" t="s">
        <v>1265</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2.95" customHeight="1">
      <c r="B31" s="2344" t="s">
        <v>1264</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2" t="s">
        <v>1153</v>
      </c>
      <c r="Z35" s="2362"/>
      <c r="AA35" s="2362"/>
      <c r="AB35" s="2362"/>
      <c r="AC35" s="2362"/>
      <c r="AD35" s="2382" t="s">
        <v>369</v>
      </c>
      <c r="AE35" s="2382"/>
      <c r="AF35" s="2382"/>
      <c r="AG35" s="2382"/>
      <c r="AH35" s="2382"/>
    </row>
    <row r="36" spans="1:76" ht="12.95" customHeight="1">
      <c r="B36" s="407"/>
      <c r="X36" s="412"/>
      <c r="Y36" s="2362"/>
      <c r="Z36" s="2362"/>
      <c r="AA36" s="2362"/>
      <c r="AB36" s="2362"/>
      <c r="AC36" s="2362"/>
      <c r="AD36" s="2382"/>
      <c r="AE36" s="2382"/>
      <c r="AF36" s="2382"/>
      <c r="AG36" s="2382"/>
      <c r="AH36" s="238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2"/>
      <c r="Z37" s="2362"/>
      <c r="AA37" s="2362"/>
      <c r="AB37" s="2362"/>
      <c r="AC37" s="2362"/>
      <c r="AD37" s="2382"/>
      <c r="AE37" s="2382"/>
      <c r="AF37" s="2382"/>
      <c r="AG37" s="2382"/>
      <c r="AH37" s="2382"/>
    </row>
    <row r="38" spans="1:76" ht="12.95" customHeight="1">
      <c r="A38" s="404"/>
      <c r="B38" s="2341" t="s">
        <v>505</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30371464.5</v>
      </c>
      <c r="Z38" s="2335"/>
      <c r="AA38" s="2335"/>
      <c r="AB38" s="2335"/>
      <c r="AC38" s="2335"/>
      <c r="AD38" s="2335">
        <f>IF(T24&gt;=(T23+Y23+AD23+AI23),AD28+AI28,0)</f>
        <v>0</v>
      </c>
      <c r="AE38" s="2335"/>
      <c r="AF38" s="2335"/>
      <c r="AG38" s="2335"/>
      <c r="AH38" s="2335"/>
    </row>
    <row r="39" spans="1:76" ht="12.95" customHeight="1">
      <c r="B39" s="2341" t="s">
        <v>1679</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2.95" customHeight="1">
      <c r="A40" s="404"/>
      <c r="B40" s="2341" t="s">
        <v>641</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1214859</v>
      </c>
      <c r="Z40" s="2335"/>
      <c r="AA40" s="2335"/>
      <c r="AB40" s="2335"/>
      <c r="AC40" s="2335"/>
      <c r="AD40" s="2334">
        <f>ROUND(AD38*AD39,0)</f>
        <v>0</v>
      </c>
      <c r="AE40" s="2335"/>
      <c r="AF40" s="2335"/>
      <c r="AG40" s="2335"/>
      <c r="AH40" s="2335"/>
    </row>
    <row r="41" spans="1:76" ht="12.95" customHeight="1">
      <c r="B41" s="2341" t="s">
        <v>642</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1214859</v>
      </c>
      <c r="Z41" s="2337"/>
      <c r="AA41" s="2337"/>
      <c r="AB41" s="2337"/>
      <c r="AC41" s="2337"/>
      <c r="AD41" s="2337"/>
      <c r="AE41" s="2337"/>
      <c r="AF41" s="2337"/>
      <c r="AG41" s="2337"/>
      <c r="AH41" s="2334"/>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9" t="s">
        <v>1275</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4" customFormat="1" ht="12.95" customHeight="1" thickTop="1"/>
    <row r="46" spans="1:76" ht="12.95" customHeight="1">
      <c r="A46" s="404" t="s">
        <v>585</v>
      </c>
      <c r="C46" s="404" t="s">
        <v>282</v>
      </c>
    </row>
    <row r="47" spans="1:76" ht="12.95" customHeight="1">
      <c r="D47" s="404" t="s">
        <v>283</v>
      </c>
      <c r="AB47" s="2351">
        <f>'Sources and Uses Budget'!B105-MAX(IF('Sources and Uses Budget'!B15="",0,'Sources and Uses Budget'!B15),IF(Application!AG403="",0,Application!AG403))</f>
        <v>26143091</v>
      </c>
      <c r="AC47" s="2352"/>
      <c r="AD47" s="2352"/>
      <c r="AE47" s="2352"/>
      <c r="AF47" s="2353"/>
    </row>
    <row r="48" spans="1:76" ht="12.95" customHeight="1">
      <c r="D48" s="404" t="s">
        <v>21</v>
      </c>
      <c r="AB48" s="2351">
        <f>Application!AO647-MAX(IF('Sources and Uses Budget'!B15="",0,'Sources and Uses Budget'!B15),IF(Application!AG403="",0,Application!AG403))</f>
        <v>10988330</v>
      </c>
      <c r="AC48" s="2352"/>
      <c r="AD48" s="2352"/>
      <c r="AE48" s="2352"/>
      <c r="AF48" s="2353"/>
    </row>
    <row r="49" spans="1:76" ht="12.95" customHeight="1">
      <c r="D49" s="404" t="s">
        <v>91</v>
      </c>
      <c r="AB49" s="2351">
        <f>AB47-AB48</f>
        <v>15154761</v>
      </c>
      <c r="AC49" s="2352"/>
      <c r="AD49" s="2352"/>
      <c r="AE49" s="2352"/>
      <c r="AF49" s="2353"/>
    </row>
    <row r="50" spans="1:76" ht="12.95" customHeight="1">
      <c r="D50" s="404" t="s">
        <v>680</v>
      </c>
      <c r="AA50" s="415"/>
      <c r="AB50" s="2378">
        <v>0.85106526000000005</v>
      </c>
      <c r="AC50" s="2379"/>
      <c r="AD50" s="2379"/>
      <c r="AE50" s="2379"/>
      <c r="AF50" s="2380"/>
    </row>
    <row r="51" spans="1:76" s="417" customFormat="1" ht="12.95" customHeight="1">
      <c r="A51" s="402"/>
      <c r="B51" s="402"/>
      <c r="C51" s="402"/>
      <c r="D51" s="402"/>
      <c r="E51" s="2381" t="s">
        <v>2537</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1">
        <f>ROUND(IF(ISERROR((AB49/AB50)),0,(AB49/AB50)),0)</f>
        <v>17806814</v>
      </c>
      <c r="AC54" s="2352"/>
      <c r="AD54" s="2352"/>
      <c r="AE54" s="2352"/>
      <c r="AF54" s="2353"/>
    </row>
    <row r="55" spans="1:76" ht="12.95" customHeight="1">
      <c r="D55" s="404" t="s">
        <v>333</v>
      </c>
      <c r="AB55" s="2351">
        <f>(AB54/10)</f>
        <v>1780681.4</v>
      </c>
      <c r="AC55" s="2352"/>
      <c r="AD55" s="2352"/>
      <c r="AE55" s="2352"/>
      <c r="AF55" s="2353"/>
    </row>
    <row r="56" spans="1:76" ht="12.95" customHeight="1">
      <c r="D56" s="404" t="s">
        <v>755</v>
      </c>
      <c r="AB56" s="2351">
        <f>ROUND((IF((Y41&lt;AB55),Y41,AB55)),0)</f>
        <v>1214859</v>
      </c>
      <c r="AC56" s="2352"/>
      <c r="AD56" s="2352"/>
      <c r="AE56" s="2352"/>
      <c r="AF56" s="2353"/>
    </row>
    <row r="57" spans="1:76" ht="12.95" customHeight="1">
      <c r="D57" s="404" t="s">
        <v>754</v>
      </c>
      <c r="AB57" s="2351">
        <f>ROUND((10*AB56*AB50),0)</f>
        <v>10339243</v>
      </c>
      <c r="AC57" s="2352"/>
      <c r="AD57" s="2352"/>
      <c r="AE57" s="2352"/>
      <c r="AF57" s="2353"/>
    </row>
    <row r="58" spans="1:76" ht="12.95" customHeight="1">
      <c r="D58" s="404"/>
      <c r="AB58" s="423"/>
      <c r="AC58" s="423"/>
      <c r="AD58" s="423"/>
      <c r="AE58" s="423"/>
      <c r="AF58" s="423"/>
    </row>
    <row r="59" spans="1:76" ht="12.95" customHeight="1">
      <c r="D59" s="404" t="s">
        <v>753</v>
      </c>
      <c r="AB59" s="2374">
        <f>AB49-AB57</f>
        <v>4815518</v>
      </c>
      <c r="AC59" s="2374"/>
      <c r="AD59" s="2374"/>
      <c r="AE59" s="2374"/>
      <c r="AF59" s="2374"/>
    </row>
    <row r="60" spans="1:76" ht="12.95" customHeight="1">
      <c r="D60" s="404"/>
      <c r="AB60" s="423"/>
      <c r="AC60" s="423"/>
      <c r="AD60" s="423"/>
      <c r="AE60" s="423"/>
      <c r="AF60" s="423"/>
    </row>
    <row r="61" spans="1:76" s="204" customFormat="1" ht="12.95"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4" customFormat="1" ht="12.95" customHeight="1" thickTop="1"/>
    <row r="63" spans="1:76" ht="12.95" customHeight="1">
      <c r="A63" s="404" t="s">
        <v>588</v>
      </c>
      <c r="C63" s="205" t="s">
        <v>1247</v>
      </c>
      <c r="Y63" s="2375" t="s">
        <v>983</v>
      </c>
      <c r="Z63" s="2375"/>
      <c r="AA63" s="2375"/>
      <c r="AB63" s="2375"/>
      <c r="AC63" s="2375"/>
      <c r="AD63" s="2375" t="s">
        <v>369</v>
      </c>
      <c r="AE63" s="2375"/>
      <c r="AF63" s="2375"/>
      <c r="AG63" s="2375"/>
      <c r="AH63" s="2375"/>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6">
        <f>IF(Application!$Z$205="(select)",0,((T23*T27)+Y28))</f>
        <v>23362665</v>
      </c>
      <c r="Z64" s="2376"/>
      <c r="AA64" s="2376"/>
      <c r="AB64" s="2376"/>
      <c r="AC64" s="2377"/>
      <c r="AD64" s="2336">
        <f>IF(AND(OR(Application!D211="At-Risk",Application!D211="At-Risk and Special Needs"),Application!M367="yes"),AD28+AI28,0)</f>
        <v>0</v>
      </c>
      <c r="AE64" s="2376"/>
      <c r="AF64" s="2376"/>
      <c r="AG64" s="2376"/>
      <c r="AH64" s="2377"/>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9">
        <f>IF(OR(Application!Z205="State Farmworker Credit",Application!Z205="$500M (Farmworker Housing)"),0.75,IF(Application!Z205="15% set-aside",0.13,IF(Application!Z205="15% set-aside with qualifying low value rehab",0.95,IF(Application!Z205="$500M",0.3,0))))</f>
        <v>0.75</v>
      </c>
      <c r="Z67" s="2389"/>
      <c r="AA67" s="2389"/>
      <c r="AB67" s="2389"/>
      <c r="AC67" s="2389"/>
      <c r="AD67" s="2389">
        <f>IF(Application!Z205="15% set-aside with qualifying low value rehab", 0.95,IF(OR(Application!D211="At-Risk",'Points System'!B26="Yes"),0.13,0))</f>
        <v>0</v>
      </c>
      <c r="AE67" s="2389"/>
      <c r="AF67" s="2389"/>
      <c r="AG67" s="2389"/>
      <c r="AH67" s="2389"/>
    </row>
    <row r="68" spans="1:37" ht="12.95" customHeight="1">
      <c r="C68" s="404"/>
      <c r="D68" s="205" t="s">
        <v>2179</v>
      </c>
      <c r="Y68" s="2335">
        <f>IF(AND(T25=1.3,OR(Y67=0.13,Y67=0.95),NOT(Application!T212&gt;=50%)),0,ROUND(Y64*Y67,0))</f>
        <v>17521999</v>
      </c>
      <c r="Z68" s="2390"/>
      <c r="AA68" s="2390"/>
      <c r="AB68" s="2390"/>
      <c r="AC68" s="2390"/>
      <c r="AD68" s="2335">
        <f>IF(AND(T25=1.3,AD67&gt;0,NOT(Application!T212&gt;=50%)),0,ROUND(AD64*AD67,0))</f>
        <v>0</v>
      </c>
      <c r="AE68" s="2390"/>
      <c r="AF68" s="2390"/>
      <c r="AG68" s="2390"/>
      <c r="AH68" s="2390"/>
      <c r="AK68" s="1192"/>
    </row>
    <row r="69" spans="1:37" ht="12.95" customHeight="1">
      <c r="C69" s="404"/>
      <c r="D69" s="205" t="s">
        <v>2180</v>
      </c>
      <c r="Y69" s="2335">
        <f>IF(OR(Application!Z205="State Farmworker Credit",Application!Z205="$500M (Farmworker Housing)"),Y68+AD68,MIN(Y68+AD68,200000*(Application!G761+Application!O785)))</f>
        <v>17521999</v>
      </c>
      <c r="Z69" s="2335"/>
      <c r="AA69" s="2335"/>
      <c r="AB69" s="2335"/>
      <c r="AC69" s="2335"/>
      <c r="AD69" s="2335"/>
      <c r="AE69" s="2335"/>
      <c r="AF69" s="2335"/>
      <c r="AG69" s="2335"/>
      <c r="AH69" s="2335"/>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1249</v>
      </c>
      <c r="AB72" s="2378">
        <v>0.85991399999999996</v>
      </c>
      <c r="AC72" s="2379"/>
      <c r="AD72" s="2379"/>
      <c r="AE72" s="2379"/>
      <c r="AF72" s="2380"/>
    </row>
    <row r="73" spans="1:37" ht="12.95" customHeight="1">
      <c r="A73" s="404"/>
      <c r="C73" s="404"/>
      <c r="D73" s="404"/>
      <c r="E73" s="2391" t="s">
        <v>1250</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8"/>
      <c r="AC73" s="438"/>
    </row>
    <row r="74" spans="1:37" ht="12.95" customHeight="1">
      <c r="A74" s="404"/>
      <c r="C74" s="404"/>
      <c r="D74" s="404"/>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8"/>
      <c r="AC74" s="438"/>
    </row>
    <row r="75" spans="1:37" ht="12.95" customHeight="1">
      <c r="A75" s="404"/>
      <c r="C75" s="404"/>
      <c r="D75" s="404"/>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4">
        <f>ROUND(IF(ISERROR((AB59/AB72)),0,(AB59/AB72)),0)</f>
        <v>5600000</v>
      </c>
      <c r="AC77" s="2384"/>
      <c r="AD77" s="2384"/>
      <c r="AE77" s="2384"/>
      <c r="AF77" s="2384"/>
    </row>
    <row r="78" spans="1:37" ht="12.95" customHeight="1">
      <c r="C78" s="404"/>
      <c r="D78" s="205" t="s">
        <v>1252</v>
      </c>
      <c r="AB78" s="2385">
        <f>ROUNDUP(MIN(Y69,AB77),0)</f>
        <v>5600000</v>
      </c>
      <c r="AC78" s="2386"/>
      <c r="AD78" s="2386"/>
      <c r="AE78" s="2386"/>
      <c r="AF78" s="2387"/>
    </row>
    <row r="79" spans="1:37" ht="12.95" customHeight="1">
      <c r="C79" s="404"/>
      <c r="D79" s="205" t="s">
        <v>1253</v>
      </c>
      <c r="AB79" s="2388">
        <f>AB78*AB72</f>
        <v>4815518.3999999994</v>
      </c>
      <c r="AC79" s="2388"/>
      <c r="AD79" s="2388"/>
      <c r="AE79" s="2388"/>
      <c r="AF79" s="2388"/>
    </row>
    <row r="80" spans="1:37" ht="12.95" customHeight="1">
      <c r="C80" s="404"/>
      <c r="D80" s="404"/>
      <c r="AB80" s="425"/>
      <c r="AC80" s="425"/>
      <c r="AD80" s="425"/>
      <c r="AE80" s="425"/>
      <c r="AF80" s="425"/>
    </row>
    <row r="81" spans="1:78" ht="12.95" customHeight="1">
      <c r="D81" s="404" t="s">
        <v>753</v>
      </c>
      <c r="AB81" s="2374">
        <f>AB49-(AB57+AB79)</f>
        <v>-0.39999999850988388</v>
      </c>
      <c r="AC81" s="2374"/>
      <c r="AD81" s="2374"/>
      <c r="AE81" s="2374"/>
      <c r="AF81" s="2374"/>
    </row>
    <row r="82" spans="1:78" ht="12.95" customHeight="1">
      <c r="F82" s="522"/>
      <c r="J82" s="522" t="str">
        <f>IF(AB81&gt;0,"FUNDING GAP MUST NOT EXCEED ZERO","")</f>
        <v/>
      </c>
    </row>
    <row r="83" spans="1:78" ht="12.95" customHeight="1">
      <c r="D83" s="523"/>
    </row>
    <row r="84" spans="1:78" ht="12.95"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2.95" customHeight="1" thickTop="1"/>
    <row r="86" spans="1:78" ht="12.95" hidden="1" customHeight="1">
      <c r="A86" s="404"/>
      <c r="C86" s="205"/>
    </row>
    <row r="87" spans="1:78" ht="12.95" hidden="1" customHeight="1">
      <c r="D87" s="205"/>
      <c r="AB87" s="2340"/>
      <c r="AC87" s="2340"/>
      <c r="AD87" s="2340"/>
      <c r="AE87" s="2340"/>
      <c r="AF87" s="2340"/>
    </row>
    <row r="88" spans="1:78" ht="12.95" hidden="1" customHeight="1" thickBot="1">
      <c r="D88" s="205"/>
      <c r="AB88" s="2338"/>
      <c r="AC88" s="2338"/>
      <c r="AD88" s="2338"/>
      <c r="AE88" s="2338"/>
      <c r="AF88" s="233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8" workbookViewId="0">
      <selection activeCell="A843" sqref="A843:AE84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3" t="s">
        <v>1298</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1"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2" t="s">
        <v>1302</v>
      </c>
      <c r="AF7" s="2452"/>
      <c r="AG7" s="2452"/>
      <c r="AH7" s="2452"/>
      <c r="AI7" s="2452"/>
      <c r="AJ7" s="2452"/>
      <c r="AK7" s="2452"/>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4" t="s">
        <v>590</v>
      </c>
      <c r="C12" s="2594"/>
      <c r="D12" s="540"/>
      <c r="E12" s="2455" t="s">
        <v>2551</v>
      </c>
      <c r="F12" s="2456"/>
      <c r="G12" s="2456"/>
      <c r="H12" s="2456"/>
      <c r="I12" s="2456"/>
      <c r="J12" s="2456"/>
      <c r="K12" s="2456"/>
      <c r="L12" s="2456"/>
      <c r="M12" s="2456"/>
      <c r="N12" s="2456"/>
      <c r="O12" s="2456"/>
      <c r="P12" s="2456"/>
      <c r="Q12" s="2456"/>
      <c r="R12" s="2456"/>
      <c r="S12" s="2456"/>
      <c r="T12" s="2456"/>
      <c r="U12" s="2456"/>
      <c r="V12" s="2456"/>
      <c r="W12" s="2456"/>
      <c r="X12" s="2456"/>
      <c r="Y12" s="2456"/>
      <c r="Z12" s="2456"/>
      <c r="AA12" s="2456"/>
      <c r="AB12" s="2456"/>
      <c r="AC12" s="2456"/>
      <c r="AD12" s="2456"/>
      <c r="AE12" s="2456"/>
      <c r="AF12" s="2456"/>
      <c r="AG12" s="2456"/>
      <c r="AH12" s="2456"/>
      <c r="AI12" s="2456"/>
      <c r="AJ12" s="2457"/>
      <c r="AK12" s="540"/>
      <c r="AL12" s="540"/>
      <c r="AM12" s="540"/>
      <c r="AN12" s="535"/>
      <c r="AO12" s="557"/>
    </row>
    <row r="13" spans="1:41" s="536" customFormat="1" ht="12.75" customHeight="1">
      <c r="A13" s="540"/>
      <c r="D13" s="546"/>
      <c r="E13" s="2458"/>
      <c r="F13" s="2459"/>
      <c r="G13" s="2459"/>
      <c r="H13" s="2459"/>
      <c r="I13" s="2459"/>
      <c r="J13" s="2459"/>
      <c r="K13" s="2459"/>
      <c r="L13" s="2459"/>
      <c r="M13" s="2459"/>
      <c r="N13" s="2459"/>
      <c r="O13" s="2459"/>
      <c r="P13" s="2459"/>
      <c r="Q13" s="2459"/>
      <c r="R13" s="2459"/>
      <c r="S13" s="2459"/>
      <c r="T13" s="2459"/>
      <c r="U13" s="2459"/>
      <c r="V13" s="2459"/>
      <c r="W13" s="2459"/>
      <c r="X13" s="2459"/>
      <c r="Y13" s="2459"/>
      <c r="Z13" s="2459"/>
      <c r="AA13" s="2459"/>
      <c r="AB13" s="2459"/>
      <c r="AC13" s="2459"/>
      <c r="AD13" s="2459"/>
      <c r="AE13" s="2459"/>
      <c r="AF13" s="2459"/>
      <c r="AG13" s="2459"/>
      <c r="AH13" s="2459"/>
      <c r="AI13" s="2459"/>
      <c r="AJ13" s="2460"/>
      <c r="AK13" s="540"/>
      <c r="AL13" s="540"/>
      <c r="AM13" s="540"/>
      <c r="AN13" s="535"/>
      <c r="AO13" s="557"/>
    </row>
    <row r="14" spans="1:41" s="536" customFormat="1" ht="12.75" customHeight="1">
      <c r="A14" s="540"/>
      <c r="D14" s="540"/>
      <c r="E14" s="2611"/>
      <c r="F14" s="2612"/>
      <c r="G14" s="2612"/>
      <c r="H14" s="2612"/>
      <c r="I14" s="2612"/>
      <c r="J14" s="2612"/>
      <c r="K14" s="2612"/>
      <c r="L14" s="2612"/>
      <c r="M14" s="2612"/>
      <c r="N14" s="2612"/>
      <c r="O14" s="2612"/>
      <c r="P14" s="2612"/>
      <c r="Q14" s="2612"/>
      <c r="R14" s="2612"/>
      <c r="S14" s="2612"/>
      <c r="T14" s="2612"/>
      <c r="U14" s="2612"/>
      <c r="V14" s="2612"/>
      <c r="W14" s="2612"/>
      <c r="X14" s="2612"/>
      <c r="Y14" s="2612"/>
      <c r="Z14" s="2612"/>
      <c r="AA14" s="2612"/>
      <c r="AB14" s="2612"/>
      <c r="AC14" s="2612"/>
      <c r="AD14" s="2612"/>
      <c r="AE14" s="2612"/>
      <c r="AF14" s="2612"/>
      <c r="AG14" s="2612"/>
      <c r="AH14" s="2612"/>
      <c r="AI14" s="2612"/>
      <c r="AJ14" s="261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4" t="s">
        <v>590</v>
      </c>
      <c r="C16" s="2594"/>
      <c r="D16" s="540"/>
      <c r="E16" s="2455" t="s">
        <v>2552</v>
      </c>
      <c r="F16" s="2456"/>
      <c r="G16" s="2456"/>
      <c r="H16" s="2456"/>
      <c r="I16" s="2456"/>
      <c r="J16" s="2456"/>
      <c r="K16" s="2456"/>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c r="AH16" s="2456"/>
      <c r="AI16" s="2456"/>
      <c r="AJ16" s="2457"/>
      <c r="AK16" s="540"/>
      <c r="AL16" s="540"/>
      <c r="AM16" s="540"/>
      <c r="AN16" s="535"/>
    </row>
    <row r="17" spans="1:50" s="536" customFormat="1" ht="12.75" customHeight="1">
      <c r="A17" s="540"/>
      <c r="B17" s="540"/>
      <c r="C17" s="540"/>
      <c r="D17" s="540"/>
      <c r="E17" s="2458"/>
      <c r="F17" s="2459"/>
      <c r="G17" s="2459"/>
      <c r="H17" s="2459"/>
      <c r="I17" s="2459"/>
      <c r="J17" s="2459"/>
      <c r="K17" s="2459"/>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c r="AH17" s="2459"/>
      <c r="AI17" s="2459"/>
      <c r="AJ17" s="2460"/>
      <c r="AK17" s="540"/>
      <c r="AL17" s="540"/>
      <c r="AM17" s="540"/>
      <c r="AN17" s="535"/>
    </row>
    <row r="18" spans="1:50" s="536" customFormat="1" ht="12.75" customHeight="1">
      <c r="A18" s="540"/>
      <c r="B18" s="540"/>
      <c r="C18" s="1135"/>
      <c r="D18" s="540"/>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4" t="s">
        <v>590</v>
      </c>
      <c r="C20" s="2594"/>
      <c r="D20" s="540"/>
      <c r="E20" s="2455" t="s">
        <v>1979</v>
      </c>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7"/>
      <c r="AK20" s="540"/>
      <c r="AL20" s="540"/>
      <c r="AM20" s="540"/>
      <c r="AN20" s="535"/>
    </row>
    <row r="21" spans="1:50" s="536" customFormat="1" ht="12.75" customHeight="1">
      <c r="A21" s="540"/>
      <c r="B21" s="546"/>
      <c r="C21" s="546"/>
      <c r="D21" s="546"/>
      <c r="E21" s="2611"/>
      <c r="F21" s="2612"/>
      <c r="G21" s="2612"/>
      <c r="H21" s="2612"/>
      <c r="I21" s="2612"/>
      <c r="J21" s="2612"/>
      <c r="K21" s="2612"/>
      <c r="L21" s="2612"/>
      <c r="M21" s="2612"/>
      <c r="N21" s="2612"/>
      <c r="O21" s="2612"/>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3"/>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4" t="s">
        <v>590</v>
      </c>
      <c r="C26" s="2594"/>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5"/>
      <c r="AH26" s="2625"/>
      <c r="AI26" s="2625"/>
      <c r="AJ26" s="2626"/>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4" t="s">
        <v>590</v>
      </c>
      <c r="C30" s="2594"/>
      <c r="D30" s="546"/>
      <c r="E30" s="2627" t="s">
        <v>2559</v>
      </c>
      <c r="F30" s="2628"/>
      <c r="G30" s="2628"/>
      <c r="H30" s="2628"/>
      <c r="I30" s="2628"/>
      <c r="J30" s="2628"/>
      <c r="K30" s="2628"/>
      <c r="L30" s="2628"/>
      <c r="M30" s="2628"/>
      <c r="N30" s="2628"/>
      <c r="O30" s="2628"/>
      <c r="P30" s="2628"/>
      <c r="Q30" s="2628"/>
      <c r="R30" s="2628"/>
      <c r="S30" s="2628"/>
      <c r="T30" s="2628"/>
      <c r="U30" s="2628"/>
      <c r="V30" s="2628"/>
      <c r="W30" s="2628"/>
      <c r="X30" s="2628"/>
      <c r="Y30" s="2628"/>
      <c r="Z30" s="2628"/>
      <c r="AA30" s="2628"/>
      <c r="AB30" s="2628"/>
      <c r="AC30" s="2628"/>
      <c r="AD30" s="2628"/>
      <c r="AE30" s="2628"/>
      <c r="AF30" s="2628"/>
      <c r="AG30" s="2628"/>
      <c r="AH30" s="2628"/>
      <c r="AI30" s="2628"/>
      <c r="AJ30" s="2629"/>
      <c r="AK30" s="540"/>
      <c r="AL30" s="540"/>
      <c r="AM30" s="540"/>
      <c r="AN30" s="535"/>
      <c r="AO30" s="549">
        <f>IF($B30="yes",9,0)</f>
        <v>0</v>
      </c>
    </row>
    <row r="31" spans="1:50" s="536" customFormat="1" ht="12.75" customHeight="1">
      <c r="A31" s="540"/>
      <c r="B31" s="540"/>
      <c r="C31" s="540"/>
      <c r="E31" s="2633"/>
      <c r="F31" s="2634"/>
      <c r="G31" s="2634"/>
      <c r="H31" s="2634"/>
      <c r="I31" s="2634"/>
      <c r="J31" s="2634"/>
      <c r="K31" s="2634"/>
      <c r="L31" s="2634"/>
      <c r="M31" s="2634"/>
      <c r="N31" s="2634"/>
      <c r="O31" s="2634"/>
      <c r="P31" s="2634"/>
      <c r="Q31" s="2634"/>
      <c r="R31" s="2634"/>
      <c r="S31" s="2634"/>
      <c r="T31" s="2634"/>
      <c r="U31" s="2634"/>
      <c r="V31" s="2634"/>
      <c r="W31" s="2634"/>
      <c r="X31" s="2634"/>
      <c r="Y31" s="2634"/>
      <c r="Z31" s="2634"/>
      <c r="AA31" s="2634"/>
      <c r="AB31" s="2634"/>
      <c r="AC31" s="2634"/>
      <c r="AD31" s="2634"/>
      <c r="AE31" s="2634"/>
      <c r="AF31" s="2634"/>
      <c r="AG31" s="2634"/>
      <c r="AH31" s="2634"/>
      <c r="AI31" s="2634"/>
      <c r="AJ31" s="263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4" t="s">
        <v>590</v>
      </c>
      <c r="C33" s="2594"/>
      <c r="D33" s="546"/>
      <c r="E33" s="2627" t="s">
        <v>2560</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49">
        <f>IF($B39="yes",9,0)</f>
        <v>0</v>
      </c>
    </row>
    <row r="34" spans="1:43" s="536" customFormat="1" ht="12.75" customHeight="1">
      <c r="A34" s="540"/>
      <c r="B34" s="540"/>
      <c r="C34" s="540"/>
      <c r="D34" s="546"/>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c r="AO34" s="536">
        <f>MAX(AO30,AO31,AO32,AO33)</f>
        <v>0</v>
      </c>
      <c r="AP34" s="536" t="s">
        <v>1304</v>
      </c>
    </row>
    <row r="35" spans="1:43" s="536" customFormat="1" ht="12.75" customHeight="1">
      <c r="A35" s="540"/>
      <c r="B35" s="540"/>
      <c r="C35" s="540"/>
      <c r="E35" s="2633"/>
      <c r="F35" s="2634"/>
      <c r="G35" s="2634"/>
      <c r="H35" s="2634"/>
      <c r="I35" s="2634"/>
      <c r="J35" s="2634"/>
      <c r="K35" s="2634"/>
      <c r="L35" s="2634"/>
      <c r="M35" s="2634"/>
      <c r="N35" s="2634"/>
      <c r="O35" s="2634"/>
      <c r="P35" s="2634"/>
      <c r="Q35" s="2634"/>
      <c r="R35" s="2634"/>
      <c r="S35" s="2634"/>
      <c r="T35" s="2634"/>
      <c r="U35" s="2634"/>
      <c r="V35" s="2634"/>
      <c r="W35" s="2634"/>
      <c r="X35" s="2634"/>
      <c r="Y35" s="2634"/>
      <c r="Z35" s="2634"/>
      <c r="AA35" s="2634"/>
      <c r="AB35" s="2634"/>
      <c r="AC35" s="2634"/>
      <c r="AD35" s="2634"/>
      <c r="AE35" s="2634"/>
      <c r="AF35" s="2634"/>
      <c r="AG35" s="2634"/>
      <c r="AH35" s="2634"/>
      <c r="AI35" s="2634"/>
      <c r="AJ35" s="263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4" t="s">
        <v>590</v>
      </c>
      <c r="C37" s="2594"/>
      <c r="D37" s="1136"/>
      <c r="E37" s="2620" t="s">
        <v>2564</v>
      </c>
      <c r="F37" s="2621"/>
      <c r="G37" s="2621"/>
      <c r="H37" s="2621"/>
      <c r="I37" s="2621"/>
      <c r="J37" s="2621"/>
      <c r="K37" s="2621"/>
      <c r="L37" s="2621"/>
      <c r="M37" s="2621"/>
      <c r="N37" s="2621"/>
      <c r="O37" s="2621"/>
      <c r="P37" s="2621"/>
      <c r="Q37" s="2621"/>
      <c r="R37" s="2621"/>
      <c r="S37" s="2621"/>
      <c r="T37" s="2621"/>
      <c r="U37" s="2621"/>
      <c r="V37" s="2621"/>
      <c r="W37" s="2621"/>
      <c r="X37" s="2621"/>
      <c r="Y37" s="2621"/>
      <c r="Z37" s="2621"/>
      <c r="AA37" s="2621"/>
      <c r="AB37" s="2621"/>
      <c r="AC37" s="2621"/>
      <c r="AD37" s="2621"/>
      <c r="AE37" s="2621"/>
      <c r="AF37" s="2621"/>
      <c r="AG37" s="2621"/>
      <c r="AH37" s="2621"/>
      <c r="AI37" s="2621"/>
      <c r="AJ37" s="2622"/>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4" t="s">
        <v>590</v>
      </c>
      <c r="C39" s="2594"/>
      <c r="D39" s="1136"/>
      <c r="E39" s="2620" t="s">
        <v>2561</v>
      </c>
      <c r="F39" s="2621"/>
      <c r="G39" s="2621"/>
      <c r="H39" s="2621"/>
      <c r="I39" s="2621"/>
      <c r="J39" s="2621"/>
      <c r="K39" s="2621"/>
      <c r="L39" s="2621"/>
      <c r="M39" s="2621"/>
      <c r="N39" s="2621"/>
      <c r="O39" s="2621"/>
      <c r="P39" s="2621"/>
      <c r="Q39" s="2621"/>
      <c r="R39" s="2621"/>
      <c r="S39" s="2621"/>
      <c r="T39" s="2621"/>
      <c r="U39" s="2621"/>
      <c r="V39" s="2621"/>
      <c r="W39" s="2621"/>
      <c r="X39" s="2621"/>
      <c r="Y39" s="2621"/>
      <c r="Z39" s="2621"/>
      <c r="AA39" s="2621"/>
      <c r="AB39" s="2621"/>
      <c r="AC39" s="2621"/>
      <c r="AD39" s="2621"/>
      <c r="AE39" s="2621"/>
      <c r="AF39" s="2621"/>
      <c r="AG39" s="2621"/>
      <c r="AH39" s="2621"/>
      <c r="AI39" s="2621"/>
      <c r="AJ39" s="2622"/>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4" t="s">
        <v>590</v>
      </c>
      <c r="C43" s="2594"/>
      <c r="D43" s="546"/>
      <c r="E43" s="2595" t="s">
        <v>2563</v>
      </c>
      <c r="F43" s="2596"/>
      <c r="G43" s="2596"/>
      <c r="H43" s="2596"/>
      <c r="I43" s="2596"/>
      <c r="J43" s="2596"/>
      <c r="K43" s="2596"/>
      <c r="L43" s="2596"/>
      <c r="M43" s="2596"/>
      <c r="N43" s="2596"/>
      <c r="O43" s="2596"/>
      <c r="P43" s="2596"/>
      <c r="Q43" s="2596"/>
      <c r="R43" s="2596"/>
      <c r="S43" s="2596"/>
      <c r="T43" s="2596"/>
      <c r="U43" s="2596"/>
      <c r="V43" s="2596"/>
      <c r="W43" s="2596"/>
      <c r="X43" s="2596"/>
      <c r="Y43" s="2596"/>
      <c r="Z43" s="2596"/>
      <c r="AA43" s="2596"/>
      <c r="AB43" s="2596"/>
      <c r="AC43" s="2596"/>
      <c r="AD43" s="2596"/>
      <c r="AE43" s="2596"/>
      <c r="AF43" s="2596"/>
      <c r="AG43" s="2596"/>
      <c r="AH43" s="2596"/>
      <c r="AI43" s="2596"/>
      <c r="AJ43" s="2597"/>
      <c r="AK43" s="540"/>
      <c r="AL43" s="540"/>
      <c r="AM43" s="540"/>
      <c r="AN43" s="535"/>
      <c r="AO43" s="549">
        <f>IF($B43="yes",8,0)</f>
        <v>0</v>
      </c>
      <c r="AP43" s="14"/>
    </row>
    <row r="44" spans="1:43" s="536" customFormat="1" ht="12.75" customHeight="1">
      <c r="A44" s="540"/>
      <c r="B44" s="540"/>
      <c r="C44" s="540"/>
      <c r="D44" s="550"/>
      <c r="E44" s="2636"/>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8"/>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4" t="s">
        <v>590</v>
      </c>
      <c r="C46" s="2594"/>
      <c r="D46" s="546"/>
      <c r="E46" s="2627" t="s">
        <v>2562</v>
      </c>
      <c r="F46" s="2628"/>
      <c r="G46" s="2628"/>
      <c r="H46" s="2628"/>
      <c r="I46" s="2628"/>
      <c r="J46" s="2628"/>
      <c r="K46" s="2628"/>
      <c r="L46" s="2628"/>
      <c r="M46" s="2628"/>
      <c r="N46" s="2628"/>
      <c r="O46" s="2628"/>
      <c r="P46" s="2628"/>
      <c r="Q46" s="2628"/>
      <c r="R46" s="2628"/>
      <c r="S46" s="2628"/>
      <c r="T46" s="2628"/>
      <c r="U46" s="2628"/>
      <c r="V46" s="2628"/>
      <c r="W46" s="2628"/>
      <c r="X46" s="2628"/>
      <c r="Y46" s="2628"/>
      <c r="Z46" s="2628"/>
      <c r="AA46" s="2628"/>
      <c r="AB46" s="2628"/>
      <c r="AC46" s="2628"/>
      <c r="AD46" s="2628"/>
      <c r="AE46" s="2628"/>
      <c r="AF46" s="2628"/>
      <c r="AG46" s="2628"/>
      <c r="AH46" s="2628"/>
      <c r="AI46" s="2628"/>
      <c r="AJ46" s="2629"/>
      <c r="AK46" s="540"/>
      <c r="AL46" s="540"/>
      <c r="AM46" s="540"/>
      <c r="AN46" s="535"/>
      <c r="AO46" s="549">
        <f>IF($B52="yes",8,0)</f>
        <v>0</v>
      </c>
    </row>
    <row r="47" spans="1:43" s="536" customFormat="1" ht="12.75" customHeight="1">
      <c r="A47" s="540"/>
      <c r="B47" s="540"/>
      <c r="C47" s="540"/>
      <c r="D47" s="549"/>
      <c r="E47" s="2633"/>
      <c r="F47" s="2634"/>
      <c r="G47" s="2634"/>
      <c r="H47" s="2634"/>
      <c r="I47" s="2634"/>
      <c r="J47" s="2634"/>
      <c r="K47" s="2634"/>
      <c r="L47" s="2634"/>
      <c r="M47" s="2634"/>
      <c r="N47" s="2634"/>
      <c r="O47" s="2634"/>
      <c r="P47" s="2634"/>
      <c r="Q47" s="2634"/>
      <c r="R47" s="2634"/>
      <c r="S47" s="2634"/>
      <c r="T47" s="2634"/>
      <c r="U47" s="2634"/>
      <c r="V47" s="2634"/>
      <c r="W47" s="2634"/>
      <c r="X47" s="2634"/>
      <c r="Y47" s="2634"/>
      <c r="Z47" s="2634"/>
      <c r="AA47" s="2634"/>
      <c r="AB47" s="2634"/>
      <c r="AC47" s="2634"/>
      <c r="AD47" s="2634"/>
      <c r="AE47" s="2634"/>
      <c r="AF47" s="2634"/>
      <c r="AG47" s="2634"/>
      <c r="AH47" s="2634"/>
      <c r="AI47" s="2634"/>
      <c r="AJ47" s="2635"/>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4" t="s">
        <v>590</v>
      </c>
      <c r="C49" s="2594"/>
      <c r="D49" s="546"/>
      <c r="E49" s="2455" t="s">
        <v>1993</v>
      </c>
      <c r="F49" s="2456"/>
      <c r="G49" s="2456"/>
      <c r="H49" s="2456"/>
      <c r="I49" s="2456"/>
      <c r="J49" s="2456"/>
      <c r="K49" s="2456"/>
      <c r="L49" s="2456"/>
      <c r="M49" s="2456"/>
      <c r="N49" s="2456"/>
      <c r="O49" s="2456"/>
      <c r="P49" s="2456"/>
      <c r="Q49" s="2456"/>
      <c r="R49" s="2456"/>
      <c r="S49" s="2456"/>
      <c r="T49" s="2456"/>
      <c r="U49" s="2456"/>
      <c r="V49" s="2456"/>
      <c r="W49" s="2456"/>
      <c r="X49" s="2456"/>
      <c r="Y49" s="2456"/>
      <c r="Z49" s="2456"/>
      <c r="AA49" s="2456"/>
      <c r="AB49" s="2456"/>
      <c r="AC49" s="2456"/>
      <c r="AD49" s="2456"/>
      <c r="AE49" s="2456"/>
      <c r="AF49" s="2456"/>
      <c r="AG49" s="2456"/>
      <c r="AH49" s="2456"/>
      <c r="AI49" s="2456"/>
      <c r="AJ49" s="2457"/>
      <c r="AK49" s="540"/>
      <c r="AL49" s="540"/>
      <c r="AM49" s="540"/>
      <c r="AN49" s="535"/>
      <c r="AO49" s="549"/>
    </row>
    <row r="50" spans="1:42" s="536" customFormat="1" ht="12.75" customHeight="1">
      <c r="A50" s="540"/>
      <c r="B50" s="540"/>
      <c r="C50" s="540"/>
      <c r="D50" s="549"/>
      <c r="E50" s="2611"/>
      <c r="F50" s="2612"/>
      <c r="G50" s="2612"/>
      <c r="H50" s="2612"/>
      <c r="I50" s="2612"/>
      <c r="J50" s="2612"/>
      <c r="K50" s="2612"/>
      <c r="L50" s="2612"/>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4" t="s">
        <v>590</v>
      </c>
      <c r="C52" s="2594"/>
      <c r="D52" s="546"/>
      <c r="E52" s="2620" t="s">
        <v>2202</v>
      </c>
      <c r="F52" s="2621"/>
      <c r="G52" s="2621"/>
      <c r="H52" s="2621"/>
      <c r="I52" s="2621"/>
      <c r="J52" s="2621"/>
      <c r="K52" s="2621"/>
      <c r="L52" s="2621"/>
      <c r="M52" s="2621"/>
      <c r="N52" s="2621"/>
      <c r="O52" s="2621"/>
      <c r="P52" s="2621"/>
      <c r="Q52" s="2621"/>
      <c r="R52" s="2621"/>
      <c r="S52" s="2621"/>
      <c r="T52" s="2621"/>
      <c r="U52" s="2621"/>
      <c r="V52" s="2621"/>
      <c r="W52" s="2621"/>
      <c r="X52" s="2621"/>
      <c r="Y52" s="2621"/>
      <c r="Z52" s="2621"/>
      <c r="AA52" s="2621"/>
      <c r="AB52" s="2621"/>
      <c r="AC52" s="2621"/>
      <c r="AD52" s="2621"/>
      <c r="AE52" s="2621"/>
      <c r="AF52" s="2621"/>
      <c r="AG52" s="2621"/>
      <c r="AH52" s="2621"/>
      <c r="AI52" s="2621"/>
      <c r="AJ52" s="2622"/>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4" t="s">
        <v>590</v>
      </c>
      <c r="C56" s="2594"/>
      <c r="D56" s="546"/>
      <c r="E56" s="2455" t="s">
        <v>2565</v>
      </c>
      <c r="F56" s="2456"/>
      <c r="G56" s="2456"/>
      <c r="H56" s="2456"/>
      <c r="I56" s="2456"/>
      <c r="J56" s="2456"/>
      <c r="K56" s="2456"/>
      <c r="L56" s="2456"/>
      <c r="M56" s="2456"/>
      <c r="N56" s="2456"/>
      <c r="O56" s="2456"/>
      <c r="P56" s="2456"/>
      <c r="Q56" s="2456"/>
      <c r="R56" s="2456"/>
      <c r="S56" s="2456"/>
      <c r="T56" s="2456"/>
      <c r="U56" s="2456"/>
      <c r="V56" s="2456"/>
      <c r="W56" s="2456"/>
      <c r="X56" s="2456"/>
      <c r="Y56" s="2456"/>
      <c r="Z56" s="2456"/>
      <c r="AA56" s="2456"/>
      <c r="AB56" s="2456"/>
      <c r="AC56" s="2456"/>
      <c r="AD56" s="2456"/>
      <c r="AE56" s="2456"/>
      <c r="AF56" s="2456"/>
      <c r="AG56" s="2456"/>
      <c r="AH56" s="2456"/>
      <c r="AI56" s="2456"/>
      <c r="AJ56" s="2457"/>
      <c r="AK56" s="540"/>
      <c r="AL56" s="540"/>
      <c r="AM56" s="540"/>
      <c r="AN56" s="535"/>
      <c r="AO56" s="549">
        <f>IF($B59="yes",7,0)</f>
        <v>0</v>
      </c>
    </row>
    <row r="57" spans="1:42" s="536" customFormat="1" ht="12.75" customHeight="1">
      <c r="A57" s="540"/>
      <c r="B57" s="540"/>
      <c r="C57" s="540"/>
      <c r="D57" s="549"/>
      <c r="E57" s="2611"/>
      <c r="F57" s="2612"/>
      <c r="G57" s="2612"/>
      <c r="H57" s="2612"/>
      <c r="I57" s="2612"/>
      <c r="J57" s="2612"/>
      <c r="K57" s="2612"/>
      <c r="L57" s="2612"/>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3"/>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4" t="s">
        <v>590</v>
      </c>
      <c r="C59" s="2594"/>
      <c r="D59" s="546"/>
      <c r="E59" s="2620" t="s">
        <v>2566</v>
      </c>
      <c r="F59" s="2621"/>
      <c r="G59" s="2621"/>
      <c r="H59" s="2621"/>
      <c r="I59" s="2621"/>
      <c r="J59" s="2621"/>
      <c r="K59" s="2621"/>
      <c r="L59" s="2621"/>
      <c r="M59" s="2621"/>
      <c r="N59" s="2621"/>
      <c r="O59" s="2621"/>
      <c r="P59" s="2621"/>
      <c r="Q59" s="2621"/>
      <c r="R59" s="2621"/>
      <c r="S59" s="2621"/>
      <c r="T59" s="2621"/>
      <c r="U59" s="2621"/>
      <c r="V59" s="2621"/>
      <c r="W59" s="2621"/>
      <c r="X59" s="2621"/>
      <c r="Y59" s="2621"/>
      <c r="Z59" s="2621"/>
      <c r="AA59" s="2621"/>
      <c r="AB59" s="2621"/>
      <c r="AC59" s="2621"/>
      <c r="AD59" s="2621"/>
      <c r="AE59" s="2621"/>
      <c r="AF59" s="2621"/>
      <c r="AG59" s="2621"/>
      <c r="AH59" s="2621"/>
      <c r="AI59" s="2621"/>
      <c r="AJ59" s="2622"/>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6">
        <f>AO60</f>
        <v>0</v>
      </c>
      <c r="AL61" s="2587"/>
      <c r="AM61" s="258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2" t="s">
        <v>1307</v>
      </c>
      <c r="AF64" s="2452"/>
      <c r="AG64" s="2452"/>
      <c r="AH64" s="2452"/>
      <c r="AI64" s="2452"/>
      <c r="AJ64" s="2452"/>
      <c r="AK64" s="2452"/>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4" t="s">
        <v>590</v>
      </c>
      <c r="C67" s="2594"/>
      <c r="D67" s="546" t="s">
        <v>1308</v>
      </c>
      <c r="E67" s="2595" t="s">
        <v>1980</v>
      </c>
      <c r="F67" s="2596"/>
      <c r="G67" s="2596"/>
      <c r="H67" s="2596"/>
      <c r="I67" s="2596"/>
      <c r="J67" s="2596"/>
      <c r="K67" s="2596"/>
      <c r="L67" s="2596"/>
      <c r="M67" s="2596"/>
      <c r="N67" s="2596"/>
      <c r="O67" s="2596"/>
      <c r="P67" s="2596"/>
      <c r="Q67" s="2596"/>
      <c r="R67" s="2596"/>
      <c r="S67" s="2596"/>
      <c r="T67" s="2596"/>
      <c r="U67" s="2596"/>
      <c r="V67" s="2596"/>
      <c r="W67" s="2596"/>
      <c r="X67" s="2596"/>
      <c r="Y67" s="2596"/>
      <c r="Z67" s="2596"/>
      <c r="AA67" s="2596"/>
      <c r="AB67" s="2596"/>
      <c r="AC67" s="2596"/>
      <c r="AD67" s="2596"/>
      <c r="AE67" s="2596"/>
      <c r="AF67" s="2596"/>
      <c r="AG67" s="2596"/>
      <c r="AH67" s="2596"/>
      <c r="AI67" s="2596"/>
      <c r="AJ67" s="2597"/>
      <c r="AK67" s="543"/>
      <c r="AL67" s="540"/>
      <c r="AM67" s="540"/>
      <c r="AN67" s="535"/>
      <c r="AO67" s="549">
        <f>IF($B67="yes",10,0)</f>
        <v>0</v>
      </c>
    </row>
    <row r="68" spans="1:42" s="536" customFormat="1" ht="12.75" customHeight="1">
      <c r="A68" s="538"/>
      <c r="B68" s="540"/>
      <c r="C68" s="540"/>
      <c r="D68" s="550"/>
      <c r="E68" s="2598"/>
      <c r="F68" s="2599"/>
      <c r="G68" s="2599"/>
      <c r="H68" s="2599"/>
      <c r="I68" s="2599"/>
      <c r="J68" s="2599"/>
      <c r="K68" s="2599"/>
      <c r="L68" s="2599"/>
      <c r="M68" s="2599"/>
      <c r="N68" s="2599"/>
      <c r="O68" s="2599"/>
      <c r="P68" s="2599"/>
      <c r="Q68" s="2599"/>
      <c r="R68" s="2599"/>
      <c r="S68" s="2599"/>
      <c r="T68" s="2599"/>
      <c r="U68" s="2599"/>
      <c r="V68" s="2599"/>
      <c r="W68" s="2599"/>
      <c r="X68" s="2599"/>
      <c r="Y68" s="2599"/>
      <c r="Z68" s="2599"/>
      <c r="AA68" s="2599"/>
      <c r="AB68" s="2599"/>
      <c r="AC68" s="2599"/>
      <c r="AD68" s="2599"/>
      <c r="AE68" s="2599"/>
      <c r="AF68" s="2599"/>
      <c r="AG68" s="2599"/>
      <c r="AH68" s="2599"/>
      <c r="AI68" s="2599"/>
      <c r="AJ68" s="2600"/>
      <c r="AK68" s="543"/>
      <c r="AL68" s="540"/>
      <c r="AM68" s="540"/>
      <c r="AN68" s="535"/>
      <c r="AO68" s="549">
        <f>IF(AND($B73="yes",OR(E74="Yes",E75="Yes",E76="Yes")),10,0)</f>
        <v>0</v>
      </c>
    </row>
    <row r="69" spans="1:42" s="536" customFormat="1" ht="12.75" customHeight="1">
      <c r="A69" s="538"/>
      <c r="B69" s="540"/>
      <c r="C69" s="540"/>
      <c r="D69" s="550"/>
      <c r="E69" s="2598"/>
      <c r="F69" s="2599"/>
      <c r="G69" s="2599"/>
      <c r="H69" s="2599"/>
      <c r="I69" s="2599"/>
      <c r="J69" s="2599"/>
      <c r="K69" s="2599"/>
      <c r="L69" s="2599"/>
      <c r="M69" s="2599"/>
      <c r="N69" s="2599"/>
      <c r="O69" s="2599"/>
      <c r="P69" s="2599"/>
      <c r="Q69" s="2599"/>
      <c r="R69" s="2599"/>
      <c r="S69" s="2599"/>
      <c r="T69" s="2599"/>
      <c r="U69" s="2599"/>
      <c r="V69" s="2599"/>
      <c r="W69" s="2599"/>
      <c r="X69" s="2599"/>
      <c r="Y69" s="2599"/>
      <c r="Z69" s="2599"/>
      <c r="AA69" s="2599"/>
      <c r="AB69" s="2599"/>
      <c r="AC69" s="2599"/>
      <c r="AD69" s="2599"/>
      <c r="AE69" s="2599"/>
      <c r="AF69" s="2599"/>
      <c r="AG69" s="2599"/>
      <c r="AH69" s="2599"/>
      <c r="AI69" s="2599"/>
      <c r="AJ69" s="2600"/>
      <c r="AK69" s="543"/>
      <c r="AL69" s="540"/>
      <c r="AM69" s="540"/>
      <c r="AN69" s="535"/>
      <c r="AO69" s="549">
        <f>IF($B78="yes",10,0)</f>
        <v>10</v>
      </c>
    </row>
    <row r="70" spans="1:42" s="536" customFormat="1" ht="12.75" customHeight="1">
      <c r="A70" s="538"/>
      <c r="B70" s="540"/>
      <c r="C70" s="540"/>
      <c r="D70" s="550"/>
      <c r="E70" s="2598"/>
      <c r="F70" s="2599"/>
      <c r="G70" s="2599"/>
      <c r="H70" s="2599"/>
      <c r="I70" s="2599"/>
      <c r="J70" s="2599"/>
      <c r="K70" s="2599"/>
      <c r="L70" s="2599"/>
      <c r="M70" s="2599"/>
      <c r="N70" s="2599"/>
      <c r="O70" s="2599"/>
      <c r="P70" s="2599"/>
      <c r="Q70" s="2599"/>
      <c r="R70" s="2599"/>
      <c r="S70" s="2599"/>
      <c r="T70" s="2599"/>
      <c r="U70" s="2599"/>
      <c r="V70" s="2599"/>
      <c r="W70" s="2599"/>
      <c r="X70" s="2599"/>
      <c r="Y70" s="2599"/>
      <c r="Z70" s="2599"/>
      <c r="AA70" s="2599"/>
      <c r="AB70" s="2599"/>
      <c r="AC70" s="2599"/>
      <c r="AD70" s="2599"/>
      <c r="AE70" s="2599"/>
      <c r="AF70" s="2599"/>
      <c r="AG70" s="2599"/>
      <c r="AH70" s="2599"/>
      <c r="AI70" s="2599"/>
      <c r="AJ70" s="2600"/>
      <c r="AK70" s="543"/>
      <c r="AL70" s="540"/>
      <c r="AM70" s="540"/>
      <c r="AN70" s="535"/>
      <c r="AO70" s="549">
        <f>IF($B81="yes",10,0)</f>
        <v>0</v>
      </c>
    </row>
    <row r="71" spans="1:42" s="536" customFormat="1" ht="12.75" customHeight="1">
      <c r="A71" s="538"/>
      <c r="B71" s="540"/>
      <c r="C71" s="540"/>
      <c r="D71" s="550"/>
      <c r="E71" s="2636"/>
      <c r="F71" s="2637"/>
      <c r="G71" s="2637"/>
      <c r="H71" s="2637"/>
      <c r="I71" s="2637"/>
      <c r="J71" s="2637"/>
      <c r="K71" s="2637"/>
      <c r="L71" s="2637"/>
      <c r="M71" s="2637"/>
      <c r="N71" s="2637"/>
      <c r="O71" s="2637"/>
      <c r="P71" s="2637"/>
      <c r="Q71" s="2637"/>
      <c r="R71" s="2637"/>
      <c r="S71" s="2637"/>
      <c r="T71" s="2637"/>
      <c r="U71" s="2637"/>
      <c r="V71" s="2637"/>
      <c r="W71" s="2637"/>
      <c r="X71" s="2637"/>
      <c r="Y71" s="2637"/>
      <c r="Z71" s="2637"/>
      <c r="AA71" s="2637"/>
      <c r="AB71" s="2637"/>
      <c r="AC71" s="2637"/>
      <c r="AD71" s="2637"/>
      <c r="AE71" s="2637"/>
      <c r="AF71" s="2637"/>
      <c r="AG71" s="2637"/>
      <c r="AH71" s="2637"/>
      <c r="AI71" s="2637"/>
      <c r="AJ71" s="2638"/>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4" t="s">
        <v>590</v>
      </c>
      <c r="C73" s="2594"/>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2" t="s">
        <v>590</v>
      </c>
      <c r="F74" s="2594"/>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0" t="s">
        <v>590</v>
      </c>
      <c r="F75" s="2641"/>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0" t="s">
        <v>590</v>
      </c>
      <c r="F76" s="2641"/>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4" t="s">
        <v>544</v>
      </c>
      <c r="C78" s="2594"/>
      <c r="D78" s="546" t="s">
        <v>1313</v>
      </c>
      <c r="E78" s="2455" t="s">
        <v>1728</v>
      </c>
      <c r="F78" s="2456"/>
      <c r="G78" s="2456"/>
      <c r="H78" s="2456"/>
      <c r="I78" s="2456"/>
      <c r="J78" s="2456"/>
      <c r="K78" s="2456"/>
      <c r="L78" s="2456"/>
      <c r="M78" s="2456"/>
      <c r="N78" s="2456"/>
      <c r="O78" s="2456"/>
      <c r="P78" s="2456"/>
      <c r="Q78" s="2456"/>
      <c r="R78" s="2456"/>
      <c r="S78" s="2456"/>
      <c r="T78" s="2456"/>
      <c r="U78" s="2456"/>
      <c r="V78" s="2456"/>
      <c r="W78" s="2456"/>
      <c r="X78" s="2456"/>
      <c r="Y78" s="2456"/>
      <c r="Z78" s="2456"/>
      <c r="AA78" s="2456"/>
      <c r="AB78" s="2456"/>
      <c r="AC78" s="2456"/>
      <c r="AD78" s="2456"/>
      <c r="AE78" s="2456"/>
      <c r="AF78" s="2456"/>
      <c r="AG78" s="2456"/>
      <c r="AH78" s="2456"/>
      <c r="AI78" s="2456"/>
      <c r="AJ78" s="2457"/>
      <c r="AK78" s="543"/>
      <c r="AL78" s="540"/>
      <c r="AM78" s="540"/>
      <c r="AN78" s="535"/>
    </row>
    <row r="79" spans="1:42" s="536" customFormat="1" ht="12.75" customHeight="1">
      <c r="A79" s="538"/>
      <c r="B79" s="540"/>
      <c r="C79" s="540"/>
      <c r="E79" s="2611"/>
      <c r="F79" s="2612"/>
      <c r="G79" s="2612"/>
      <c r="H79" s="2612"/>
      <c r="I79" s="2612"/>
      <c r="J79" s="2612"/>
      <c r="K79" s="2612"/>
      <c r="L79" s="2612"/>
      <c r="M79" s="2612"/>
      <c r="N79" s="2612"/>
      <c r="O79" s="2612"/>
      <c r="P79" s="2612"/>
      <c r="Q79" s="2612"/>
      <c r="R79" s="2612"/>
      <c r="S79" s="2612"/>
      <c r="T79" s="2612"/>
      <c r="U79" s="2612"/>
      <c r="V79" s="2612"/>
      <c r="W79" s="2612"/>
      <c r="X79" s="2612"/>
      <c r="Y79" s="2612"/>
      <c r="Z79" s="2612"/>
      <c r="AA79" s="2612"/>
      <c r="AB79" s="2612"/>
      <c r="AC79" s="2612"/>
      <c r="AD79" s="2612"/>
      <c r="AE79" s="2612"/>
      <c r="AF79" s="2612"/>
      <c r="AG79" s="2612"/>
      <c r="AH79" s="2612"/>
      <c r="AI79" s="2612"/>
      <c r="AJ79" s="261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4" t="s">
        <v>590</v>
      </c>
      <c r="C81" s="2594"/>
      <c r="D81" s="546" t="s">
        <v>1460</v>
      </c>
      <c r="E81" s="2620" t="s">
        <v>1726</v>
      </c>
      <c r="F81" s="2621"/>
      <c r="G81" s="2621"/>
      <c r="H81" s="2621"/>
      <c r="I81" s="2621"/>
      <c r="J81" s="2621"/>
      <c r="K81" s="2621"/>
      <c r="L81" s="2621"/>
      <c r="M81" s="2621"/>
      <c r="N81" s="2621"/>
      <c r="O81" s="2621"/>
      <c r="P81" s="2621"/>
      <c r="Q81" s="2621"/>
      <c r="R81" s="2621"/>
      <c r="S81" s="2621"/>
      <c r="T81" s="2621"/>
      <c r="U81" s="2621"/>
      <c r="V81" s="2621"/>
      <c r="W81" s="2621"/>
      <c r="X81" s="2621"/>
      <c r="Y81" s="2621"/>
      <c r="Z81" s="2621"/>
      <c r="AA81" s="2621"/>
      <c r="AB81" s="2621"/>
      <c r="AC81" s="2621"/>
      <c r="AD81" s="2621"/>
      <c r="AE81" s="2621"/>
      <c r="AF81" s="2621"/>
      <c r="AG81" s="2621"/>
      <c r="AH81" s="2621"/>
      <c r="AI81" s="2621"/>
      <c r="AJ81" s="2622"/>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6">
        <f>IF(AK61&gt;0,0,AO71)</f>
        <v>10</v>
      </c>
      <c r="AL83" s="2587"/>
      <c r="AM83" s="258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2" t="s">
        <v>1302</v>
      </c>
      <c r="AF86" s="2452"/>
      <c r="AG86" s="2452"/>
      <c r="AH86" s="2452"/>
      <c r="AI86" s="2452"/>
      <c r="AJ86" s="2452"/>
      <c r="AK86" s="2452"/>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4" t="s">
        <v>544</v>
      </c>
      <c r="C89" s="2594"/>
      <c r="D89" s="546" t="s">
        <v>1308</v>
      </c>
      <c r="E89" s="2595" t="s">
        <v>1318</v>
      </c>
      <c r="F89" s="2596"/>
      <c r="G89" s="2596"/>
      <c r="H89" s="2596"/>
      <c r="I89" s="2596"/>
      <c r="J89" s="2596"/>
      <c r="K89" s="2596"/>
      <c r="L89" s="2596"/>
      <c r="M89" s="2596"/>
      <c r="N89" s="2596"/>
      <c r="O89" s="2596"/>
      <c r="P89" s="2596"/>
      <c r="Q89" s="2596"/>
      <c r="R89" s="2596"/>
      <c r="S89" s="2596"/>
      <c r="T89" s="2596"/>
      <c r="U89" s="2596"/>
      <c r="V89" s="2596"/>
      <c r="W89" s="2596"/>
      <c r="X89" s="2596"/>
      <c r="Y89" s="2596"/>
      <c r="Z89" s="2596"/>
      <c r="AA89" s="2596"/>
      <c r="AB89" s="2596"/>
      <c r="AC89" s="2596"/>
      <c r="AD89" s="2596"/>
      <c r="AE89" s="2596"/>
      <c r="AF89" s="2596"/>
      <c r="AG89" s="2596"/>
      <c r="AH89" s="2596"/>
      <c r="AI89" s="2596"/>
      <c r="AJ89" s="2597"/>
      <c r="AK89" s="543"/>
      <c r="AL89" s="540"/>
      <c r="AM89" s="540"/>
      <c r="AN89" s="535"/>
    </row>
    <row r="90" spans="1:43" s="536" customFormat="1" ht="12.75" customHeight="1">
      <c r="A90" s="538"/>
      <c r="B90" s="539"/>
      <c r="C90" s="539"/>
      <c r="D90" s="539"/>
      <c r="E90" s="2598"/>
      <c r="F90" s="2599"/>
      <c r="G90" s="2599"/>
      <c r="H90" s="2599"/>
      <c r="I90" s="2599"/>
      <c r="J90" s="2599"/>
      <c r="K90" s="2599"/>
      <c r="L90" s="2599"/>
      <c r="M90" s="2599"/>
      <c r="N90" s="2599"/>
      <c r="O90" s="2599"/>
      <c r="P90" s="2599"/>
      <c r="Q90" s="2599"/>
      <c r="R90" s="2599"/>
      <c r="S90" s="2599"/>
      <c r="T90" s="2599"/>
      <c r="U90" s="2599"/>
      <c r="V90" s="2599"/>
      <c r="W90" s="2599"/>
      <c r="X90" s="2599"/>
      <c r="Y90" s="2599"/>
      <c r="Z90" s="2599"/>
      <c r="AA90" s="2599"/>
      <c r="AB90" s="2599"/>
      <c r="AC90" s="2599"/>
      <c r="AD90" s="2599"/>
      <c r="AE90" s="2599"/>
      <c r="AF90" s="2599"/>
      <c r="AG90" s="2599"/>
      <c r="AH90" s="2599"/>
      <c r="AI90" s="2599"/>
      <c r="AJ90" s="260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7">
        <f>Application!AC761</f>
        <v>0.42142857142857137</v>
      </c>
      <c r="F92" s="2608"/>
      <c r="G92" s="2608"/>
      <c r="H92" s="2608"/>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9">
        <f>0.6-ROUNDUP(E92,2)</f>
        <v>0.16999999999999998</v>
      </c>
      <c r="F93" s="2426"/>
      <c r="G93" s="2426"/>
      <c r="H93" s="2426"/>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8">
        <f>IF(E93*200&gt;20,20,E93*200)</f>
        <v>20</v>
      </c>
      <c r="F94" s="2619"/>
      <c r="G94" s="2619"/>
      <c r="H94" s="2619"/>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4" t="s">
        <v>590</v>
      </c>
      <c r="C97" s="2594"/>
      <c r="D97" s="546" t="s">
        <v>1310</v>
      </c>
      <c r="E97" s="2595" t="s">
        <v>1713</v>
      </c>
      <c r="F97" s="2596"/>
      <c r="G97" s="2596"/>
      <c r="H97" s="2596"/>
      <c r="I97" s="2596"/>
      <c r="J97" s="2596"/>
      <c r="K97" s="2596"/>
      <c r="L97" s="2596"/>
      <c r="M97" s="2596"/>
      <c r="N97" s="2596"/>
      <c r="O97" s="2596"/>
      <c r="P97" s="2596"/>
      <c r="Q97" s="2596"/>
      <c r="R97" s="2596"/>
      <c r="S97" s="2596"/>
      <c r="T97" s="2596"/>
      <c r="U97" s="2596"/>
      <c r="V97" s="2596"/>
      <c r="W97" s="2596"/>
      <c r="X97" s="2596"/>
      <c r="Y97" s="2596"/>
      <c r="Z97" s="2596"/>
      <c r="AA97" s="2596"/>
      <c r="AB97" s="2596"/>
      <c r="AC97" s="2596"/>
      <c r="AD97" s="2596"/>
      <c r="AE97" s="2596"/>
      <c r="AF97" s="2596"/>
      <c r="AG97" s="2596"/>
      <c r="AH97" s="2596"/>
      <c r="AI97" s="2596"/>
      <c r="AJ97" s="2597"/>
      <c r="AK97" s="543"/>
      <c r="AL97" s="540"/>
      <c r="AM97" s="540"/>
      <c r="AN97" s="535"/>
    </row>
    <row r="98" spans="1:47" s="536" customFormat="1" ht="12.75" customHeight="1">
      <c r="A98" s="538"/>
      <c r="B98" s="539"/>
      <c r="C98" s="539"/>
      <c r="D98" s="539"/>
      <c r="E98" s="2598"/>
      <c r="F98" s="2599"/>
      <c r="G98" s="2599"/>
      <c r="H98" s="2599"/>
      <c r="I98" s="2599"/>
      <c r="J98" s="2599"/>
      <c r="K98" s="2599"/>
      <c r="L98" s="2599"/>
      <c r="M98" s="2599"/>
      <c r="N98" s="2599"/>
      <c r="O98" s="2599"/>
      <c r="P98" s="2599"/>
      <c r="Q98" s="2599"/>
      <c r="R98" s="2599"/>
      <c r="S98" s="2599"/>
      <c r="T98" s="2599"/>
      <c r="U98" s="2599"/>
      <c r="V98" s="2599"/>
      <c r="W98" s="2599"/>
      <c r="X98" s="2599"/>
      <c r="Y98" s="2599"/>
      <c r="Z98" s="2599"/>
      <c r="AA98" s="2599"/>
      <c r="AB98" s="2599"/>
      <c r="AC98" s="2599"/>
      <c r="AD98" s="2599"/>
      <c r="AE98" s="2599"/>
      <c r="AF98" s="2599"/>
      <c r="AG98" s="2599"/>
      <c r="AH98" s="2599"/>
      <c r="AI98" s="2599"/>
      <c r="AJ98" s="2600"/>
      <c r="AK98" s="543"/>
      <c r="AL98" s="540"/>
      <c r="AM98" s="540"/>
      <c r="AN98" s="535"/>
    </row>
    <row r="99" spans="1:47" s="536" customFormat="1" ht="12.75" customHeight="1">
      <c r="A99" s="538"/>
      <c r="B99" s="539"/>
      <c r="C99" s="539"/>
      <c r="D99" s="539"/>
      <c r="E99" s="2598"/>
      <c r="F99" s="2599"/>
      <c r="G99" s="2599"/>
      <c r="H99" s="2599"/>
      <c r="I99" s="2599"/>
      <c r="J99" s="2599"/>
      <c r="K99" s="2599"/>
      <c r="L99" s="2599"/>
      <c r="M99" s="2599"/>
      <c r="N99" s="2599"/>
      <c r="O99" s="2599"/>
      <c r="P99" s="2599"/>
      <c r="Q99" s="2599"/>
      <c r="R99" s="2599"/>
      <c r="S99" s="2599"/>
      <c r="T99" s="2599"/>
      <c r="U99" s="2599"/>
      <c r="V99" s="2599"/>
      <c r="W99" s="2599"/>
      <c r="X99" s="2599"/>
      <c r="Y99" s="2599"/>
      <c r="Z99" s="2599"/>
      <c r="AA99" s="2599"/>
      <c r="AB99" s="2599"/>
      <c r="AC99" s="2599"/>
      <c r="AD99" s="2599"/>
      <c r="AE99" s="2599"/>
      <c r="AF99" s="2599"/>
      <c r="AG99" s="2599"/>
      <c r="AH99" s="2599"/>
      <c r="AI99" s="2599"/>
      <c r="AJ99" s="2600"/>
      <c r="AK99" s="543"/>
      <c r="AL99" s="540"/>
      <c r="AM99" s="540"/>
      <c r="AN99" s="535"/>
    </row>
    <row r="100" spans="1:47" s="536" customFormat="1" ht="12.75" customHeight="1">
      <c r="A100" s="538"/>
      <c r="B100" s="539"/>
      <c r="C100" s="539"/>
      <c r="D100" s="539"/>
      <c r="E100" s="2598"/>
      <c r="F100" s="2599"/>
      <c r="G100" s="2599"/>
      <c r="H100" s="2599"/>
      <c r="I100" s="2599"/>
      <c r="J100" s="2599"/>
      <c r="K100" s="2599"/>
      <c r="L100" s="2599"/>
      <c r="M100" s="2599"/>
      <c r="N100" s="2599"/>
      <c r="O100" s="2599"/>
      <c r="P100" s="2599"/>
      <c r="Q100" s="2599"/>
      <c r="R100" s="2599"/>
      <c r="S100" s="2599"/>
      <c r="T100" s="2599"/>
      <c r="U100" s="2599"/>
      <c r="V100" s="2599"/>
      <c r="W100" s="2599"/>
      <c r="X100" s="2599"/>
      <c r="Y100" s="2599"/>
      <c r="Z100" s="2599"/>
      <c r="AA100" s="2599"/>
      <c r="AB100" s="2599"/>
      <c r="AC100" s="2599"/>
      <c r="AD100" s="2599"/>
      <c r="AE100" s="2599"/>
      <c r="AF100" s="2599"/>
      <c r="AG100" s="2599"/>
      <c r="AH100" s="2599"/>
      <c r="AI100" s="2599"/>
      <c r="AJ100" s="260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7">
        <f>Application!AC761</f>
        <v>0.42142857142857137</v>
      </c>
      <c r="F102" s="2608"/>
      <c r="G102" s="2608"/>
      <c r="H102" s="2608"/>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7">
        <f ca="1">SUMIF(Application!AC726:AG760,0.2,Application!G726:J760)/Application!G761+SUMIF(Application!AC726:AG760,0.25,Application!G726:J760)/Application!G761+SUMIF(Application!AC726:AG760,0.3,Application!G726:J760)/Application!G761</f>
        <v>0.42857142857142855</v>
      </c>
      <c r="F103" s="2608"/>
      <c r="G103" s="2608"/>
      <c r="H103" s="2608"/>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7">
        <f ca="1">SUMIF(Application!AC726:AG760,0.35,Application!G726:J760)/Application!G761+SUMIF(Application!AC726:AG760,0.4,Application!G726:J760)/Application!G761+SUMIF(Application!AC726:AG760,0.45,Application!G726:J760)/Application!G761+SUMIF(Application!AC726:AG760,0.5,Application!G726:J760)/Application!G761</f>
        <v>0.21428571428571427</v>
      </c>
      <c r="F104" s="2608"/>
      <c r="G104" s="2608"/>
      <c r="H104" s="2608"/>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5">
        <f ca="1">IF(AND(E102&lt;=0.6,OR(AND(E103&gt;=0.1,E104&gt;=0.1),AND(E103&gt;0.1,(E103+E104)&gt;=0.2))),20,0)</f>
        <v>20</v>
      </c>
      <c r="F105" s="2606"/>
      <c r="G105" s="2606"/>
      <c r="H105" s="2606"/>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6">
        <f>MAX(AP94,AP105)</f>
        <v>20</v>
      </c>
      <c r="AL108" s="2587"/>
      <c r="AM108" s="258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2" t="s">
        <v>1307</v>
      </c>
      <c r="AF111" s="2452"/>
      <c r="AG111" s="2452"/>
      <c r="AH111" s="2452"/>
      <c r="AI111" s="2452"/>
      <c r="AJ111" s="2452"/>
      <c r="AK111" s="2452"/>
      <c r="AL111" s="540"/>
      <c r="AM111" s="540"/>
      <c r="AN111" s="535"/>
      <c r="AO111" s="536" t="str">
        <f>Application!B726</f>
        <v>1 Bedroom</v>
      </c>
      <c r="AQ111" s="536">
        <f>Application!O726</f>
        <v>700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1091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841</v>
      </c>
    </row>
    <row r="114" spans="1:52" s="536" customFormat="1" ht="12.75" customHeight="1">
      <c r="A114" s="540"/>
      <c r="B114" s="2594" t="s">
        <v>544</v>
      </c>
      <c r="C114" s="2594"/>
      <c r="D114" s="546" t="s">
        <v>1308</v>
      </c>
      <c r="E114" s="2595" t="s">
        <v>2568</v>
      </c>
      <c r="F114" s="2596"/>
      <c r="G114" s="2596"/>
      <c r="H114" s="2596"/>
      <c r="I114" s="2596"/>
      <c r="J114" s="2596"/>
      <c r="K114" s="2596"/>
      <c r="L114" s="2596"/>
      <c r="M114" s="2596"/>
      <c r="N114" s="2596"/>
      <c r="O114" s="2596"/>
      <c r="P114" s="2596"/>
      <c r="Q114" s="2596"/>
      <c r="R114" s="2596"/>
      <c r="S114" s="2596"/>
      <c r="T114" s="2596"/>
      <c r="U114" s="2596"/>
      <c r="V114" s="2596"/>
      <c r="W114" s="2596"/>
      <c r="X114" s="2596"/>
      <c r="Y114" s="2596"/>
      <c r="Z114" s="2596"/>
      <c r="AA114" s="2596"/>
      <c r="AB114" s="2596"/>
      <c r="AC114" s="2596"/>
      <c r="AD114" s="2596"/>
      <c r="AE114" s="2596"/>
      <c r="AF114" s="2596"/>
      <c r="AG114" s="2596"/>
      <c r="AH114" s="2596"/>
      <c r="AI114" s="2596"/>
      <c r="AJ114" s="2597"/>
      <c r="AK114" s="540"/>
      <c r="AL114" s="540"/>
      <c r="AM114" s="540"/>
      <c r="AN114" s="535"/>
      <c r="AO114" s="536" t="str">
        <f>Application!B729</f>
        <v>2 Bedrooms</v>
      </c>
      <c r="AQ114" s="536">
        <f>Application!O729</f>
        <v>1310</v>
      </c>
      <c r="AU114" s="536" t="s">
        <v>1816</v>
      </c>
      <c r="AV114" s="593" t="s">
        <v>1817</v>
      </c>
      <c r="AW114" s="536" t="s">
        <v>1818</v>
      </c>
    </row>
    <row r="115" spans="1:52" s="536" customFormat="1" ht="12.75" customHeight="1">
      <c r="A115" s="540"/>
      <c r="B115" s="539"/>
      <c r="C115" s="539"/>
      <c r="D115" s="539"/>
      <c r="E115" s="2598"/>
      <c r="F115" s="2599"/>
      <c r="G115" s="2599"/>
      <c r="H115" s="2599"/>
      <c r="I115" s="2599"/>
      <c r="J115" s="2599"/>
      <c r="K115" s="2599"/>
      <c r="L115" s="2599"/>
      <c r="M115" s="2599"/>
      <c r="N115" s="2599"/>
      <c r="O115" s="2599"/>
      <c r="P115" s="2599"/>
      <c r="Q115" s="2599"/>
      <c r="R115" s="2599"/>
      <c r="S115" s="2599"/>
      <c r="T115" s="2599"/>
      <c r="U115" s="2599"/>
      <c r="V115" s="2599"/>
      <c r="W115" s="2599"/>
      <c r="X115" s="2599"/>
      <c r="Y115" s="2599"/>
      <c r="Z115" s="2599"/>
      <c r="AA115" s="2599"/>
      <c r="AB115" s="2599"/>
      <c r="AC115" s="2599"/>
      <c r="AD115" s="2599"/>
      <c r="AE115" s="2599"/>
      <c r="AF115" s="2599"/>
      <c r="AG115" s="2599"/>
      <c r="AH115" s="2599"/>
      <c r="AI115" s="2599"/>
      <c r="AJ115" s="2600"/>
      <c r="AK115" s="540"/>
      <c r="AL115" s="540"/>
      <c r="AM115" s="540"/>
      <c r="AN115" s="535"/>
      <c r="AO115" s="536" t="str">
        <f>Application!B730</f>
        <v>2 Bedrooms</v>
      </c>
      <c r="AQ115" s="536">
        <f>Application!O730</f>
        <v>1623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8"/>
      <c r="F116" s="2599"/>
      <c r="G116" s="2599"/>
      <c r="H116" s="2599"/>
      <c r="I116" s="2599"/>
      <c r="J116" s="2599"/>
      <c r="K116" s="2599"/>
      <c r="L116" s="2599"/>
      <c r="M116" s="2599"/>
      <c r="N116" s="2599"/>
      <c r="O116" s="2599"/>
      <c r="P116" s="2599"/>
      <c r="Q116" s="2599"/>
      <c r="R116" s="2599"/>
      <c r="S116" s="2599"/>
      <c r="T116" s="2599"/>
      <c r="U116" s="2599"/>
      <c r="V116" s="2599"/>
      <c r="W116" s="2599"/>
      <c r="X116" s="2599"/>
      <c r="Y116" s="2599"/>
      <c r="Z116" s="2599"/>
      <c r="AA116" s="2599"/>
      <c r="AB116" s="2599"/>
      <c r="AC116" s="2599"/>
      <c r="AD116" s="2599"/>
      <c r="AE116" s="2599"/>
      <c r="AF116" s="2599"/>
      <c r="AG116" s="2599"/>
      <c r="AH116" s="2599"/>
      <c r="AI116" s="2599"/>
      <c r="AJ116" s="2600"/>
      <c r="AK116" s="540"/>
      <c r="AL116" s="540"/>
      <c r="AM116" s="540"/>
      <c r="AN116" s="535"/>
      <c r="AO116" s="536" t="str">
        <f>Application!B731</f>
        <v>3 Bedrooms</v>
      </c>
      <c r="AQ116" s="536">
        <f>Application!O731</f>
        <v>967</v>
      </c>
      <c r="AU116" s="852" t="str">
        <f>J123</f>
        <v>1-bedroom</v>
      </c>
      <c r="AV116" s="536">
        <f t="array" ref="AV116">SUM(IF(Application!B726:F760="1 Bedroom",Application!G726:J760))</f>
        <v>10</v>
      </c>
      <c r="AW116" s="1006">
        <f>AV116/AV121</f>
        <v>0.35714285714285715</v>
      </c>
    </row>
    <row r="117" spans="1:52" s="536" customFormat="1" ht="12.75" customHeight="1">
      <c r="A117" s="540"/>
      <c r="B117" s="539"/>
      <c r="C117" s="539"/>
      <c r="D117" s="539"/>
      <c r="E117" s="2598"/>
      <c r="F117" s="2599"/>
      <c r="G117" s="2599"/>
      <c r="H117" s="2599"/>
      <c r="I117" s="2599"/>
      <c r="J117" s="2599"/>
      <c r="K117" s="2599"/>
      <c r="L117" s="2599"/>
      <c r="M117" s="2599"/>
      <c r="N117" s="2599"/>
      <c r="O117" s="2599"/>
      <c r="P117" s="2599"/>
      <c r="Q117" s="2599"/>
      <c r="R117" s="2599"/>
      <c r="S117" s="2599"/>
      <c r="T117" s="2599"/>
      <c r="U117" s="2599"/>
      <c r="V117" s="2599"/>
      <c r="W117" s="2599"/>
      <c r="X117" s="2599"/>
      <c r="Y117" s="2599"/>
      <c r="Z117" s="2599"/>
      <c r="AA117" s="2599"/>
      <c r="AB117" s="2599"/>
      <c r="AC117" s="2599"/>
      <c r="AD117" s="2599"/>
      <c r="AE117" s="2599"/>
      <c r="AF117" s="2599"/>
      <c r="AG117" s="2599"/>
      <c r="AH117" s="2599"/>
      <c r="AI117" s="2599"/>
      <c r="AJ117" s="2600"/>
      <c r="AK117" s="540"/>
      <c r="AL117" s="540"/>
      <c r="AM117" s="540"/>
      <c r="AN117" s="535"/>
      <c r="AO117" s="536" t="str">
        <f>Application!B732</f>
        <v>3 Bedrooms</v>
      </c>
      <c r="AQ117" s="536">
        <f>Application!O732</f>
        <v>1870</v>
      </c>
      <c r="AU117" s="852" t="str">
        <f>O123</f>
        <v>2-bedroom</v>
      </c>
      <c r="AV117" s="536">
        <f t="array" ref="AV117">SUM(IF(Application!B726:F760="2 Bedrooms",Application!G726:J760))</f>
        <v>10</v>
      </c>
      <c r="AW117" s="1006">
        <f>AV117/AV121</f>
        <v>0.35714285714285715</v>
      </c>
    </row>
    <row r="118" spans="1:52" s="536" customFormat="1" ht="12.75" customHeight="1">
      <c r="A118" s="540"/>
      <c r="B118" s="539"/>
      <c r="C118" s="539"/>
      <c r="D118" s="539"/>
      <c r="E118" s="2598"/>
      <c r="F118" s="2599"/>
      <c r="G118" s="2599"/>
      <c r="H118" s="2599"/>
      <c r="I118" s="2599"/>
      <c r="J118" s="2599"/>
      <c r="K118" s="2599"/>
      <c r="L118" s="2599"/>
      <c r="M118" s="2599"/>
      <c r="N118" s="2599"/>
      <c r="O118" s="2599"/>
      <c r="P118" s="2599"/>
      <c r="Q118" s="2599"/>
      <c r="R118" s="2599"/>
      <c r="S118" s="2599"/>
      <c r="T118" s="2599"/>
      <c r="U118" s="2599"/>
      <c r="V118" s="2599"/>
      <c r="W118" s="2599"/>
      <c r="X118" s="2599"/>
      <c r="Y118" s="2599"/>
      <c r="Z118" s="2599"/>
      <c r="AA118" s="2599"/>
      <c r="AB118" s="2599"/>
      <c r="AC118" s="2599"/>
      <c r="AD118" s="2599"/>
      <c r="AE118" s="2599"/>
      <c r="AF118" s="2599"/>
      <c r="AG118" s="2599"/>
      <c r="AH118" s="2599"/>
      <c r="AI118" s="2599"/>
      <c r="AJ118" s="2600"/>
      <c r="AK118" s="540"/>
      <c r="AL118" s="540"/>
      <c r="AM118" s="540"/>
      <c r="AN118" s="535"/>
      <c r="AO118" s="536">
        <f>Application!B733</f>
        <v>0</v>
      </c>
      <c r="AQ118" s="536">
        <f>Application!O733</f>
        <v>0</v>
      </c>
      <c r="AU118" s="852" t="str">
        <f>T123</f>
        <v>3-bedroom</v>
      </c>
      <c r="AV118" s="536">
        <f t="array" ref="AV118">SUM(IF(Application!B726:F760="3 Bedrooms",Application!G726:J760))</f>
        <v>8</v>
      </c>
      <c r="AW118" s="1006">
        <f>AV118/AV121</f>
        <v>0.2857142857142857</v>
      </c>
    </row>
    <row r="119" spans="1:52" s="536" customFormat="1" ht="12.75" customHeight="1">
      <c r="A119" s="540"/>
      <c r="B119" s="539"/>
      <c r="C119" s="539"/>
      <c r="D119" s="539"/>
      <c r="E119" s="2598"/>
      <c r="F119" s="2599"/>
      <c r="G119" s="2599"/>
      <c r="H119" s="2599"/>
      <c r="I119" s="2599"/>
      <c r="J119" s="2599"/>
      <c r="K119" s="2599"/>
      <c r="L119" s="2599"/>
      <c r="M119" s="2599"/>
      <c r="N119" s="2599"/>
      <c r="O119" s="2599"/>
      <c r="P119" s="2599"/>
      <c r="Q119" s="2599"/>
      <c r="R119" s="2599"/>
      <c r="S119" s="2599"/>
      <c r="T119" s="2599"/>
      <c r="U119" s="2599"/>
      <c r="V119" s="2599"/>
      <c r="W119" s="2599"/>
      <c r="X119" s="2599"/>
      <c r="Y119" s="2599"/>
      <c r="Z119" s="2599"/>
      <c r="AA119" s="2599"/>
      <c r="AB119" s="2599"/>
      <c r="AC119" s="2599"/>
      <c r="AD119" s="2599"/>
      <c r="AE119" s="2599"/>
      <c r="AF119" s="2599"/>
      <c r="AG119" s="2599"/>
      <c r="AH119" s="2599"/>
      <c r="AI119" s="2599"/>
      <c r="AJ119" s="2600"/>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8"/>
      <c r="F120" s="2599"/>
      <c r="G120" s="2599"/>
      <c r="H120" s="2599"/>
      <c r="I120" s="2599"/>
      <c r="J120" s="2599"/>
      <c r="K120" s="2599"/>
      <c r="L120" s="2599"/>
      <c r="M120" s="2599"/>
      <c r="N120" s="2599"/>
      <c r="O120" s="2599"/>
      <c r="P120" s="2599"/>
      <c r="Q120" s="2599"/>
      <c r="R120" s="2599"/>
      <c r="S120" s="2599"/>
      <c r="T120" s="2599"/>
      <c r="U120" s="2599"/>
      <c r="V120" s="2599"/>
      <c r="W120" s="2599"/>
      <c r="X120" s="2599"/>
      <c r="Y120" s="2599"/>
      <c r="Z120" s="2599"/>
      <c r="AA120" s="2599"/>
      <c r="AB120" s="2599"/>
      <c r="AC120" s="2599"/>
      <c r="AD120" s="2599"/>
      <c r="AE120" s="2599"/>
      <c r="AF120" s="2599"/>
      <c r="AG120" s="2599"/>
      <c r="AH120" s="2599"/>
      <c r="AI120" s="2599"/>
      <c r="AJ120" s="2600"/>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8"/>
      <c r="F121" s="2599"/>
      <c r="G121" s="2599"/>
      <c r="H121" s="2599"/>
      <c r="I121" s="2599"/>
      <c r="J121" s="2599"/>
      <c r="K121" s="2599"/>
      <c r="L121" s="2599"/>
      <c r="M121" s="2599"/>
      <c r="N121" s="2599"/>
      <c r="O121" s="2599"/>
      <c r="P121" s="2599"/>
      <c r="Q121" s="2599"/>
      <c r="R121" s="2599"/>
      <c r="S121" s="2599"/>
      <c r="T121" s="2599"/>
      <c r="U121" s="2599"/>
      <c r="V121" s="2599"/>
      <c r="W121" s="2599"/>
      <c r="X121" s="2599"/>
      <c r="Y121" s="2599"/>
      <c r="Z121" s="2599"/>
      <c r="AA121" s="2599"/>
      <c r="AB121" s="2599"/>
      <c r="AC121" s="2599"/>
      <c r="AD121" s="2599"/>
      <c r="AE121" s="2599"/>
      <c r="AF121" s="2599"/>
      <c r="AG121" s="2599"/>
      <c r="AH121" s="2599"/>
      <c r="AI121" s="2599"/>
      <c r="AJ121" s="2600"/>
      <c r="AK121" s="540"/>
      <c r="AL121" s="540"/>
      <c r="AM121" s="540"/>
      <c r="AN121" s="535"/>
      <c r="AO121" s="536">
        <f>Application!B736</f>
        <v>0</v>
      </c>
      <c r="AQ121" s="536">
        <f>Application!O736</f>
        <v>0</v>
      </c>
      <c r="AV121" s="536">
        <f>SUM(AV115:AV120)</f>
        <v>28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7" t="s">
        <v>1576</v>
      </c>
      <c r="F123" s="2608"/>
      <c r="G123" s="2608"/>
      <c r="H123" s="2608"/>
      <c r="I123" s="575"/>
      <c r="J123" s="2608" t="s">
        <v>1619</v>
      </c>
      <c r="K123" s="2608"/>
      <c r="L123" s="2608"/>
      <c r="M123" s="2608"/>
      <c r="N123" s="575"/>
      <c r="O123" s="2608" t="s">
        <v>1620</v>
      </c>
      <c r="P123" s="2608"/>
      <c r="Q123" s="2608"/>
      <c r="R123" s="2608"/>
      <c r="S123" s="575"/>
      <c r="T123" s="2608" t="s">
        <v>1327</v>
      </c>
      <c r="U123" s="2608"/>
      <c r="V123" s="2608"/>
      <c r="W123" s="2608"/>
      <c r="X123" s="575"/>
      <c r="Y123" s="2608" t="s">
        <v>1621</v>
      </c>
      <c r="Z123" s="2608"/>
      <c r="AA123" s="2608"/>
      <c r="AB123" s="2608"/>
      <c r="AC123" s="575"/>
      <c r="AD123" s="2608" t="s">
        <v>1622</v>
      </c>
      <c r="AE123" s="2608"/>
      <c r="AF123" s="2608"/>
      <c r="AG123" s="260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9">
        <v>0</v>
      </c>
      <c r="F126" s="2610"/>
      <c r="G126" s="2610"/>
      <c r="H126" s="2610"/>
      <c r="I126" s="860"/>
      <c r="J126" s="2610">
        <v>1818</v>
      </c>
      <c r="K126" s="2610"/>
      <c r="L126" s="2610"/>
      <c r="M126" s="2610"/>
      <c r="N126" s="860"/>
      <c r="O126" s="2610">
        <v>2378</v>
      </c>
      <c r="P126" s="2610"/>
      <c r="Q126" s="2610"/>
      <c r="R126" s="2610"/>
      <c r="S126" s="860"/>
      <c r="T126" s="2610">
        <v>2947</v>
      </c>
      <c r="U126" s="2610"/>
      <c r="V126" s="2610"/>
      <c r="W126" s="2610"/>
      <c r="X126" s="860"/>
      <c r="Y126" s="2610">
        <v>0</v>
      </c>
      <c r="Z126" s="2610"/>
      <c r="AA126" s="2610"/>
      <c r="AB126" s="2610"/>
      <c r="AC126" s="860"/>
      <c r="AD126" s="2610">
        <v>0</v>
      </c>
      <c r="AE126" s="2610"/>
      <c r="AF126" s="2610"/>
      <c r="AG126" s="261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3">
        <f>Application!DX678</f>
        <v>0</v>
      </c>
      <c r="F129" s="2617"/>
      <c r="G129" s="2617"/>
      <c r="H129" s="2617"/>
      <c r="I129" s="860"/>
      <c r="J129" s="2617">
        <f>Application!EC678</f>
        <v>817.3</v>
      </c>
      <c r="K129" s="2617"/>
      <c r="L129" s="2617"/>
      <c r="M129" s="2617"/>
      <c r="N129" s="860"/>
      <c r="O129" s="2617">
        <f>Application!EH678</f>
        <v>1294.5</v>
      </c>
      <c r="P129" s="2617"/>
      <c r="Q129" s="2617"/>
      <c r="R129" s="2617"/>
      <c r="S129" s="864"/>
      <c r="T129" s="2617">
        <f>Application!EM678</f>
        <v>1644.25</v>
      </c>
      <c r="U129" s="2617"/>
      <c r="V129" s="2617"/>
      <c r="W129" s="2617"/>
      <c r="X129" s="864"/>
      <c r="Y129" s="2617">
        <f>Application!ER678</f>
        <v>0</v>
      </c>
      <c r="Z129" s="2617"/>
      <c r="AA129" s="2617"/>
      <c r="AB129" s="2617"/>
      <c r="AC129" s="864"/>
      <c r="AD129" s="2617">
        <f>Application!EW678</f>
        <v>0</v>
      </c>
      <c r="AE129" s="2617"/>
      <c r="AF129" s="2617"/>
      <c r="AG129" s="2617"/>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5" t="e">
        <f>(E126-E129)/E126</f>
        <v>#DIV/0!</v>
      </c>
      <c r="F132" s="2426"/>
      <c r="G132" s="2426"/>
      <c r="H132" s="2427"/>
      <c r="I132" s="575"/>
      <c r="J132" s="2425">
        <f>(J126-J129)/J126</f>
        <v>0.5504400440044005</v>
      </c>
      <c r="K132" s="2426"/>
      <c r="L132" s="2426"/>
      <c r="M132" s="2427"/>
      <c r="N132" s="575"/>
      <c r="O132" s="2425">
        <f>(O126-O129)/O126</f>
        <v>0.45563498738435659</v>
      </c>
      <c r="P132" s="2426"/>
      <c r="Q132" s="2426"/>
      <c r="R132" s="2427"/>
      <c r="S132" s="575"/>
      <c r="T132" s="2425">
        <f>(T126-T129)/T126</f>
        <v>0.44205972175093317</v>
      </c>
      <c r="U132" s="2426"/>
      <c r="V132" s="2426"/>
      <c r="W132" s="2427"/>
      <c r="X132" s="575"/>
      <c r="Y132" s="2425" t="e">
        <f>(Y126-Y129)/Y126</f>
        <v>#DIV/0!</v>
      </c>
      <c r="Z132" s="2426"/>
      <c r="AA132" s="2426"/>
      <c r="AB132" s="2427"/>
      <c r="AC132" s="575"/>
      <c r="AD132" s="2425" t="e">
        <f>(AD126-AD129)/AD126</f>
        <v>#DIV/0!</v>
      </c>
      <c r="AE132" s="2426"/>
      <c r="AF132" s="2426"/>
      <c r="AG132" s="24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4" t="e">
        <f>IF(((E132-0.1)*AW115)&gt;0,((E132-0.1)*AW115),0)</f>
        <v>#DIV/0!</v>
      </c>
      <c r="F135" s="2615"/>
      <c r="G135" s="2615"/>
      <c r="H135" s="2616"/>
      <c r="I135" s="575"/>
      <c r="J135" s="2614">
        <f>IF(((J132-0.1)*AW116)&gt;0,((J132-0.1)*AW116),0)</f>
        <v>0.16087144428728589</v>
      </c>
      <c r="K135" s="2615"/>
      <c r="L135" s="2615"/>
      <c r="M135" s="2616"/>
      <c r="N135" s="575"/>
      <c r="O135" s="2614">
        <f>IF(((O132-0.1)*AW117)&gt;0,((O132-0.1)*AW117),0)</f>
        <v>0.12701249549441307</v>
      </c>
      <c r="P135" s="2615"/>
      <c r="Q135" s="2615"/>
      <c r="R135" s="2616"/>
      <c r="S135" s="575"/>
      <c r="T135" s="2614">
        <f>IF(((T132-0.1)*AW118)&gt;0,((T132-0.1)*AW118),0)</f>
        <v>9.7731349071695173E-2</v>
      </c>
      <c r="U135" s="2615"/>
      <c r="V135" s="2615"/>
      <c r="W135" s="2616"/>
      <c r="X135" s="575"/>
      <c r="Y135" s="2614" t="e">
        <f>IF(((Y132-0.1)*AW119)&gt;0,((Y132-0.1)*AW119),0)</f>
        <v>#DIV/0!</v>
      </c>
      <c r="Z135" s="2615"/>
      <c r="AA135" s="2615"/>
      <c r="AB135" s="2616"/>
      <c r="AC135" s="575"/>
      <c r="AD135" s="2614" t="e">
        <f>IF(((AD132-0.1)*AW120)&gt;0,((AD132-0.1)*AW120),0)</f>
        <v>#DIV/0!</v>
      </c>
      <c r="AE135" s="2615"/>
      <c r="AF135" s="2615"/>
      <c r="AG135" s="2616"/>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5">
        <f>ROUNDDOWN(SUMIF(E135:AG135,"&gt;0"),2)</f>
        <v>0.38</v>
      </c>
      <c r="F137" s="2426"/>
      <c r="G137" s="2426"/>
      <c r="H137" s="2427"/>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6">
        <f>IF((E137*100)&gt;10,10,E137*100)</f>
        <v>10</v>
      </c>
      <c r="F138" s="2587"/>
      <c r="G138" s="2587"/>
      <c r="H138" s="2588"/>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6">
        <f>E138</f>
        <v>10</v>
      </c>
      <c r="AL142" s="2587"/>
      <c r="AM142" s="258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2" t="s">
        <v>1307</v>
      </c>
      <c r="AF145" s="2452"/>
      <c r="AG145" s="2452"/>
      <c r="AH145" s="2452"/>
      <c r="AI145" s="2452"/>
      <c r="AJ145" s="2452"/>
      <c r="AK145" s="2452"/>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3" t="s">
        <v>1331</v>
      </c>
      <c r="AG147" s="2393"/>
      <c r="AH147" s="2393"/>
      <c r="AI147" s="2393"/>
      <c r="AJ147" s="2393"/>
      <c r="AK147" s="2393"/>
      <c r="AL147" s="2393"/>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0" t="s">
        <v>2755</v>
      </c>
      <c r="C149" s="2590"/>
      <c r="D149" s="2590"/>
      <c r="E149" s="2590"/>
      <c r="F149" s="2590"/>
      <c r="G149" s="2590"/>
      <c r="H149" s="2590"/>
      <c r="I149" s="2590"/>
      <c r="J149" s="2590"/>
      <c r="K149" s="2590"/>
      <c r="L149" s="2590"/>
      <c r="M149" s="2590"/>
      <c r="N149" s="2590"/>
      <c r="O149" s="2590"/>
      <c r="P149" s="2590"/>
      <c r="Q149" s="2590"/>
      <c r="R149" s="2590"/>
      <c r="S149" s="2590"/>
      <c r="T149" s="2590"/>
      <c r="U149" s="2590"/>
      <c r="V149" s="2590"/>
      <c r="W149" s="2590"/>
      <c r="X149" s="2590"/>
      <c r="Y149" s="2590"/>
      <c r="Z149" s="2590"/>
      <c r="AA149" s="2590"/>
      <c r="AB149" s="2590"/>
      <c r="AC149" s="259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1" t="s">
        <v>1334</v>
      </c>
      <c r="C152" s="2591"/>
      <c r="D152" s="2591"/>
      <c r="E152" s="2591"/>
      <c r="F152" s="2591"/>
      <c r="G152" s="2591"/>
      <c r="H152" s="2591"/>
      <c r="I152" s="2591"/>
      <c r="J152" s="2591"/>
      <c r="K152" s="2591"/>
      <c r="L152" s="2591"/>
      <c r="M152" s="2591"/>
      <c r="N152" s="2591"/>
      <c r="O152" s="2591"/>
      <c r="P152" s="2591"/>
      <c r="Q152" s="2591"/>
      <c r="R152" s="2591"/>
      <c r="S152" s="2591"/>
      <c r="T152" s="2591"/>
      <c r="U152" s="2591"/>
      <c r="V152" s="2591"/>
      <c r="W152" s="2591"/>
      <c r="X152" s="2591"/>
      <c r="Y152" s="2591"/>
      <c r="Z152" s="2591"/>
      <c r="AA152" s="2591"/>
      <c r="AB152" s="2591"/>
      <c r="AC152" s="2591"/>
      <c r="AD152" s="2591"/>
      <c r="AE152" s="2591"/>
      <c r="AF152" s="2591"/>
      <c r="AG152" s="2591"/>
      <c r="AH152" s="2591"/>
      <c r="AI152" s="2591"/>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400" t="s">
        <v>590</v>
      </c>
      <c r="AC154" s="240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1" t="s">
        <v>1336</v>
      </c>
      <c r="C157" s="2591"/>
      <c r="D157" s="2591"/>
      <c r="E157" s="2591"/>
      <c r="F157" s="2591"/>
      <c r="G157" s="2591"/>
      <c r="H157" s="2591"/>
      <c r="I157" s="2591"/>
      <c r="J157" s="2591"/>
      <c r="K157" s="2591"/>
      <c r="L157" s="2591"/>
      <c r="M157" s="2591"/>
      <c r="N157" s="2591"/>
      <c r="O157" s="2591"/>
      <c r="P157" s="2591"/>
      <c r="Q157" s="2591"/>
      <c r="R157" s="2591"/>
      <c r="S157" s="2591"/>
      <c r="T157" s="2591"/>
      <c r="U157" s="2591"/>
      <c r="V157" s="2591"/>
      <c r="W157" s="2591"/>
      <c r="X157" s="2591"/>
      <c r="Y157" s="2591"/>
      <c r="Z157" s="2591"/>
      <c r="AA157" s="2591"/>
      <c r="AB157" s="2591"/>
      <c r="AC157" s="2591"/>
      <c r="AD157" s="2591"/>
      <c r="AE157" s="2591"/>
      <c r="AF157" s="2591"/>
      <c r="AG157" s="2591"/>
      <c r="AH157" s="2591"/>
      <c r="AI157" s="2591"/>
      <c r="AJ157" s="2591"/>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7" t="s">
        <v>2407</v>
      </c>
      <c r="C160" s="2397"/>
      <c r="D160" s="2397"/>
      <c r="E160" s="2397"/>
      <c r="F160" s="2397"/>
      <c r="G160" s="2397"/>
      <c r="H160" s="2397"/>
      <c r="I160" s="2397"/>
      <c r="J160" s="2397"/>
      <c r="K160" s="2397"/>
      <c r="L160" s="2397"/>
      <c r="M160" s="2397"/>
      <c r="N160" s="2397"/>
      <c r="O160" s="2397"/>
      <c r="P160" s="2397"/>
      <c r="Q160" s="2397"/>
      <c r="R160" s="2397"/>
      <c r="S160" s="2397"/>
      <c r="T160" s="2397"/>
      <c r="U160" s="2397"/>
      <c r="V160" s="2397"/>
      <c r="W160" s="2397"/>
      <c r="X160" s="2397"/>
      <c r="Y160" s="2397"/>
      <c r="Z160" s="2397"/>
      <c r="AA160" s="2397"/>
      <c r="AB160" s="2397"/>
      <c r="AC160" s="2397"/>
      <c r="AD160" s="2397"/>
      <c r="AE160" s="2397"/>
      <c r="AF160" s="2397"/>
      <c r="AG160" s="2397"/>
      <c r="AH160" s="2397"/>
      <c r="AI160" s="2397"/>
      <c r="AJ160" s="2397"/>
      <c r="AK160" s="1173"/>
      <c r="AM160" s="539"/>
      <c r="AN160" s="535"/>
      <c r="AO160" s="476"/>
      <c r="AP160" s="489"/>
    </row>
    <row r="161" spans="1:42" s="536" customFormat="1" ht="12.75" customHeight="1">
      <c r="B161" s="2397"/>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c r="AA161" s="2397"/>
      <c r="AB161" s="2397"/>
      <c r="AC161" s="2397"/>
      <c r="AD161" s="2397"/>
      <c r="AE161" s="2397"/>
      <c r="AF161" s="2397"/>
      <c r="AG161" s="2397"/>
      <c r="AH161" s="2397"/>
      <c r="AI161" s="2397"/>
      <c r="AJ161" s="2397"/>
      <c r="AK161" s="1173"/>
      <c r="AM161" s="539"/>
      <c r="AN161" s="535"/>
      <c r="AO161" s="476"/>
      <c r="AP161" s="489"/>
    </row>
    <row r="162" spans="1:42" s="536" customFormat="1" ht="12.75" customHeight="1">
      <c r="C162" s="2398" t="s">
        <v>2408</v>
      </c>
      <c r="D162" s="2398"/>
      <c r="E162" s="2398"/>
      <c r="F162" s="2398"/>
      <c r="G162" s="2398"/>
      <c r="H162" s="2398"/>
      <c r="I162" s="2398"/>
      <c r="J162" s="2398"/>
      <c r="K162" s="2398"/>
      <c r="L162" s="2398"/>
      <c r="M162" s="2398"/>
      <c r="N162" s="2398"/>
      <c r="O162" s="2398"/>
      <c r="P162" s="2398"/>
      <c r="Q162" s="2398"/>
      <c r="R162" s="2398"/>
      <c r="S162" s="2398"/>
      <c r="T162" s="2398"/>
      <c r="U162" s="2398"/>
      <c r="V162" s="2398"/>
      <c r="W162" s="2398"/>
      <c r="X162" s="2398"/>
      <c r="Y162" s="2398"/>
      <c r="Z162" s="2398"/>
      <c r="AA162" s="2398"/>
      <c r="AB162" s="2398"/>
      <c r="AC162" s="2398"/>
      <c r="AD162" s="2398"/>
      <c r="AE162" s="2398"/>
      <c r="AF162" s="2398"/>
      <c r="AG162" s="2398"/>
      <c r="AH162" s="2398"/>
      <c r="AI162" s="2398"/>
      <c r="AJ162" s="2398"/>
      <c r="AK162" s="1173"/>
      <c r="AM162" s="539"/>
      <c r="AN162" s="535"/>
      <c r="AO162" s="476"/>
      <c r="AP162" s="489"/>
    </row>
    <row r="163" spans="1:42" s="536" customFormat="1" ht="12.75" customHeight="1">
      <c r="B163" s="1173"/>
      <c r="C163" s="2399" t="s">
        <v>2406</v>
      </c>
      <c r="D163" s="2399"/>
      <c r="E163" s="2399"/>
      <c r="F163" s="2399"/>
      <c r="G163" s="2399"/>
      <c r="H163" s="2399"/>
      <c r="I163" s="2399"/>
      <c r="J163" s="2399"/>
      <c r="K163" s="2399"/>
      <c r="L163" s="2399"/>
      <c r="M163" s="2399"/>
      <c r="N163" s="2399"/>
      <c r="O163" s="2399"/>
      <c r="P163" s="2399"/>
      <c r="Q163" s="2399"/>
      <c r="R163" s="2399"/>
      <c r="S163" s="2399"/>
      <c r="T163" s="2399"/>
      <c r="U163" s="2399"/>
      <c r="V163" s="2399"/>
      <c r="W163" s="2399"/>
      <c r="X163" s="2399"/>
      <c r="Y163" s="2399"/>
      <c r="Z163" s="2399"/>
      <c r="AA163" s="1163"/>
      <c r="AB163" s="1163"/>
      <c r="AC163" s="1163"/>
      <c r="AD163" s="1163"/>
      <c r="AE163" s="1163"/>
      <c r="AF163" s="1163"/>
      <c r="AG163" s="1163"/>
      <c r="AH163" s="1163"/>
      <c r="AJ163" s="2400" t="s">
        <v>590</v>
      </c>
      <c r="AK163" s="240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2">
        <f>IF($AB$154="N/A",VLOOKUP($B$152,$AO$150:$AP$153,2,FALSE),VLOOKUP($B$157,$AO$155:$AP$157,2,FALSE))</f>
        <v>7</v>
      </c>
      <c r="AK165" s="249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3" t="s">
        <v>1345</v>
      </c>
      <c r="AG167" s="2393"/>
      <c r="AH167" s="2393"/>
      <c r="AI167" s="2393"/>
      <c r="AJ167" s="2393"/>
      <c r="AK167" s="2393"/>
      <c r="AL167" s="2393"/>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1" t="s">
        <v>1343</v>
      </c>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0" t="s">
        <v>590</v>
      </c>
      <c r="AG171" s="2400"/>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91" t="s">
        <v>1336</v>
      </c>
      <c r="D173" s="2591"/>
      <c r="E173" s="2591"/>
      <c r="F173" s="2591"/>
      <c r="G173" s="2591"/>
      <c r="H173" s="2591"/>
      <c r="I173" s="2591"/>
      <c r="J173" s="2591"/>
      <c r="K173" s="2591"/>
      <c r="L173" s="2591"/>
      <c r="M173" s="2591"/>
      <c r="N173" s="2591"/>
      <c r="O173" s="2591"/>
      <c r="P173" s="2591"/>
      <c r="Q173" s="2591"/>
      <c r="R173" s="2591"/>
      <c r="S173" s="2591"/>
      <c r="T173" s="2591"/>
      <c r="U173" s="2591"/>
      <c r="V173" s="2591"/>
      <c r="W173" s="2591"/>
      <c r="X173" s="2591"/>
      <c r="Y173" s="2591"/>
      <c r="Z173" s="2591"/>
      <c r="AA173" s="2591"/>
      <c r="AB173" s="2591"/>
      <c r="AC173" s="2591"/>
      <c r="AD173" s="2591"/>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2" t="str">
        <f>Application!AA344</f>
        <v>The Duncan Group</v>
      </c>
      <c r="D177" s="2592"/>
      <c r="E177" s="2592"/>
      <c r="F177" s="2592"/>
      <c r="G177" s="2592"/>
      <c r="H177" s="2592"/>
      <c r="I177" s="2592"/>
      <c r="J177" s="2592"/>
      <c r="K177" s="2592"/>
      <c r="L177" s="2592"/>
      <c r="M177" s="2592"/>
      <c r="N177" s="2592"/>
      <c r="O177" s="2592"/>
      <c r="P177" s="2592"/>
      <c r="Q177" s="2592"/>
      <c r="R177" s="2592"/>
      <c r="S177" s="2592"/>
      <c r="T177" s="2592"/>
      <c r="U177" s="2592"/>
      <c r="V177" s="2592"/>
      <c r="W177" s="2592"/>
      <c r="X177" s="2592"/>
      <c r="Y177" s="2592"/>
      <c r="Z177" s="2592"/>
      <c r="AA177" s="2592"/>
      <c r="AB177" s="2592"/>
      <c r="AC177" s="2592"/>
      <c r="AD177" s="2592"/>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1">
        <f>IF($AF$171="N/A",VLOOKUP($C$169,$AO$169:$AP$172,2,FALSE),VLOOKUP($C$173,$AO$176:$AP$178,2,FALSE))</f>
        <v>3</v>
      </c>
      <c r="AK179" s="249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6">
        <f>$AJ$165+$AJ$179</f>
        <v>10</v>
      </c>
      <c r="AL182" s="2587"/>
      <c r="AM182" s="258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2" t="s">
        <v>1307</v>
      </c>
      <c r="AF185" s="2452"/>
      <c r="AG185" s="2452"/>
      <c r="AH185" s="2452"/>
      <c r="AI185" s="2452"/>
      <c r="AJ185" s="2452"/>
      <c r="AK185" s="2452"/>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9" t="s">
        <v>1040</v>
      </c>
      <c r="C187" s="2589"/>
      <c r="D187" s="2589"/>
      <c r="E187" s="2589"/>
      <c r="F187" s="2589"/>
      <c r="G187" s="2589"/>
      <c r="H187" s="2589"/>
      <c r="I187" s="2589"/>
      <c r="J187" s="2589"/>
      <c r="K187" s="2589"/>
      <c r="L187" s="2589"/>
      <c r="M187" s="2589"/>
      <c r="N187" s="2589"/>
      <c r="O187" s="2589"/>
      <c r="P187" s="2589"/>
      <c r="Q187" s="2589"/>
      <c r="R187" s="2589"/>
      <c r="S187" s="2589"/>
      <c r="T187" s="2589"/>
      <c r="U187" s="2589"/>
      <c r="V187" s="2589"/>
      <c r="W187" s="2589"/>
      <c r="X187" s="2589"/>
      <c r="Y187" s="2589"/>
      <c r="Z187" s="2589"/>
      <c r="AA187" s="2589"/>
      <c r="AB187" s="2589"/>
      <c r="AC187" s="2589"/>
      <c r="AD187" s="536"/>
      <c r="AE187" s="536"/>
      <c r="AF187" s="2393" t="s">
        <v>1356</v>
      </c>
      <c r="AG187" s="2393"/>
      <c r="AH187" s="2393"/>
      <c r="AI187" s="2393"/>
      <c r="AJ187" s="2393"/>
      <c r="AK187" s="2393"/>
      <c r="AL187" s="2393"/>
      <c r="AN187" s="595"/>
      <c r="AP187" s="549" t="s">
        <v>1042</v>
      </c>
      <c r="AQ187" s="549">
        <v>10</v>
      </c>
    </row>
    <row r="188" spans="1:73" s="549" customFormat="1" ht="12.75" customHeight="1">
      <c r="A188" s="536"/>
      <c r="B188" s="2399" t="s">
        <v>1714</v>
      </c>
      <c r="C188" s="2399"/>
      <c r="D188" s="2399"/>
      <c r="E188" s="2399"/>
      <c r="F188" s="2399"/>
      <c r="G188" s="2399"/>
      <c r="H188" s="2399"/>
      <c r="I188" s="2399"/>
      <c r="J188" s="2399"/>
      <c r="K188" s="2399"/>
      <c r="L188" s="2399"/>
      <c r="M188" s="2399"/>
      <c r="N188" s="2399"/>
      <c r="O188" s="2399"/>
      <c r="P188" s="2399"/>
      <c r="Q188" s="2399"/>
      <c r="R188" s="2399"/>
      <c r="S188" s="2399"/>
      <c r="T188" s="2590" t="s">
        <v>590</v>
      </c>
      <c r="U188" s="2590"/>
      <c r="V188" s="2590"/>
      <c r="W188" s="2590"/>
      <c r="X188" s="2590"/>
      <c r="Y188" s="2590"/>
      <c r="Z188" s="2590"/>
      <c r="AA188" s="2590"/>
      <c r="AB188" s="2590"/>
      <c r="AC188" s="2590"/>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5">
        <f>IF(AK83&gt;0,VLOOKUP($B$187,AP184:AQ190,2,FALSE),0)</f>
        <v>10</v>
      </c>
      <c r="AL190" s="2441"/>
      <c r="AM190" s="2396"/>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2" t="s">
        <v>1364</v>
      </c>
      <c r="AF193" s="2452"/>
      <c r="AG193" s="2452"/>
      <c r="AH193" s="2452"/>
      <c r="AI193" s="2452"/>
      <c r="AJ193" s="2452"/>
      <c r="AK193" s="245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0"/>
      <c r="C198" s="2560"/>
      <c r="D198" s="2560"/>
      <c r="E198" s="2560"/>
      <c r="F198" s="2560"/>
      <c r="G198" s="2560"/>
      <c r="H198" s="2560"/>
      <c r="I198" s="2560"/>
      <c r="J198" s="2560"/>
      <c r="K198" s="2560"/>
      <c r="L198" s="2560"/>
      <c r="M198" s="2560"/>
      <c r="N198" s="2560"/>
      <c r="O198" s="2560"/>
      <c r="P198" s="2560"/>
      <c r="Q198" s="2560"/>
      <c r="R198" s="2560"/>
      <c r="S198" s="2560"/>
      <c r="T198" s="2560"/>
      <c r="U198" s="2560"/>
      <c r="V198" s="2560"/>
      <c r="W198" s="2560"/>
      <c r="X198" s="2560"/>
      <c r="Y198" s="2560"/>
      <c r="Z198" s="2560"/>
      <c r="AA198" s="2560"/>
      <c r="AB198" s="2560"/>
      <c r="AC198" s="842"/>
      <c r="AD198" s="2576"/>
      <c r="AE198" s="2576"/>
      <c r="AF198" s="2576"/>
      <c r="AG198" s="2576"/>
      <c r="AH198" s="2576"/>
      <c r="AI198" s="2576"/>
      <c r="AJ198" s="2576"/>
      <c r="AK198" s="608"/>
    </row>
    <row r="199" spans="1:37" hidden="1">
      <c r="A199" s="603"/>
      <c r="B199" s="2560"/>
      <c r="C199" s="2560"/>
      <c r="D199" s="2560"/>
      <c r="E199" s="2560"/>
      <c r="F199" s="2560"/>
      <c r="G199" s="2560"/>
      <c r="H199" s="2560"/>
      <c r="I199" s="2560"/>
      <c r="J199" s="2560"/>
      <c r="K199" s="2560"/>
      <c r="L199" s="2560"/>
      <c r="M199" s="2560"/>
      <c r="N199" s="2560"/>
      <c r="O199" s="2560"/>
      <c r="P199" s="2560"/>
      <c r="Q199" s="2560"/>
      <c r="R199" s="2560"/>
      <c r="S199" s="2560"/>
      <c r="T199" s="2560"/>
      <c r="U199" s="2560"/>
      <c r="V199" s="2560"/>
      <c r="W199" s="2560"/>
      <c r="X199" s="2560"/>
      <c r="Y199" s="2560"/>
      <c r="Z199" s="2560"/>
      <c r="AA199" s="2560"/>
      <c r="AB199" s="2560"/>
      <c r="AC199" s="842"/>
      <c r="AD199" s="2576"/>
      <c r="AE199" s="2576"/>
      <c r="AF199" s="2576"/>
      <c r="AG199" s="2576"/>
      <c r="AH199" s="2576"/>
      <c r="AI199" s="2576"/>
      <c r="AJ199" s="2576"/>
      <c r="AK199" s="608"/>
    </row>
    <row r="200" spans="1:37" hidden="1">
      <c r="A200" s="603"/>
      <c r="B200" s="2560"/>
      <c r="C200" s="2560"/>
      <c r="D200" s="2560"/>
      <c r="E200" s="2560"/>
      <c r="F200" s="2560"/>
      <c r="G200" s="2560"/>
      <c r="H200" s="2560"/>
      <c r="I200" s="2560"/>
      <c r="J200" s="2560"/>
      <c r="K200" s="2560"/>
      <c r="L200" s="2560"/>
      <c r="M200" s="2560"/>
      <c r="N200" s="2560"/>
      <c r="O200" s="2560"/>
      <c r="P200" s="2560"/>
      <c r="Q200" s="2560"/>
      <c r="R200" s="2560"/>
      <c r="S200" s="2560"/>
      <c r="T200" s="2560"/>
      <c r="U200" s="2560"/>
      <c r="V200" s="2560"/>
      <c r="W200" s="2560"/>
      <c r="X200" s="2560"/>
      <c r="Y200" s="2560"/>
      <c r="Z200" s="2560"/>
      <c r="AA200" s="2560"/>
      <c r="AB200" s="2560"/>
      <c r="AC200" s="842"/>
      <c r="AD200" s="2576"/>
      <c r="AE200" s="2576"/>
      <c r="AF200" s="2576"/>
      <c r="AG200" s="2576"/>
      <c r="AH200" s="2576"/>
      <c r="AI200" s="2576"/>
      <c r="AJ200" s="2576"/>
      <c r="AK200" s="608"/>
    </row>
    <row r="201" spans="1:37" hidden="1">
      <c r="A201" s="603"/>
      <c r="B201" s="2560"/>
      <c r="C201" s="2560"/>
      <c r="D201" s="2560"/>
      <c r="E201" s="2560"/>
      <c r="F201" s="2560"/>
      <c r="G201" s="2560"/>
      <c r="H201" s="2560"/>
      <c r="I201" s="2560"/>
      <c r="J201" s="2560"/>
      <c r="K201" s="2560"/>
      <c r="L201" s="2560"/>
      <c r="M201" s="2560"/>
      <c r="N201" s="2560"/>
      <c r="O201" s="2560"/>
      <c r="P201" s="2560"/>
      <c r="Q201" s="2560"/>
      <c r="R201" s="2560"/>
      <c r="S201" s="2560"/>
      <c r="T201" s="2560"/>
      <c r="U201" s="2560"/>
      <c r="V201" s="2560"/>
      <c r="W201" s="2560"/>
      <c r="X201" s="2560"/>
      <c r="Y201" s="2560"/>
      <c r="Z201" s="2560"/>
      <c r="AA201" s="2560"/>
      <c r="AB201" s="2560"/>
      <c r="AC201" s="842"/>
      <c r="AD201" s="2576"/>
      <c r="AE201" s="2576"/>
      <c r="AF201" s="2576"/>
      <c r="AG201" s="2576"/>
      <c r="AH201" s="2576"/>
      <c r="AI201" s="2576"/>
      <c r="AJ201" s="2576"/>
      <c r="AK201" s="608"/>
    </row>
    <row r="202" spans="1:37" hidden="1">
      <c r="A202" s="603"/>
      <c r="B202" s="2560"/>
      <c r="C202" s="2560"/>
      <c r="D202" s="2560"/>
      <c r="E202" s="2560"/>
      <c r="F202" s="2560"/>
      <c r="G202" s="2560"/>
      <c r="H202" s="2560"/>
      <c r="I202" s="2560"/>
      <c r="J202" s="2560"/>
      <c r="K202" s="2560"/>
      <c r="L202" s="2560"/>
      <c r="M202" s="2560"/>
      <c r="N202" s="2560"/>
      <c r="O202" s="2560"/>
      <c r="P202" s="2560"/>
      <c r="Q202" s="2560"/>
      <c r="R202" s="2560"/>
      <c r="S202" s="2560"/>
      <c r="T202" s="2560"/>
      <c r="U202" s="2560"/>
      <c r="V202" s="2560"/>
      <c r="W202" s="2560"/>
      <c r="X202" s="2560"/>
      <c r="Y202" s="2560"/>
      <c r="Z202" s="2560"/>
      <c r="AA202" s="2560"/>
      <c r="AB202" s="2560"/>
      <c r="AC202" s="842"/>
      <c r="AD202" s="2576"/>
      <c r="AE202" s="2576"/>
      <c r="AF202" s="2576"/>
      <c r="AG202" s="2576"/>
      <c r="AH202" s="2576"/>
      <c r="AI202" s="2576"/>
      <c r="AJ202" s="2576"/>
      <c r="AK202" s="608"/>
    </row>
    <row r="203" spans="1:37" hidden="1">
      <c r="A203" s="603"/>
      <c r="B203" s="2560"/>
      <c r="C203" s="2560"/>
      <c r="D203" s="2560"/>
      <c r="E203" s="2560"/>
      <c r="F203" s="2560"/>
      <c r="G203" s="2560"/>
      <c r="H203" s="2560"/>
      <c r="I203" s="2560"/>
      <c r="J203" s="2560"/>
      <c r="K203" s="2560"/>
      <c r="L203" s="2560"/>
      <c r="M203" s="2560"/>
      <c r="N203" s="2560"/>
      <c r="O203" s="2560"/>
      <c r="P203" s="2560"/>
      <c r="Q203" s="2560"/>
      <c r="R203" s="2560"/>
      <c r="S203" s="2560"/>
      <c r="T203" s="2560"/>
      <c r="U203" s="2560"/>
      <c r="V203" s="2560"/>
      <c r="W203" s="2560"/>
      <c r="X203" s="2560"/>
      <c r="Y203" s="2560"/>
      <c r="Z203" s="2560"/>
      <c r="AA203" s="2560"/>
      <c r="AB203" s="2560"/>
      <c r="AC203" s="842"/>
      <c r="AD203" s="2576"/>
      <c r="AE203" s="2576"/>
      <c r="AF203" s="2576"/>
      <c r="AG203" s="2576"/>
      <c r="AH203" s="2576"/>
      <c r="AI203" s="2576"/>
      <c r="AJ203" s="2576"/>
      <c r="AK203" s="608"/>
    </row>
    <row r="204" spans="1:37" hidden="1">
      <c r="A204" s="603"/>
      <c r="B204" s="2560"/>
      <c r="C204" s="2560"/>
      <c r="D204" s="2560"/>
      <c r="E204" s="2560"/>
      <c r="F204" s="2560"/>
      <c r="G204" s="2560"/>
      <c r="H204" s="2560"/>
      <c r="I204" s="2560"/>
      <c r="J204" s="2560"/>
      <c r="K204" s="2560"/>
      <c r="L204" s="2560"/>
      <c r="M204" s="2560"/>
      <c r="N204" s="2560"/>
      <c r="O204" s="2560"/>
      <c r="P204" s="2560"/>
      <c r="Q204" s="2560"/>
      <c r="R204" s="2560"/>
      <c r="S204" s="2560"/>
      <c r="T204" s="2560"/>
      <c r="U204" s="2560"/>
      <c r="V204" s="2560"/>
      <c r="W204" s="2560"/>
      <c r="X204" s="2560"/>
      <c r="Y204" s="2560"/>
      <c r="Z204" s="2560"/>
      <c r="AA204" s="2560"/>
      <c r="AB204" s="2560"/>
      <c r="AC204" s="842"/>
      <c r="AD204" s="2576"/>
      <c r="AE204" s="2576"/>
      <c r="AF204" s="2576"/>
      <c r="AG204" s="2576"/>
      <c r="AH204" s="2576"/>
      <c r="AI204" s="2576"/>
      <c r="AJ204" s="2576"/>
      <c r="AK204" s="608"/>
    </row>
    <row r="205" spans="1:37" hidden="1">
      <c r="A205" s="603"/>
      <c r="B205" s="2560"/>
      <c r="C205" s="2560"/>
      <c r="D205" s="2560"/>
      <c r="E205" s="2560"/>
      <c r="F205" s="2560"/>
      <c r="G205" s="2560"/>
      <c r="H205" s="2560"/>
      <c r="I205" s="2560"/>
      <c r="J205" s="2560"/>
      <c r="K205" s="2560"/>
      <c r="L205" s="2560"/>
      <c r="M205" s="2560"/>
      <c r="N205" s="2560"/>
      <c r="O205" s="2560"/>
      <c r="P205" s="2560"/>
      <c r="Q205" s="2560"/>
      <c r="R205" s="2560"/>
      <c r="S205" s="2560"/>
      <c r="T205" s="2560"/>
      <c r="U205" s="2560"/>
      <c r="V205" s="2560"/>
      <c r="W205" s="2560"/>
      <c r="X205" s="2560"/>
      <c r="Y205" s="2560"/>
      <c r="Z205" s="2560"/>
      <c r="AA205" s="2560"/>
      <c r="AB205" s="2560"/>
      <c r="AC205" s="842"/>
      <c r="AD205" s="2576"/>
      <c r="AE205" s="2576"/>
      <c r="AF205" s="2576"/>
      <c r="AG205" s="2576"/>
      <c r="AH205" s="2576"/>
      <c r="AI205" s="2576"/>
      <c r="AJ205" s="2576"/>
      <c r="AK205" s="608"/>
    </row>
    <row r="206" spans="1:37" hidden="1">
      <c r="A206" s="603"/>
      <c r="B206" s="2560"/>
      <c r="C206" s="2560"/>
      <c r="D206" s="2560"/>
      <c r="E206" s="2560"/>
      <c r="F206" s="2560"/>
      <c r="G206" s="2560"/>
      <c r="H206" s="2560"/>
      <c r="I206" s="2560"/>
      <c r="J206" s="2560"/>
      <c r="K206" s="2560"/>
      <c r="L206" s="2560"/>
      <c r="M206" s="2560"/>
      <c r="N206" s="2560"/>
      <c r="O206" s="2560"/>
      <c r="P206" s="2560"/>
      <c r="Q206" s="2560"/>
      <c r="R206" s="2560"/>
      <c r="S206" s="2560"/>
      <c r="T206" s="2560"/>
      <c r="U206" s="2560"/>
      <c r="V206" s="2560"/>
      <c r="W206" s="2560"/>
      <c r="X206" s="2560"/>
      <c r="Y206" s="2560"/>
      <c r="Z206" s="2560"/>
      <c r="AA206" s="2560"/>
      <c r="AB206" s="2560"/>
      <c r="AC206" s="842"/>
      <c r="AD206" s="2576"/>
      <c r="AE206" s="2576"/>
      <c r="AF206" s="2576"/>
      <c r="AG206" s="2576"/>
      <c r="AH206" s="2576"/>
      <c r="AI206" s="2576"/>
      <c r="AJ206" s="2576"/>
      <c r="AK206" s="608"/>
    </row>
    <row r="207" spans="1:37" hidden="1">
      <c r="A207" s="603"/>
      <c r="B207" s="2560"/>
      <c r="C207" s="2560"/>
      <c r="D207" s="2560"/>
      <c r="E207" s="2560"/>
      <c r="F207" s="2560"/>
      <c r="G207" s="2560"/>
      <c r="H207" s="2560"/>
      <c r="I207" s="2560"/>
      <c r="J207" s="2560"/>
      <c r="K207" s="2560"/>
      <c r="L207" s="2560"/>
      <c r="M207" s="2560"/>
      <c r="N207" s="2560"/>
      <c r="O207" s="2560"/>
      <c r="P207" s="2560"/>
      <c r="Q207" s="2560"/>
      <c r="R207" s="2560"/>
      <c r="S207" s="2560"/>
      <c r="T207" s="2560"/>
      <c r="U207" s="2560"/>
      <c r="V207" s="2560"/>
      <c r="W207" s="2560"/>
      <c r="X207" s="2560"/>
      <c r="Y207" s="2560"/>
      <c r="Z207" s="2560"/>
      <c r="AA207" s="2560"/>
      <c r="AB207" s="2560"/>
      <c r="AC207" s="842"/>
      <c r="AD207" s="2576"/>
      <c r="AE207" s="2576"/>
      <c r="AF207" s="2576"/>
      <c r="AG207" s="2576"/>
      <c r="AH207" s="2576"/>
      <c r="AI207" s="2576"/>
      <c r="AJ207" s="2576"/>
      <c r="AK207" s="608"/>
    </row>
    <row r="208" spans="1:37" hidden="1">
      <c r="A208" s="603"/>
      <c r="B208" s="2569" t="s">
        <v>1615</v>
      </c>
      <c r="C208" s="2569"/>
      <c r="D208" s="2569"/>
      <c r="E208" s="2569"/>
      <c r="F208" s="2569"/>
      <c r="G208" s="2569"/>
      <c r="H208" s="2569"/>
      <c r="I208" s="2569"/>
      <c r="J208" s="2569"/>
      <c r="K208" s="2569"/>
      <c r="L208" s="2569"/>
      <c r="M208" s="2569"/>
      <c r="N208" s="2569"/>
      <c r="O208" s="2569"/>
      <c r="P208" s="2569"/>
      <c r="Q208" s="2569"/>
      <c r="R208" s="2569"/>
      <c r="S208" s="2569"/>
      <c r="T208" s="2569"/>
      <c r="U208" s="2569"/>
      <c r="V208" s="2569"/>
      <c r="W208" s="2569"/>
      <c r="X208" s="2569"/>
      <c r="Y208" s="2569"/>
      <c r="Z208" s="2569"/>
      <c r="AA208" s="2569"/>
      <c r="AB208" s="2569"/>
      <c r="AC208" s="536"/>
      <c r="AD208" s="2574">
        <f>AB259</f>
        <v>0</v>
      </c>
      <c r="AE208" s="2574"/>
      <c r="AF208" s="2574"/>
      <c r="AG208" s="2574"/>
      <c r="AH208" s="2574"/>
      <c r="AI208" s="2574"/>
      <c r="AJ208" s="2574"/>
      <c r="AK208" s="608"/>
    </row>
    <row r="209" spans="1:37" hidden="1">
      <c r="A209" s="603"/>
      <c r="B209" s="2415" t="s">
        <v>1578</v>
      </c>
      <c r="C209" s="2415"/>
      <c r="D209" s="2415"/>
      <c r="E209" s="2415"/>
      <c r="F209" s="2415"/>
      <c r="G209" s="2415"/>
      <c r="H209" s="2415"/>
      <c r="I209" s="2415"/>
      <c r="J209" s="2415"/>
      <c r="K209" s="2415"/>
      <c r="L209" s="2415"/>
      <c r="M209" s="2415"/>
      <c r="N209" s="2415"/>
      <c r="O209" s="2415"/>
      <c r="P209" s="2415"/>
      <c r="Q209" s="2415"/>
      <c r="R209" s="2415"/>
      <c r="S209" s="2415"/>
      <c r="T209" s="2415"/>
      <c r="U209" s="2415"/>
      <c r="V209" s="2415"/>
      <c r="W209" s="2415"/>
      <c r="X209" s="2415"/>
      <c r="Y209" s="2415"/>
      <c r="Z209" s="2415"/>
      <c r="AA209" s="2415"/>
      <c r="AB209" s="2415"/>
      <c r="AC209" s="842"/>
      <c r="AD209" s="2575">
        <f>'Sources and Uses Budget'!B15</f>
        <v>0</v>
      </c>
      <c r="AE209" s="2575"/>
      <c r="AF209" s="2575"/>
      <c r="AG209" s="2575"/>
      <c r="AH209" s="2575"/>
      <c r="AI209" s="2575"/>
      <c r="AJ209" s="257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0">
        <f>SUM(AD198:AJ208)-AD209</f>
        <v>0</v>
      </c>
      <c r="AE210" s="2580"/>
      <c r="AF210" s="2580"/>
      <c r="AG210" s="2580"/>
      <c r="AH210" s="2580"/>
      <c r="AI210" s="2580"/>
      <c r="AJ210" s="2580"/>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3" t="s">
        <v>1595</v>
      </c>
      <c r="J221" s="2603"/>
      <c r="K221" s="2603"/>
      <c r="L221" s="536"/>
      <c r="M221" s="536"/>
      <c r="N221" s="536"/>
      <c r="O221" s="536"/>
      <c r="P221" s="536"/>
      <c r="Q221" s="536"/>
      <c r="R221" s="536"/>
      <c r="S221" s="536"/>
      <c r="T221" s="2429" t="s">
        <v>1589</v>
      </c>
      <c r="U221" s="2429"/>
      <c r="V221" s="2429"/>
      <c r="W221" s="2429"/>
      <c r="X221" s="2429"/>
      <c r="Y221" s="2429"/>
      <c r="Z221" s="845"/>
      <c r="AA221" s="489"/>
      <c r="AB221" s="2593" t="s">
        <v>1590</v>
      </c>
      <c r="AC221" s="2593"/>
      <c r="AD221" s="2593"/>
      <c r="AE221" s="2593"/>
      <c r="AF221" s="2593"/>
      <c r="AG221" s="2593"/>
      <c r="AH221" s="823"/>
      <c r="AI221" s="823"/>
      <c r="AJ221" s="823"/>
      <c r="AK221" s="608"/>
    </row>
    <row r="222" spans="1:37" hidden="1">
      <c r="A222" s="603"/>
      <c r="B222" s="2601" t="s">
        <v>1575</v>
      </c>
      <c r="C222" s="2601"/>
      <c r="D222" s="2601"/>
      <c r="E222" s="2601"/>
      <c r="F222" s="2601"/>
      <c r="G222" s="2601"/>
      <c r="I222" s="2602" t="s">
        <v>1596</v>
      </c>
      <c r="J222" s="2602"/>
      <c r="K222" s="2602"/>
      <c r="L222" s="1003"/>
      <c r="N222" s="2416" t="s">
        <v>1591</v>
      </c>
      <c r="O222" s="2416"/>
      <c r="P222" s="2416"/>
      <c r="Q222" s="2416"/>
      <c r="R222" s="2416"/>
      <c r="T222" s="2416" t="s">
        <v>1592</v>
      </c>
      <c r="U222" s="2416"/>
      <c r="V222" s="2416"/>
      <c r="W222" s="2416"/>
      <c r="X222" s="2416"/>
      <c r="Y222" s="2416"/>
      <c r="Z222" s="846"/>
      <c r="AA222" s="489"/>
      <c r="AB222" s="2472" t="s">
        <v>1593</v>
      </c>
      <c r="AC222" s="2472"/>
      <c r="AD222" s="2472"/>
      <c r="AE222" s="2472"/>
      <c r="AF222" s="2472"/>
      <c r="AG222" s="2472"/>
      <c r="AH222" s="823"/>
      <c r="AI222" s="823"/>
      <c r="AJ222" s="823"/>
      <c r="AK222" s="608"/>
    </row>
    <row r="223" spans="1:37" hidden="1">
      <c r="A223" s="603"/>
      <c r="B223" s="2473" t="s">
        <v>1183</v>
      </c>
      <c r="C223" s="2473"/>
      <c r="D223" s="2473"/>
      <c r="E223" s="2473"/>
      <c r="F223" s="2473"/>
      <c r="G223" s="2473"/>
      <c r="H223" s="848"/>
      <c r="I223" s="2432"/>
      <c r="J223" s="2432"/>
      <c r="K223" s="2432"/>
      <c r="L223" s="1003"/>
      <c r="N223" s="2430"/>
      <c r="O223" s="2430"/>
      <c r="P223" s="2430"/>
      <c r="Q223" s="2430"/>
      <c r="R223" s="2430"/>
      <c r="T223" s="2412"/>
      <c r="U223" s="2412"/>
      <c r="V223" s="2412"/>
      <c r="W223" s="2412"/>
      <c r="X223" s="2412"/>
      <c r="Y223" s="2412"/>
      <c r="Z223" s="847"/>
      <c r="AA223" s="847"/>
      <c r="AB223" s="2410">
        <f t="shared" ref="AB223:AB232" si="0">MAX(($T223-$N223)*$I223*12,0)</f>
        <v>0</v>
      </c>
      <c r="AC223" s="2410"/>
      <c r="AD223" s="2410"/>
      <c r="AE223" s="2410"/>
      <c r="AF223" s="2410"/>
      <c r="AG223" s="2410"/>
      <c r="AH223" s="823"/>
      <c r="AI223" s="823"/>
      <c r="AJ223" s="823"/>
      <c r="AK223" s="608"/>
    </row>
    <row r="224" spans="1:37" hidden="1">
      <c r="A224" s="603"/>
      <c r="B224" s="2473" t="s">
        <v>1183</v>
      </c>
      <c r="C224" s="2473"/>
      <c r="D224" s="2473"/>
      <c r="E224" s="2473"/>
      <c r="F224" s="2473"/>
      <c r="G224" s="2473"/>
      <c r="I224" s="2432"/>
      <c r="J224" s="2432"/>
      <c r="K224" s="2432"/>
      <c r="L224" s="1003"/>
      <c r="N224" s="2430"/>
      <c r="O224" s="2430"/>
      <c r="P224" s="2430"/>
      <c r="Q224" s="2430"/>
      <c r="R224" s="2430"/>
      <c r="T224" s="2412"/>
      <c r="U224" s="2412"/>
      <c r="V224" s="2412"/>
      <c r="W224" s="2412"/>
      <c r="X224" s="2412"/>
      <c r="Y224" s="2412"/>
      <c r="Z224" s="847"/>
      <c r="AA224" s="847"/>
      <c r="AB224" s="2410">
        <f t="shared" si="0"/>
        <v>0</v>
      </c>
      <c r="AC224" s="2410"/>
      <c r="AD224" s="2410"/>
      <c r="AE224" s="2410"/>
      <c r="AF224" s="2410"/>
      <c r="AG224" s="2410"/>
      <c r="AH224" s="823"/>
      <c r="AI224" s="823"/>
      <c r="AJ224" s="823"/>
      <c r="AK224" s="608"/>
    </row>
    <row r="225" spans="1:37" hidden="1">
      <c r="A225" s="603"/>
      <c r="B225" s="2473" t="s">
        <v>1183</v>
      </c>
      <c r="C225" s="2473"/>
      <c r="D225" s="2473"/>
      <c r="E225" s="2473"/>
      <c r="F225" s="2473"/>
      <c r="G225" s="2473"/>
      <c r="I225" s="2432"/>
      <c r="J225" s="2432"/>
      <c r="K225" s="2432"/>
      <c r="L225" s="1003"/>
      <c r="N225" s="2430"/>
      <c r="O225" s="2430"/>
      <c r="P225" s="2430"/>
      <c r="Q225" s="2430"/>
      <c r="R225" s="2430"/>
      <c r="T225" s="2412"/>
      <c r="U225" s="2412"/>
      <c r="V225" s="2412"/>
      <c r="W225" s="2412"/>
      <c r="X225" s="2412"/>
      <c r="Y225" s="2412"/>
      <c r="Z225" s="847"/>
      <c r="AA225" s="847"/>
      <c r="AB225" s="2410">
        <f t="shared" si="0"/>
        <v>0</v>
      </c>
      <c r="AC225" s="2410"/>
      <c r="AD225" s="2410"/>
      <c r="AE225" s="2410"/>
      <c r="AF225" s="2410"/>
      <c r="AG225" s="2410"/>
      <c r="AH225" s="823"/>
      <c r="AI225" s="823"/>
      <c r="AJ225" s="823"/>
      <c r="AK225" s="608"/>
    </row>
    <row r="226" spans="1:37" hidden="1">
      <c r="A226" s="603"/>
      <c r="B226" s="2473" t="s">
        <v>1183</v>
      </c>
      <c r="C226" s="2473"/>
      <c r="D226" s="2473"/>
      <c r="E226" s="2473"/>
      <c r="F226" s="2473"/>
      <c r="G226" s="2473"/>
      <c r="I226" s="2432"/>
      <c r="J226" s="2432"/>
      <c r="K226" s="2432"/>
      <c r="L226" s="1003"/>
      <c r="N226" s="2430"/>
      <c r="O226" s="2430"/>
      <c r="P226" s="2430"/>
      <c r="Q226" s="2430"/>
      <c r="R226" s="2430"/>
      <c r="T226" s="2412"/>
      <c r="U226" s="2412"/>
      <c r="V226" s="2412"/>
      <c r="W226" s="2412"/>
      <c r="X226" s="2412"/>
      <c r="Y226" s="2412"/>
      <c r="Z226" s="847"/>
      <c r="AA226" s="847"/>
      <c r="AB226" s="2410">
        <f t="shared" si="0"/>
        <v>0</v>
      </c>
      <c r="AC226" s="2410"/>
      <c r="AD226" s="2410"/>
      <c r="AE226" s="2410"/>
      <c r="AF226" s="2410"/>
      <c r="AG226" s="2410"/>
      <c r="AH226" s="823"/>
      <c r="AI226" s="823"/>
      <c r="AJ226" s="823"/>
      <c r="AK226" s="608"/>
    </row>
    <row r="227" spans="1:37" hidden="1">
      <c r="A227" s="603"/>
      <c r="B227" s="2473" t="s">
        <v>1183</v>
      </c>
      <c r="C227" s="2473"/>
      <c r="D227" s="2473"/>
      <c r="E227" s="2473"/>
      <c r="F227" s="2473"/>
      <c r="G227" s="2473"/>
      <c r="I227" s="2432"/>
      <c r="J227" s="2432"/>
      <c r="K227" s="2432"/>
      <c r="L227" s="1010"/>
      <c r="N227" s="2430"/>
      <c r="O227" s="2430"/>
      <c r="P227" s="2430"/>
      <c r="Q227" s="2430"/>
      <c r="R227" s="2430"/>
      <c r="T227" s="2412"/>
      <c r="U227" s="2412"/>
      <c r="V227" s="2412"/>
      <c r="W227" s="2412"/>
      <c r="X227" s="2412"/>
      <c r="Y227" s="2412"/>
      <c r="Z227" s="847"/>
      <c r="AA227" s="847"/>
      <c r="AB227" s="2410">
        <f t="shared" si="0"/>
        <v>0</v>
      </c>
      <c r="AC227" s="2410"/>
      <c r="AD227" s="2410"/>
      <c r="AE227" s="2410"/>
      <c r="AF227" s="2410"/>
      <c r="AG227" s="2410"/>
      <c r="AH227" s="823"/>
      <c r="AI227" s="823"/>
      <c r="AJ227" s="823"/>
      <c r="AK227" s="608"/>
    </row>
    <row r="228" spans="1:37" hidden="1">
      <c r="A228" s="603"/>
      <c r="B228" s="2473" t="s">
        <v>1183</v>
      </c>
      <c r="C228" s="2473"/>
      <c r="D228" s="2473"/>
      <c r="E228" s="2473"/>
      <c r="F228" s="2473"/>
      <c r="G228" s="2473"/>
      <c r="I228" s="2432"/>
      <c r="J228" s="2432"/>
      <c r="K228" s="2432"/>
      <c r="L228" s="1010"/>
      <c r="N228" s="2430"/>
      <c r="O228" s="2430"/>
      <c r="P228" s="2430"/>
      <c r="Q228" s="2430"/>
      <c r="R228" s="2430"/>
      <c r="T228" s="2412"/>
      <c r="U228" s="2412"/>
      <c r="V228" s="2412"/>
      <c r="W228" s="2412"/>
      <c r="X228" s="2412"/>
      <c r="Y228" s="2412"/>
      <c r="Z228" s="847"/>
      <c r="AA228" s="847"/>
      <c r="AB228" s="2410">
        <f t="shared" si="0"/>
        <v>0</v>
      </c>
      <c r="AC228" s="2410"/>
      <c r="AD228" s="2410"/>
      <c r="AE228" s="2410"/>
      <c r="AF228" s="2410"/>
      <c r="AG228" s="2410"/>
      <c r="AH228" s="823"/>
      <c r="AI228" s="823"/>
      <c r="AJ228" s="823"/>
      <c r="AK228" s="608"/>
    </row>
    <row r="229" spans="1:37" hidden="1">
      <c r="A229" s="603"/>
      <c r="B229" s="2473" t="s">
        <v>1183</v>
      </c>
      <c r="C229" s="2473"/>
      <c r="D229" s="2473"/>
      <c r="E229" s="2473"/>
      <c r="F229" s="2473"/>
      <c r="G229" s="2473"/>
      <c r="I229" s="2432"/>
      <c r="J229" s="2432"/>
      <c r="K229" s="2432"/>
      <c r="L229" s="1010"/>
      <c r="N229" s="2430"/>
      <c r="O229" s="2430"/>
      <c r="P229" s="2430"/>
      <c r="Q229" s="2430"/>
      <c r="R229" s="2430"/>
      <c r="T229" s="2412"/>
      <c r="U229" s="2412"/>
      <c r="V229" s="2412"/>
      <c r="W229" s="2412"/>
      <c r="X229" s="2412"/>
      <c r="Y229" s="2412"/>
      <c r="Z229" s="847"/>
      <c r="AA229" s="847"/>
      <c r="AB229" s="2410">
        <f t="shared" si="0"/>
        <v>0</v>
      </c>
      <c r="AC229" s="2410"/>
      <c r="AD229" s="2410"/>
      <c r="AE229" s="2410"/>
      <c r="AF229" s="2410"/>
      <c r="AG229" s="2410"/>
      <c r="AH229" s="823"/>
      <c r="AI229" s="823"/>
      <c r="AJ229" s="823"/>
      <c r="AK229" s="608"/>
    </row>
    <row r="230" spans="1:37" hidden="1">
      <c r="A230" s="603"/>
      <c r="B230" s="2473" t="s">
        <v>1183</v>
      </c>
      <c r="C230" s="2473"/>
      <c r="D230" s="2473"/>
      <c r="E230" s="2473"/>
      <c r="F230" s="2473"/>
      <c r="G230" s="2473"/>
      <c r="I230" s="2432"/>
      <c r="J230" s="2432"/>
      <c r="K230" s="2432"/>
      <c r="L230" s="1010"/>
      <c r="N230" s="2430"/>
      <c r="O230" s="2430"/>
      <c r="P230" s="2430"/>
      <c r="Q230" s="2430"/>
      <c r="R230" s="2430"/>
      <c r="T230" s="2412"/>
      <c r="U230" s="2412"/>
      <c r="V230" s="2412"/>
      <c r="W230" s="2412"/>
      <c r="X230" s="2412"/>
      <c r="Y230" s="2412"/>
      <c r="Z230" s="847"/>
      <c r="AA230" s="847"/>
      <c r="AB230" s="2410">
        <f t="shared" si="0"/>
        <v>0</v>
      </c>
      <c r="AC230" s="2410"/>
      <c r="AD230" s="2410"/>
      <c r="AE230" s="2410"/>
      <c r="AF230" s="2410"/>
      <c r="AG230" s="2410"/>
      <c r="AH230" s="823"/>
      <c r="AI230" s="823"/>
      <c r="AJ230" s="823"/>
      <c r="AK230" s="608"/>
    </row>
    <row r="231" spans="1:37" hidden="1">
      <c r="A231" s="603"/>
      <c r="B231" s="2473" t="s">
        <v>1183</v>
      </c>
      <c r="C231" s="2473"/>
      <c r="D231" s="2473"/>
      <c r="E231" s="2473"/>
      <c r="F231" s="2473"/>
      <c r="G231" s="2473"/>
      <c r="I231" s="2432"/>
      <c r="J231" s="2432"/>
      <c r="K231" s="2432"/>
      <c r="L231" s="1010"/>
      <c r="N231" s="2430"/>
      <c r="O231" s="2430"/>
      <c r="P231" s="2430"/>
      <c r="Q231" s="2430"/>
      <c r="R231" s="2430"/>
      <c r="T231" s="2412"/>
      <c r="U231" s="2412"/>
      <c r="V231" s="2412"/>
      <c r="W231" s="2412"/>
      <c r="X231" s="2412"/>
      <c r="Y231" s="2412"/>
      <c r="Z231" s="847"/>
      <c r="AA231" s="847"/>
      <c r="AB231" s="2410">
        <f t="shared" si="0"/>
        <v>0</v>
      </c>
      <c r="AC231" s="2410"/>
      <c r="AD231" s="2410"/>
      <c r="AE231" s="2410"/>
      <c r="AF231" s="2410"/>
      <c r="AG231" s="2410"/>
      <c r="AH231" s="823"/>
      <c r="AI231" s="823"/>
      <c r="AJ231" s="823"/>
      <c r="AK231" s="608"/>
    </row>
    <row r="232" spans="1:37" hidden="1">
      <c r="A232" s="603"/>
      <c r="B232" s="2473" t="s">
        <v>1183</v>
      </c>
      <c r="C232" s="2473"/>
      <c r="D232" s="2473"/>
      <c r="E232" s="2473"/>
      <c r="F232" s="2473"/>
      <c r="G232" s="2473"/>
      <c r="I232" s="2604"/>
      <c r="J232" s="2604"/>
      <c r="K232" s="2604"/>
      <c r="L232" s="1010"/>
      <c r="N232" s="2430"/>
      <c r="O232" s="2430"/>
      <c r="P232" s="2430"/>
      <c r="Q232" s="2430"/>
      <c r="R232" s="2430"/>
      <c r="T232" s="2412"/>
      <c r="U232" s="2412"/>
      <c r="V232" s="2412"/>
      <c r="W232" s="2412"/>
      <c r="X232" s="2412"/>
      <c r="Y232" s="2412"/>
      <c r="Z232" s="847"/>
      <c r="AA232" s="847"/>
      <c r="AB232" s="2411">
        <f t="shared" si="0"/>
        <v>0</v>
      </c>
      <c r="AC232" s="2411"/>
      <c r="AD232" s="2411"/>
      <c r="AE232" s="2411"/>
      <c r="AF232" s="2411"/>
      <c r="AG232" s="24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10">
        <f>SUM(AB223:AB232)</f>
        <v>0</v>
      </c>
      <c r="AC233" s="2410"/>
      <c r="AD233" s="2410"/>
      <c r="AE233" s="2410"/>
      <c r="AF233" s="2410"/>
      <c r="AG233" s="241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5"/>
      <c r="AC239" s="2445"/>
      <c r="AD239" s="2445"/>
      <c r="AE239" s="2445"/>
      <c r="AF239" s="2445"/>
      <c r="AG239" s="2445"/>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5"/>
      <c r="AC242" s="2445"/>
      <c r="AD242" s="2445"/>
      <c r="AE242" s="2445"/>
      <c r="AF242" s="2445"/>
      <c r="AG242" s="2445"/>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8"/>
      <c r="AC243" s="2428"/>
      <c r="AD243" s="2428"/>
      <c r="AE243" s="2428"/>
      <c r="AF243" s="2428"/>
      <c r="AG243" s="2428"/>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3">
        <f>IFERROR(AB242/AB243,0)</f>
        <v>0</v>
      </c>
      <c r="AC244" s="2413"/>
      <c r="AD244" s="2413"/>
      <c r="AE244" s="2413"/>
      <c r="AF244" s="2413"/>
      <c r="AG244" s="241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1">
        <f>MAX(AB239,AB244)</f>
        <v>0</v>
      </c>
      <c r="AC246" s="2411"/>
      <c r="AD246" s="2411"/>
      <c r="AE246" s="2411"/>
      <c r="AF246" s="2411"/>
      <c r="AG246" s="24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0">
        <f>AB233+AB246</f>
        <v>0</v>
      </c>
      <c r="AC249" s="2410"/>
      <c r="AD249" s="2410"/>
      <c r="AE249" s="2410"/>
      <c r="AF249" s="2410"/>
      <c r="AG249" s="2410"/>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4">
        <v>0.05</v>
      </c>
      <c r="AC250" s="2584"/>
      <c r="AD250" s="2584"/>
      <c r="AE250" s="2584"/>
      <c r="AF250" s="2584"/>
      <c r="AG250" s="2584"/>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5">
        <f>AB249-(AB249*AB250)</f>
        <v>0</v>
      </c>
      <c r="AC251" s="2585"/>
      <c r="AD251" s="2585"/>
      <c r="AE251" s="2585"/>
      <c r="AF251" s="2585"/>
      <c r="AG251" s="2585"/>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0">
        <f>AB251/AB257</f>
        <v>0</v>
      </c>
      <c r="AC253" s="2410"/>
      <c r="AD253" s="2410"/>
      <c r="AE253" s="2410"/>
      <c r="AF253" s="2410"/>
      <c r="AG253" s="241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3">
        <v>15</v>
      </c>
      <c r="AC255" s="2593"/>
      <c r="AD255" s="2593"/>
      <c r="AE255" s="2593"/>
      <c r="AF255" s="2593"/>
      <c r="AG255" s="2593"/>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1">
        <v>0.04</v>
      </c>
      <c r="AC256" s="2561"/>
      <c r="AD256" s="2561"/>
      <c r="AE256" s="2561"/>
      <c r="AF256" s="2561"/>
      <c r="AG256" s="2561"/>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0">
        <v>1.1499999999999999</v>
      </c>
      <c r="AC257" s="2570"/>
      <c r="AD257" s="2570"/>
      <c r="AE257" s="2570"/>
      <c r="AF257" s="2570"/>
      <c r="AG257" s="257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7">
        <f>PV(AB256/12,AB255*12,-AB253/12, ,0)</f>
        <v>0</v>
      </c>
      <c r="AC259" s="2578"/>
      <c r="AD259" s="2578"/>
      <c r="AE259" s="2578"/>
      <c r="AF259" s="2578"/>
      <c r="AG259" s="2579"/>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1">
        <f>IFERROR(('Sources and Uses Budget'!D105/'Sources and Uses Budget'!B105),0)</f>
        <v>0</v>
      </c>
      <c r="AC265" s="2582"/>
      <c r="AD265" s="2582"/>
      <c r="AE265" s="2582"/>
      <c r="AF265" s="2582"/>
      <c r="AG265" s="2583"/>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8">
        <f>AD210*(1-AB265)</f>
        <v>0</v>
      </c>
      <c r="AH267" s="2438"/>
      <c r="AI267" s="2438"/>
      <c r="AJ267" s="2438"/>
      <c r="AK267" s="2438"/>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8">
        <f>'Sources and Uses Budget'!C105</f>
        <v>26143091</v>
      </c>
      <c r="AH268" s="2438"/>
      <c r="AI268" s="2438"/>
      <c r="AJ268" s="2438"/>
      <c r="AK268" s="243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3">
        <f>ROUNDDOWN(IF(AND(C305="Yes",AK83=10),((AG267*2)/AG268),AG267/AG268),2)</f>
        <v>0</v>
      </c>
      <c r="AH269" s="2573"/>
      <c r="AI269" s="2573"/>
      <c r="AJ269" s="2573"/>
      <c r="AK269" s="2573"/>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3">
        <f>IFERROR(IF(AG269=0,0,IF((AG269*100)&gt;8,8,(AG269*100))),0)</f>
        <v>0</v>
      </c>
      <c r="AL272" s="2563"/>
      <c r="AM272" s="2564"/>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4" t="s">
        <v>544</v>
      </c>
      <c r="D279" s="2414"/>
      <c r="E279" s="546"/>
      <c r="F279" s="2401" t="s">
        <v>2569</v>
      </c>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49"/>
      <c r="AF279" s="633"/>
      <c r="AG279" s="2571" t="s">
        <v>1356</v>
      </c>
      <c r="AH279" s="2571"/>
      <c r="AI279" s="2571"/>
      <c r="AJ279" s="2571"/>
      <c r="AK279" s="549"/>
      <c r="AL279" s="549"/>
      <c r="AM279" s="549"/>
      <c r="AO279" s="549"/>
    </row>
    <row r="280" spans="1:52" ht="13.7" customHeight="1">
      <c r="A280" s="549"/>
      <c r="B280" s="594"/>
      <c r="C280" s="634"/>
      <c r="D280" s="549"/>
      <c r="E280" s="546"/>
      <c r="F280" s="2404"/>
      <c r="G280" s="2405"/>
      <c r="H280" s="2405"/>
      <c r="I280" s="2405"/>
      <c r="J280" s="2405"/>
      <c r="K280" s="2405"/>
      <c r="L280" s="2405"/>
      <c r="M280" s="2405"/>
      <c r="N280" s="2405"/>
      <c r="O280" s="2405"/>
      <c r="P280" s="2405"/>
      <c r="Q280" s="2405"/>
      <c r="R280" s="2405"/>
      <c r="S280" s="2405"/>
      <c r="T280" s="2405"/>
      <c r="U280" s="2405"/>
      <c r="V280" s="2405"/>
      <c r="W280" s="2405"/>
      <c r="X280" s="2405"/>
      <c r="Y280" s="2405"/>
      <c r="Z280" s="2405"/>
      <c r="AA280" s="2405"/>
      <c r="AB280" s="2405"/>
      <c r="AC280" s="2405"/>
      <c r="AD280" s="2406"/>
      <c r="AE280" s="549"/>
      <c r="AF280" s="633"/>
      <c r="AG280" s="633"/>
      <c r="AH280" s="633"/>
      <c r="AI280" s="633"/>
      <c r="AJ280" s="549"/>
      <c r="AK280" s="549"/>
      <c r="AL280" s="549"/>
      <c r="AM280" s="549"/>
      <c r="AO280" s="549"/>
    </row>
    <row r="281" spans="1:52" ht="13.7" customHeight="1">
      <c r="A281" s="549"/>
      <c r="B281" s="594"/>
      <c r="C281" s="634"/>
      <c r="D281" s="549"/>
      <c r="E281" s="546"/>
      <c r="F281" s="2404"/>
      <c r="G281" s="2405"/>
      <c r="H281" s="2405"/>
      <c r="I281" s="2405"/>
      <c r="J281" s="2405"/>
      <c r="K281" s="2405"/>
      <c r="L281" s="2405"/>
      <c r="M281" s="2405"/>
      <c r="N281" s="2405"/>
      <c r="O281" s="2405"/>
      <c r="P281" s="2405"/>
      <c r="Q281" s="2405"/>
      <c r="R281" s="2405"/>
      <c r="S281" s="2405"/>
      <c r="T281" s="2405"/>
      <c r="U281" s="2405"/>
      <c r="V281" s="2405"/>
      <c r="W281" s="2405"/>
      <c r="X281" s="2405"/>
      <c r="Y281" s="2405"/>
      <c r="Z281" s="2405"/>
      <c r="AA281" s="2405"/>
      <c r="AB281" s="2405"/>
      <c r="AC281" s="2405"/>
      <c r="AD281" s="2406"/>
      <c r="AE281" s="549"/>
      <c r="AF281" s="633"/>
      <c r="AG281" s="633"/>
      <c r="AH281" s="633"/>
      <c r="AI281" s="633"/>
      <c r="AJ281" s="549"/>
      <c r="AK281" s="549"/>
      <c r="AL281" s="549"/>
      <c r="AM281" s="549"/>
      <c r="AO281" s="549"/>
    </row>
    <row r="282" spans="1:52" ht="13.7" customHeight="1">
      <c r="A282" s="549"/>
      <c r="B282" s="594"/>
      <c r="C282" s="634"/>
      <c r="D282" s="549"/>
      <c r="E282" s="546"/>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49"/>
      <c r="AF282" s="633"/>
      <c r="AG282" s="633"/>
      <c r="AH282" s="633"/>
      <c r="AI282" s="633"/>
      <c r="AJ282" s="549"/>
      <c r="AK282" s="549"/>
      <c r="AL282" s="549"/>
      <c r="AM282" s="549"/>
      <c r="AO282" s="549"/>
    </row>
    <row r="283" spans="1:52" ht="13.7" customHeight="1">
      <c r="A283" s="549"/>
      <c r="B283" s="594"/>
      <c r="C283" s="634"/>
      <c r="D283" s="549"/>
      <c r="E283" s="546"/>
      <c r="F283" s="2404"/>
      <c r="G283" s="2405"/>
      <c r="H283" s="2405"/>
      <c r="I283" s="2405"/>
      <c r="J283" s="2405"/>
      <c r="K283" s="2405"/>
      <c r="L283" s="2405"/>
      <c r="M283" s="2405"/>
      <c r="N283" s="2405"/>
      <c r="O283" s="2405"/>
      <c r="P283" s="2405"/>
      <c r="Q283" s="2405"/>
      <c r="R283" s="2405"/>
      <c r="S283" s="2405"/>
      <c r="T283" s="2405"/>
      <c r="U283" s="2405"/>
      <c r="V283" s="2405"/>
      <c r="W283" s="2405"/>
      <c r="X283" s="2405"/>
      <c r="Y283" s="2405"/>
      <c r="Z283" s="2405"/>
      <c r="AA283" s="2405"/>
      <c r="AB283" s="2405"/>
      <c r="AC283" s="2405"/>
      <c r="AD283" s="2406"/>
      <c r="AE283" s="549"/>
      <c r="AF283" s="633"/>
      <c r="AG283" s="633"/>
      <c r="AH283" s="633"/>
      <c r="AI283" s="633"/>
      <c r="AJ283" s="549"/>
      <c r="AK283" s="549"/>
      <c r="AL283" s="549"/>
      <c r="AM283" s="549"/>
      <c r="AO283" s="549"/>
    </row>
    <row r="284" spans="1:52">
      <c r="A284" s="549"/>
      <c r="B284" s="594"/>
      <c r="C284" s="634"/>
      <c r="D284" s="549"/>
      <c r="E284" s="546"/>
      <c r="F284" s="2404"/>
      <c r="G284" s="2405"/>
      <c r="H284" s="2405"/>
      <c r="I284" s="2405"/>
      <c r="J284" s="2405"/>
      <c r="K284" s="2405"/>
      <c r="L284" s="2405"/>
      <c r="M284" s="2405"/>
      <c r="N284" s="2405"/>
      <c r="O284" s="2405"/>
      <c r="P284" s="2405"/>
      <c r="Q284" s="2405"/>
      <c r="R284" s="2405"/>
      <c r="S284" s="2405"/>
      <c r="T284" s="2405"/>
      <c r="U284" s="2405"/>
      <c r="V284" s="2405"/>
      <c r="W284" s="2405"/>
      <c r="X284" s="2405"/>
      <c r="Y284" s="2405"/>
      <c r="Z284" s="2405"/>
      <c r="AA284" s="2405"/>
      <c r="AB284" s="2405"/>
      <c r="AC284" s="2405"/>
      <c r="AD284" s="2406"/>
      <c r="AE284" s="549"/>
      <c r="AF284" s="633"/>
      <c r="AG284" s="633"/>
      <c r="AH284" s="633"/>
      <c r="AI284" s="633"/>
      <c r="AJ284" s="549"/>
      <c r="AK284" s="549"/>
      <c r="AL284" s="549"/>
      <c r="AM284" s="549"/>
      <c r="AO284" s="549"/>
      <c r="AP284" s="635"/>
    </row>
    <row r="285" spans="1:52">
      <c r="A285" s="549"/>
      <c r="B285" s="594"/>
      <c r="C285" s="634"/>
      <c r="D285" s="549"/>
      <c r="E285" s="546"/>
      <c r="F285" s="2404"/>
      <c r="G285" s="2405"/>
      <c r="H285" s="2405"/>
      <c r="I285" s="2405"/>
      <c r="J285" s="2405"/>
      <c r="K285" s="2405"/>
      <c r="L285" s="2405"/>
      <c r="M285" s="2405"/>
      <c r="N285" s="2405"/>
      <c r="O285" s="2405"/>
      <c r="P285" s="2405"/>
      <c r="Q285" s="2405"/>
      <c r="R285" s="2405"/>
      <c r="S285" s="2405"/>
      <c r="T285" s="2405"/>
      <c r="U285" s="2405"/>
      <c r="V285" s="2405"/>
      <c r="W285" s="2405"/>
      <c r="X285" s="2405"/>
      <c r="Y285" s="2405"/>
      <c r="Z285" s="2405"/>
      <c r="AA285" s="2405"/>
      <c r="AB285" s="2405"/>
      <c r="AC285" s="2405"/>
      <c r="AD285" s="2406"/>
      <c r="AE285" s="549"/>
      <c r="AF285" s="633"/>
      <c r="AG285" s="633"/>
      <c r="AH285" s="633"/>
      <c r="AI285" s="633"/>
      <c r="AJ285" s="549"/>
      <c r="AK285" s="549"/>
      <c r="AL285" s="549"/>
      <c r="AM285" s="549"/>
      <c r="AO285" s="549"/>
      <c r="AP285" s="635"/>
    </row>
    <row r="286" spans="1:52" ht="13.7" customHeight="1">
      <c r="A286" s="549"/>
      <c r="B286" s="594"/>
      <c r="C286" s="2572"/>
      <c r="D286" s="2572"/>
      <c r="E286" s="546"/>
      <c r="F286" s="2407"/>
      <c r="G286" s="2408"/>
      <c r="H286" s="2408"/>
      <c r="I286" s="2408"/>
      <c r="J286" s="2408"/>
      <c r="K286" s="2408"/>
      <c r="L286" s="2408"/>
      <c r="M286" s="2408"/>
      <c r="N286" s="2408"/>
      <c r="O286" s="2408"/>
      <c r="P286" s="2408"/>
      <c r="Q286" s="2408"/>
      <c r="R286" s="2408"/>
      <c r="S286" s="2408"/>
      <c r="T286" s="2408"/>
      <c r="U286" s="2408"/>
      <c r="V286" s="2408"/>
      <c r="W286" s="2408"/>
      <c r="X286" s="2408"/>
      <c r="Y286" s="2408"/>
      <c r="Z286" s="2408"/>
      <c r="AA286" s="2408"/>
      <c r="AB286" s="2408"/>
      <c r="AC286" s="2408"/>
      <c r="AD286" s="2409"/>
      <c r="AE286" s="549"/>
      <c r="AF286" s="633"/>
      <c r="AG286" s="2571"/>
      <c r="AH286" s="2571"/>
      <c r="AI286" s="2571"/>
      <c r="AJ286" s="2571"/>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3" t="s">
        <v>2576</v>
      </c>
      <c r="C289" s="2443"/>
      <c r="D289" s="2443"/>
      <c r="E289" s="2443"/>
      <c r="F289" s="2443"/>
      <c r="G289" s="2443"/>
      <c r="H289" s="2443"/>
      <c r="I289" s="2443"/>
      <c r="J289" s="2443"/>
      <c r="K289" s="2443"/>
      <c r="L289" s="2443"/>
      <c r="M289" s="2443"/>
      <c r="N289" s="2443"/>
      <c r="O289" s="2443"/>
      <c r="P289" s="2443"/>
      <c r="Q289" s="2443"/>
      <c r="R289" s="2443"/>
      <c r="S289" s="2443"/>
      <c r="T289" s="2443"/>
      <c r="U289" s="2443"/>
      <c r="V289" s="2443"/>
      <c r="W289" s="2443"/>
      <c r="X289" s="2443"/>
      <c r="Y289" s="2443"/>
      <c r="Z289" s="2443"/>
      <c r="AA289" s="2443"/>
      <c r="AB289" s="2443"/>
      <c r="AC289" s="2443"/>
      <c r="AD289" s="2443"/>
      <c r="AE289" s="2443"/>
      <c r="AF289" s="2443"/>
      <c r="AG289" s="2443"/>
      <c r="AH289" s="2443"/>
      <c r="AI289" s="2443"/>
      <c r="AJ289" s="2443"/>
      <c r="AK289" s="2443"/>
      <c r="AL289" s="2443"/>
      <c r="AM289" s="549"/>
      <c r="AN289" s="73"/>
    </row>
    <row r="290" spans="1:49">
      <c r="A290" s="549"/>
      <c r="B290" s="2443"/>
      <c r="C290" s="2443"/>
      <c r="D290" s="2443"/>
      <c r="E290" s="2443"/>
      <c r="F290" s="2443"/>
      <c r="G290" s="2443"/>
      <c r="H290" s="2443"/>
      <c r="I290" s="2443"/>
      <c r="J290" s="2443"/>
      <c r="K290" s="2443"/>
      <c r="L290" s="2443"/>
      <c r="M290" s="2443"/>
      <c r="N290" s="2443"/>
      <c r="O290" s="2443"/>
      <c r="P290" s="2443"/>
      <c r="Q290" s="2443"/>
      <c r="R290" s="2443"/>
      <c r="S290" s="2443"/>
      <c r="T290" s="2443"/>
      <c r="U290" s="2443"/>
      <c r="V290" s="2443"/>
      <c r="W290" s="2443"/>
      <c r="X290" s="2443"/>
      <c r="Y290" s="2443"/>
      <c r="Z290" s="2443"/>
      <c r="AA290" s="2443"/>
      <c r="AB290" s="2443"/>
      <c r="AC290" s="2443"/>
      <c r="AD290" s="2443"/>
      <c r="AE290" s="2443"/>
      <c r="AF290" s="2443"/>
      <c r="AG290" s="2443"/>
      <c r="AH290" s="2443"/>
      <c r="AI290" s="2443"/>
      <c r="AJ290" s="2443"/>
      <c r="AK290" s="2443"/>
      <c r="AL290" s="2443"/>
      <c r="AM290" s="549"/>
      <c r="AN290" s="73"/>
    </row>
    <row r="291" spans="1:49">
      <c r="A291" s="549"/>
      <c r="B291" s="2443"/>
      <c r="C291" s="2443"/>
      <c r="D291" s="2443"/>
      <c r="E291" s="2443"/>
      <c r="F291" s="2443"/>
      <c r="G291" s="2443"/>
      <c r="H291" s="2443"/>
      <c r="I291" s="2443"/>
      <c r="J291" s="2443"/>
      <c r="K291" s="2443"/>
      <c r="L291" s="2443"/>
      <c r="M291" s="2443"/>
      <c r="N291" s="2443"/>
      <c r="O291" s="2443"/>
      <c r="P291" s="2443"/>
      <c r="Q291" s="2443"/>
      <c r="R291" s="2443"/>
      <c r="S291" s="2443"/>
      <c r="T291" s="2443"/>
      <c r="U291" s="2443"/>
      <c r="V291" s="2443"/>
      <c r="W291" s="2443"/>
      <c r="X291" s="2443"/>
      <c r="Y291" s="2443"/>
      <c r="Z291" s="2443"/>
      <c r="AA291" s="2443"/>
      <c r="AB291" s="2443"/>
      <c r="AC291" s="2443"/>
      <c r="AD291" s="2443"/>
      <c r="AE291" s="2443"/>
      <c r="AF291" s="2443"/>
      <c r="AG291" s="2443"/>
      <c r="AH291" s="2443"/>
      <c r="AI291" s="2443"/>
      <c r="AJ291" s="2443"/>
      <c r="AK291" s="2443"/>
      <c r="AL291" s="2443"/>
      <c r="AM291" s="549"/>
      <c r="AN291" s="73"/>
    </row>
    <row r="292" spans="1:49">
      <c r="A292" s="549"/>
      <c r="B292" s="2443"/>
      <c r="C292" s="2443"/>
      <c r="D292" s="2443"/>
      <c r="E292" s="2443"/>
      <c r="F292" s="2443"/>
      <c r="G292" s="2443"/>
      <c r="H292" s="2443"/>
      <c r="I292" s="2443"/>
      <c r="J292" s="2443"/>
      <c r="K292" s="2443"/>
      <c r="L292" s="2443"/>
      <c r="M292" s="2443"/>
      <c r="N292" s="2443"/>
      <c r="O292" s="2443"/>
      <c r="P292" s="2443"/>
      <c r="Q292" s="2443"/>
      <c r="R292" s="2443"/>
      <c r="S292" s="2443"/>
      <c r="T292" s="2443"/>
      <c r="U292" s="2443"/>
      <c r="V292" s="2443"/>
      <c r="W292" s="2443"/>
      <c r="X292" s="2443"/>
      <c r="Y292" s="2443"/>
      <c r="Z292" s="2443"/>
      <c r="AA292" s="2443"/>
      <c r="AB292" s="2443"/>
      <c r="AC292" s="2443"/>
      <c r="AD292" s="2443"/>
      <c r="AE292" s="2443"/>
      <c r="AF292" s="2443"/>
      <c r="AG292" s="2443"/>
      <c r="AH292" s="2443"/>
      <c r="AI292" s="2443"/>
      <c r="AJ292" s="2443"/>
      <c r="AK292" s="2443"/>
      <c r="AL292" s="2443"/>
      <c r="AM292" s="549"/>
      <c r="AN292" s="73"/>
    </row>
    <row r="293" spans="1:49">
      <c r="A293" s="549"/>
      <c r="B293" s="2443"/>
      <c r="C293" s="2443"/>
      <c r="D293" s="2443"/>
      <c r="E293" s="2443"/>
      <c r="F293" s="2443"/>
      <c r="G293" s="2443"/>
      <c r="H293" s="2443"/>
      <c r="I293" s="2443"/>
      <c r="J293" s="2443"/>
      <c r="K293" s="2443"/>
      <c r="L293" s="2443"/>
      <c r="M293" s="2443"/>
      <c r="N293" s="2443"/>
      <c r="O293" s="2443"/>
      <c r="P293" s="2443"/>
      <c r="Q293" s="2443"/>
      <c r="R293" s="2443"/>
      <c r="S293" s="2443"/>
      <c r="T293" s="2443"/>
      <c r="U293" s="2443"/>
      <c r="V293" s="2443"/>
      <c r="W293" s="2443"/>
      <c r="X293" s="2443"/>
      <c r="Y293" s="2443"/>
      <c r="Z293" s="2443"/>
      <c r="AA293" s="2443"/>
      <c r="AB293" s="2443"/>
      <c r="AC293" s="2443"/>
      <c r="AD293" s="2443"/>
      <c r="AE293" s="2443"/>
      <c r="AF293" s="2443"/>
      <c r="AG293" s="2443"/>
      <c r="AH293" s="2443"/>
      <c r="AI293" s="2443"/>
      <c r="AJ293" s="2443"/>
      <c r="AK293" s="2443"/>
      <c r="AL293" s="2443"/>
      <c r="AM293" s="549"/>
      <c r="AN293" s="73"/>
    </row>
    <row r="294" spans="1:49">
      <c r="A294" s="549"/>
      <c r="B294" s="2443"/>
      <c r="C294" s="2443"/>
      <c r="D294" s="2443"/>
      <c r="E294" s="2443"/>
      <c r="F294" s="2443"/>
      <c r="G294" s="2443"/>
      <c r="H294" s="2443"/>
      <c r="I294" s="2443"/>
      <c r="J294" s="2443"/>
      <c r="K294" s="2443"/>
      <c r="L294" s="2443"/>
      <c r="M294" s="2443"/>
      <c r="N294" s="2443"/>
      <c r="O294" s="2443"/>
      <c r="P294" s="2443"/>
      <c r="Q294" s="2443"/>
      <c r="R294" s="2443"/>
      <c r="S294" s="2443"/>
      <c r="T294" s="2443"/>
      <c r="U294" s="2443"/>
      <c r="V294" s="2443"/>
      <c r="W294" s="2443"/>
      <c r="X294" s="2443"/>
      <c r="Y294" s="2443"/>
      <c r="Z294" s="2443"/>
      <c r="AA294" s="2443"/>
      <c r="AB294" s="2443"/>
      <c r="AC294" s="2443"/>
      <c r="AD294" s="2443"/>
      <c r="AE294" s="2443"/>
      <c r="AF294" s="2443"/>
      <c r="AG294" s="2443"/>
      <c r="AH294" s="2443"/>
      <c r="AI294" s="2443"/>
      <c r="AJ294" s="2443"/>
      <c r="AK294" s="2443"/>
      <c r="AL294" s="2443"/>
      <c r="AM294" s="549"/>
      <c r="AN294" s="73"/>
    </row>
    <row r="295" spans="1:49">
      <c r="A295" s="549"/>
      <c r="B295" s="2443"/>
      <c r="C295" s="2443"/>
      <c r="D295" s="2443"/>
      <c r="E295" s="2443"/>
      <c r="F295" s="2443"/>
      <c r="G295" s="2443"/>
      <c r="H295" s="2443"/>
      <c r="I295" s="2443"/>
      <c r="J295" s="2443"/>
      <c r="K295" s="2443"/>
      <c r="L295" s="2443"/>
      <c r="M295" s="2443"/>
      <c r="N295" s="2443"/>
      <c r="O295" s="2443"/>
      <c r="P295" s="2443"/>
      <c r="Q295" s="2443"/>
      <c r="R295" s="2443"/>
      <c r="S295" s="2443"/>
      <c r="T295" s="2443"/>
      <c r="U295" s="2443"/>
      <c r="V295" s="2443"/>
      <c r="W295" s="2443"/>
      <c r="X295" s="2443"/>
      <c r="Y295" s="2443"/>
      <c r="Z295" s="2443"/>
      <c r="AA295" s="2443"/>
      <c r="AB295" s="2443"/>
      <c r="AC295" s="2443"/>
      <c r="AD295" s="2443"/>
      <c r="AE295" s="2443"/>
      <c r="AF295" s="2443"/>
      <c r="AG295" s="2443"/>
      <c r="AH295" s="2443"/>
      <c r="AI295" s="2443"/>
      <c r="AJ295" s="2443"/>
      <c r="AK295" s="2443"/>
      <c r="AL295" s="2443"/>
      <c r="AM295" s="549"/>
      <c r="AN295" s="73"/>
    </row>
    <row r="296" spans="1:49">
      <c r="A296" s="549"/>
      <c r="B296" s="2443"/>
      <c r="C296" s="2443"/>
      <c r="D296" s="2443"/>
      <c r="E296" s="2443"/>
      <c r="F296" s="2443"/>
      <c r="G296" s="2443"/>
      <c r="H296" s="2443"/>
      <c r="I296" s="2443"/>
      <c r="J296" s="2443"/>
      <c r="K296" s="2443"/>
      <c r="L296" s="2443"/>
      <c r="M296" s="2443"/>
      <c r="N296" s="2443"/>
      <c r="O296" s="2443"/>
      <c r="P296" s="2443"/>
      <c r="Q296" s="2443"/>
      <c r="R296" s="2443"/>
      <c r="S296" s="2443"/>
      <c r="T296" s="2443"/>
      <c r="U296" s="2443"/>
      <c r="V296" s="2443"/>
      <c r="W296" s="2443"/>
      <c r="X296" s="2443"/>
      <c r="Y296" s="2443"/>
      <c r="Z296" s="2443"/>
      <c r="AA296" s="2443"/>
      <c r="AB296" s="2443"/>
      <c r="AC296" s="2443"/>
      <c r="AD296" s="2443"/>
      <c r="AE296" s="2443"/>
      <c r="AF296" s="2443"/>
      <c r="AG296" s="2443"/>
      <c r="AH296" s="2443"/>
      <c r="AI296" s="2443"/>
      <c r="AJ296" s="2443"/>
      <c r="AK296" s="2443"/>
      <c r="AL296" s="244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3">
        <f>IF($C$279="yes",10,0)</f>
        <v>10</v>
      </c>
      <c r="AL298" s="2563"/>
      <c r="AM298" s="2564"/>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2" t="s">
        <v>1373</v>
      </c>
      <c r="B305" s="1642"/>
      <c r="C305" s="2400" t="s">
        <v>544</v>
      </c>
      <c r="D305" s="2414"/>
      <c r="E305" s="546"/>
      <c r="F305" s="2565" t="s">
        <v>1374</v>
      </c>
      <c r="G305" s="2566"/>
      <c r="H305" s="2566"/>
      <c r="I305" s="2566"/>
      <c r="J305" s="2566"/>
      <c r="K305" s="2566"/>
      <c r="L305" s="2566"/>
      <c r="M305" s="2566"/>
      <c r="N305" s="2566"/>
      <c r="O305" s="2566"/>
      <c r="P305" s="2566"/>
      <c r="Q305" s="2566"/>
      <c r="R305" s="2566"/>
      <c r="S305" s="2566"/>
      <c r="T305" s="2566"/>
      <c r="U305" s="2566"/>
      <c r="V305" s="2566"/>
      <c r="W305" s="2566"/>
      <c r="X305" s="2566"/>
      <c r="Y305" s="2566"/>
      <c r="Z305" s="2566"/>
      <c r="AA305" s="2566"/>
      <c r="AB305" s="2566"/>
      <c r="AC305" s="2566"/>
      <c r="AD305" s="2567"/>
      <c r="AE305" s="640"/>
      <c r="AF305" s="549"/>
      <c r="AG305" s="2568" t="s">
        <v>1981</v>
      </c>
      <c r="AH305" s="2568"/>
      <c r="AI305" s="2568"/>
      <c r="AJ305" s="2568"/>
      <c r="AK305" s="2568"/>
      <c r="AL305" s="549"/>
      <c r="AM305" s="549"/>
      <c r="AN305" s="73"/>
      <c r="AO305" s="14"/>
      <c r="AP305" s="30"/>
      <c r="AS305" s="568"/>
      <c r="AT305" s="568"/>
      <c r="AU305" s="568"/>
      <c r="AV305" s="32"/>
      <c r="AW305" s="32"/>
    </row>
    <row r="306" spans="1:49">
      <c r="A306" s="638"/>
      <c r="B306" s="594"/>
      <c r="F306" s="2434"/>
      <c r="G306" s="2392"/>
      <c r="H306" s="2392"/>
      <c r="I306" s="2392"/>
      <c r="J306" s="2392"/>
      <c r="K306" s="2392"/>
      <c r="L306" s="2392"/>
      <c r="M306" s="2392"/>
      <c r="N306" s="2392"/>
      <c r="O306" s="2392"/>
      <c r="P306" s="2392"/>
      <c r="Q306" s="2392"/>
      <c r="R306" s="2392"/>
      <c r="S306" s="2392"/>
      <c r="T306" s="2392"/>
      <c r="U306" s="2392"/>
      <c r="V306" s="2392"/>
      <c r="W306" s="2392"/>
      <c r="X306" s="2392"/>
      <c r="Y306" s="2392"/>
      <c r="Z306" s="2392"/>
      <c r="AA306" s="2392"/>
      <c r="AB306" s="2392"/>
      <c r="AC306" s="2392"/>
      <c r="AD306" s="2435"/>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4"/>
      <c r="G307" s="2392"/>
      <c r="H307" s="2392"/>
      <c r="I307" s="2392"/>
      <c r="J307" s="2392"/>
      <c r="K307" s="2392"/>
      <c r="L307" s="2392"/>
      <c r="M307" s="2392"/>
      <c r="N307" s="2392"/>
      <c r="O307" s="2392"/>
      <c r="P307" s="2392"/>
      <c r="Q307" s="2392"/>
      <c r="R307" s="2392"/>
      <c r="S307" s="2392"/>
      <c r="T307" s="2392"/>
      <c r="U307" s="2392"/>
      <c r="V307" s="2392"/>
      <c r="W307" s="2392"/>
      <c r="X307" s="2392"/>
      <c r="Y307" s="2392"/>
      <c r="Z307" s="2392"/>
      <c r="AA307" s="2392"/>
      <c r="AB307" s="2392"/>
      <c r="AC307" s="2392"/>
      <c r="AD307" s="2435"/>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4" t="s">
        <v>1986</v>
      </c>
      <c r="G308" s="2392"/>
      <c r="H308" s="2392"/>
      <c r="I308" s="2392"/>
      <c r="J308" s="2392"/>
      <c r="K308" s="2392"/>
      <c r="L308" s="2392"/>
      <c r="M308" s="2392"/>
      <c r="N308" s="2392"/>
      <c r="O308" s="2392"/>
      <c r="P308" s="2392"/>
      <c r="Q308" s="2392"/>
      <c r="R308" s="2392"/>
      <c r="S308" s="2392"/>
      <c r="T308" s="2392"/>
      <c r="U308" s="2392"/>
      <c r="V308" s="2392"/>
      <c r="W308" s="2392"/>
      <c r="X308" s="2392"/>
      <c r="Y308" s="2392"/>
      <c r="Z308" s="2392"/>
      <c r="AA308" s="2392"/>
      <c r="AB308" s="2392"/>
      <c r="AC308" s="2392"/>
      <c r="AD308" s="2435"/>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34"/>
      <c r="G309" s="2392"/>
      <c r="H309" s="2392"/>
      <c r="I309" s="2392"/>
      <c r="J309" s="2392"/>
      <c r="K309" s="2392"/>
      <c r="L309" s="2392"/>
      <c r="M309" s="2392"/>
      <c r="N309" s="2392"/>
      <c r="O309" s="2392"/>
      <c r="P309" s="2392"/>
      <c r="Q309" s="2392"/>
      <c r="R309" s="2392"/>
      <c r="S309" s="2392"/>
      <c r="T309" s="2392"/>
      <c r="U309" s="2392"/>
      <c r="V309" s="2392"/>
      <c r="W309" s="2392"/>
      <c r="X309" s="2392"/>
      <c r="Y309" s="2392"/>
      <c r="Z309" s="2392"/>
      <c r="AA309" s="2392"/>
      <c r="AB309" s="2392"/>
      <c r="AC309" s="2392"/>
      <c r="AD309" s="243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4" t="s">
        <v>1375</v>
      </c>
      <c r="G310" s="2392"/>
      <c r="H310" s="2392"/>
      <c r="I310" s="2392"/>
      <c r="J310" s="2392"/>
      <c r="K310" s="2392"/>
      <c r="L310" s="2392"/>
      <c r="M310" s="2392"/>
      <c r="N310" s="2392"/>
      <c r="O310" s="2392"/>
      <c r="P310" s="2392"/>
      <c r="Q310" s="2392"/>
      <c r="R310" s="2392"/>
      <c r="S310" s="2392"/>
      <c r="T310" s="2392"/>
      <c r="U310" s="2392"/>
      <c r="V310" s="2392"/>
      <c r="W310" s="2392"/>
      <c r="X310" s="2392"/>
      <c r="Y310" s="2392"/>
      <c r="Z310" s="2392"/>
      <c r="AA310" s="2392"/>
      <c r="AB310" s="2392"/>
      <c r="AC310" s="2392"/>
      <c r="AD310" s="243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4"/>
      <c r="G311" s="2392"/>
      <c r="H311" s="2392"/>
      <c r="I311" s="2392"/>
      <c r="J311" s="2392"/>
      <c r="K311" s="2392"/>
      <c r="L311" s="2392"/>
      <c r="M311" s="2392"/>
      <c r="N311" s="2392"/>
      <c r="O311" s="2392"/>
      <c r="P311" s="2392"/>
      <c r="Q311" s="2392"/>
      <c r="R311" s="2392"/>
      <c r="S311" s="2392"/>
      <c r="T311" s="2392"/>
      <c r="U311" s="2392"/>
      <c r="V311" s="2392"/>
      <c r="W311" s="2392"/>
      <c r="X311" s="2392"/>
      <c r="Y311" s="2392"/>
      <c r="Z311" s="2392"/>
      <c r="AA311" s="2392"/>
      <c r="AB311" s="2392"/>
      <c r="AC311" s="2392"/>
      <c r="AD311" s="243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4" t="s">
        <v>1376</v>
      </c>
      <c r="G312" s="2392"/>
      <c r="H312" s="2392"/>
      <c r="I312" s="2392"/>
      <c r="J312" s="2392"/>
      <c r="K312" s="2392"/>
      <c r="L312" s="2392"/>
      <c r="M312" s="2392"/>
      <c r="N312" s="2392"/>
      <c r="O312" s="2392"/>
      <c r="P312" s="2392"/>
      <c r="Q312" s="2392"/>
      <c r="R312" s="2392"/>
      <c r="S312" s="2392"/>
      <c r="T312" s="2392"/>
      <c r="U312" s="2392"/>
      <c r="V312" s="2392"/>
      <c r="W312" s="2392"/>
      <c r="X312" s="2392"/>
      <c r="Y312" s="2392"/>
      <c r="Z312" s="2392"/>
      <c r="AA312" s="2392"/>
      <c r="AB312" s="2392"/>
      <c r="AC312" s="2392"/>
      <c r="AD312" s="243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6"/>
      <c r="G313" s="2437"/>
      <c r="H313" s="2437"/>
      <c r="I313" s="2437"/>
      <c r="J313" s="2437"/>
      <c r="K313" s="2437"/>
      <c r="L313" s="2437"/>
      <c r="M313" s="2437"/>
      <c r="N313" s="2437"/>
      <c r="O313" s="2437"/>
      <c r="P313" s="2437"/>
      <c r="Q313" s="2437"/>
      <c r="R313" s="2437"/>
      <c r="S313" s="2437"/>
      <c r="T313" s="2437"/>
      <c r="U313" s="2437"/>
      <c r="V313" s="2437"/>
      <c r="W313" s="2437"/>
      <c r="X313" s="2437"/>
      <c r="Y313" s="2437"/>
      <c r="Z313" s="2437"/>
      <c r="AA313" s="2437"/>
      <c r="AB313" s="2437"/>
      <c r="AC313" s="2437"/>
      <c r="AD313" s="256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2" t="s">
        <v>1377</v>
      </c>
      <c r="B315" s="1642"/>
      <c r="C315" s="2414" t="s">
        <v>590</v>
      </c>
      <c r="D315" s="2414"/>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4" t="s">
        <v>1982</v>
      </c>
      <c r="G316" s="2392"/>
      <c r="H316" s="2392"/>
      <c r="I316" s="2392"/>
      <c r="J316" s="2392"/>
      <c r="K316" s="2392"/>
      <c r="L316" s="2392"/>
      <c r="M316" s="2392"/>
      <c r="N316" s="2392"/>
      <c r="O316" s="2392"/>
      <c r="P316" s="2392"/>
      <c r="Q316" s="2392"/>
      <c r="R316" s="2392"/>
      <c r="S316" s="2392"/>
      <c r="T316" s="2392"/>
      <c r="U316" s="2392"/>
      <c r="V316" s="2392"/>
      <c r="W316" s="2392"/>
      <c r="X316" s="2392"/>
      <c r="Y316" s="2392"/>
      <c r="Z316" s="2392"/>
      <c r="AA316" s="2392"/>
      <c r="AB316" s="2392"/>
      <c r="AC316" s="2392"/>
      <c r="AD316" s="2435"/>
      <c r="AE316" s="550"/>
      <c r="AF316" s="550"/>
      <c r="AG316" s="550"/>
      <c r="AH316" s="550"/>
      <c r="AI316" s="550"/>
      <c r="AJ316" s="549"/>
      <c r="AK316" s="549"/>
      <c r="AL316" s="549"/>
      <c r="AM316" s="549"/>
      <c r="AR316" s="644"/>
    </row>
    <row r="317" spans="1:49" ht="15" customHeight="1">
      <c r="A317" s="549"/>
      <c r="B317" s="550"/>
      <c r="C317" s="549"/>
      <c r="D317" s="550"/>
      <c r="E317" s="549"/>
      <c r="F317" s="2434"/>
      <c r="G317" s="2392"/>
      <c r="H317" s="2392"/>
      <c r="I317" s="2392"/>
      <c r="J317" s="2392"/>
      <c r="K317" s="2392"/>
      <c r="L317" s="2392"/>
      <c r="M317" s="2392"/>
      <c r="N317" s="2392"/>
      <c r="O317" s="2392"/>
      <c r="P317" s="2392"/>
      <c r="Q317" s="2392"/>
      <c r="R317" s="2392"/>
      <c r="S317" s="2392"/>
      <c r="T317" s="2392"/>
      <c r="U317" s="2392"/>
      <c r="V317" s="2392"/>
      <c r="W317" s="2392"/>
      <c r="X317" s="2392"/>
      <c r="Y317" s="2392"/>
      <c r="Z317" s="2392"/>
      <c r="AA317" s="2392"/>
      <c r="AB317" s="2392"/>
      <c r="AC317" s="2392"/>
      <c r="AD317" s="2435"/>
      <c r="AE317" s="550"/>
      <c r="AF317" s="550"/>
      <c r="AG317" s="550"/>
      <c r="AH317" s="550"/>
      <c r="AI317" s="550"/>
      <c r="AJ317" s="549"/>
      <c r="AK317" s="549"/>
      <c r="AL317" s="549"/>
      <c r="AM317" s="549"/>
      <c r="AR317" s="644"/>
    </row>
    <row r="318" spans="1:49">
      <c r="A318" s="549"/>
      <c r="B318" s="550"/>
      <c r="C318" s="549"/>
      <c r="D318" s="550"/>
      <c r="E318" s="549"/>
      <c r="F318" s="2434"/>
      <c r="G318" s="2392"/>
      <c r="H318" s="2392"/>
      <c r="I318" s="2392"/>
      <c r="J318" s="2392"/>
      <c r="K318" s="2392"/>
      <c r="L318" s="2392"/>
      <c r="M318" s="2392"/>
      <c r="N318" s="2392"/>
      <c r="O318" s="2392"/>
      <c r="P318" s="2392"/>
      <c r="Q318" s="2392"/>
      <c r="R318" s="2392"/>
      <c r="S318" s="2392"/>
      <c r="T318" s="2392"/>
      <c r="U318" s="2392"/>
      <c r="V318" s="2392"/>
      <c r="W318" s="2392"/>
      <c r="X318" s="2392"/>
      <c r="Y318" s="2392"/>
      <c r="Z318" s="2392"/>
      <c r="AA318" s="2392"/>
      <c r="AB318" s="2392"/>
      <c r="AC318" s="2392"/>
      <c r="AD318" s="243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6"/>
      <c r="G319" s="2437"/>
      <c r="H319" s="2437"/>
      <c r="I319" s="2437"/>
      <c r="J319" s="2437"/>
      <c r="K319" s="2437"/>
      <c r="L319" s="2437"/>
      <c r="M319" s="2437"/>
      <c r="N319" s="2437"/>
      <c r="O319" s="2437"/>
      <c r="P319" s="2437"/>
      <c r="Q319" s="2437"/>
      <c r="R319" s="2437"/>
      <c r="S319" s="2437"/>
      <c r="T319" s="2437"/>
      <c r="U319" s="2437"/>
      <c r="V319" s="2437"/>
      <c r="W319" s="2437"/>
      <c r="X319" s="2437"/>
      <c r="Y319" s="2437"/>
      <c r="Z319" s="2437"/>
      <c r="AA319" s="2437"/>
      <c r="AB319" s="2437"/>
      <c r="AC319" s="2437"/>
      <c r="AD319" s="256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2" t="s">
        <v>1380</v>
      </c>
      <c r="B323" s="1642"/>
      <c r="C323" s="2414" t="s">
        <v>590</v>
      </c>
      <c r="D323" s="2414"/>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4" t="s">
        <v>1987</v>
      </c>
      <c r="G324" s="2392"/>
      <c r="H324" s="2392"/>
      <c r="I324" s="2392"/>
      <c r="J324" s="2392"/>
      <c r="K324" s="2392"/>
      <c r="L324" s="2392"/>
      <c r="M324" s="2392"/>
      <c r="N324" s="2392"/>
      <c r="O324" s="2392"/>
      <c r="P324" s="2392"/>
      <c r="Q324" s="2392"/>
      <c r="R324" s="2392"/>
      <c r="S324" s="2392"/>
      <c r="T324" s="2392"/>
      <c r="U324" s="2392"/>
      <c r="V324" s="2392"/>
      <c r="W324" s="2392"/>
      <c r="X324" s="2392"/>
      <c r="Y324" s="2392"/>
      <c r="Z324" s="2392"/>
      <c r="AA324" s="2392"/>
      <c r="AB324" s="2392"/>
      <c r="AC324" s="2392"/>
      <c r="AD324" s="2435"/>
      <c r="AE324" s="550"/>
      <c r="AF324" s="550"/>
      <c r="AG324" s="539"/>
      <c r="AH324" s="550"/>
      <c r="AI324" s="550"/>
      <c r="AJ324" s="549"/>
      <c r="AK324" s="549"/>
      <c r="AL324" s="549"/>
      <c r="AM324" s="549"/>
      <c r="AN324" s="73"/>
      <c r="AO324" s="14"/>
      <c r="AP324" s="555" t="s">
        <v>1183</v>
      </c>
    </row>
    <row r="325" spans="1:44" hidden="1">
      <c r="F325" s="2434"/>
      <c r="G325" s="2392"/>
      <c r="H325" s="2392"/>
      <c r="I325" s="2392"/>
      <c r="J325" s="2392"/>
      <c r="K325" s="2392"/>
      <c r="L325" s="2392"/>
      <c r="M325" s="2392"/>
      <c r="N325" s="2392"/>
      <c r="O325" s="2392"/>
      <c r="P325" s="2392"/>
      <c r="Q325" s="2392"/>
      <c r="R325" s="2392"/>
      <c r="S325" s="2392"/>
      <c r="T325" s="2392"/>
      <c r="U325" s="2392"/>
      <c r="V325" s="2392"/>
      <c r="W325" s="2392"/>
      <c r="X325" s="2392"/>
      <c r="Y325" s="2392"/>
      <c r="Z325" s="2392"/>
      <c r="AA325" s="2392"/>
      <c r="AB325" s="2392"/>
      <c r="AC325" s="2392"/>
      <c r="AD325" s="2435"/>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2" t="s">
        <v>1183</v>
      </c>
      <c r="G329" s="2543"/>
      <c r="H329" s="2543"/>
      <c r="I329" s="2543"/>
      <c r="J329" s="2543"/>
      <c r="K329" s="2543"/>
      <c r="L329" s="2543"/>
      <c r="M329" s="2543"/>
      <c r="N329" s="2543"/>
      <c r="O329" s="2543"/>
      <c r="P329" s="2543"/>
      <c r="Q329" s="2543"/>
      <c r="R329" s="2543"/>
      <c r="S329" s="2543"/>
      <c r="T329" s="2543"/>
      <c r="U329" s="2543"/>
      <c r="V329" s="2543"/>
      <c r="W329" s="2543"/>
      <c r="X329" s="2543"/>
      <c r="Y329" s="2543"/>
      <c r="Z329" s="2543"/>
      <c r="AA329" s="2543"/>
      <c r="AB329" s="2543"/>
      <c r="AC329" s="2543"/>
      <c r="AD329" s="2544"/>
      <c r="AE329" s="640"/>
      <c r="AF329" s="640"/>
      <c r="AG329" s="640"/>
      <c r="AH329" s="640"/>
      <c r="AI329" s="640"/>
      <c r="AJ329" s="640"/>
      <c r="AK329" s="640"/>
      <c r="AL329" s="549"/>
      <c r="AM329" s="549"/>
      <c r="AN329" s="73"/>
      <c r="AO329" s="14"/>
      <c r="AP329" s="30"/>
    </row>
    <row r="330" spans="1:44" hidden="1">
      <c r="A330" s="549"/>
      <c r="B330" s="550"/>
      <c r="C330" s="726"/>
      <c r="D330" s="726"/>
      <c r="E330" s="546"/>
      <c r="F330" s="2542"/>
      <c r="G330" s="2543"/>
      <c r="H330" s="2543"/>
      <c r="I330" s="2543"/>
      <c r="J330" s="2543"/>
      <c r="K330" s="2543"/>
      <c r="L330" s="2543"/>
      <c r="M330" s="2543"/>
      <c r="N330" s="2543"/>
      <c r="O330" s="2543"/>
      <c r="P330" s="2543"/>
      <c r="Q330" s="2543"/>
      <c r="R330" s="2543"/>
      <c r="S330" s="2543"/>
      <c r="T330" s="2543"/>
      <c r="U330" s="2543"/>
      <c r="V330" s="2543"/>
      <c r="W330" s="2543"/>
      <c r="X330" s="2543"/>
      <c r="Y330" s="2543"/>
      <c r="Z330" s="2543"/>
      <c r="AA330" s="2543"/>
      <c r="AB330" s="2543"/>
      <c r="AC330" s="2543"/>
      <c r="AD330" s="2544"/>
      <c r="AE330" s="550"/>
      <c r="AF330" s="550"/>
      <c r="AG330" s="539"/>
      <c r="AH330" s="550"/>
      <c r="AI330" s="550"/>
      <c r="AJ330" s="549"/>
      <c r="AK330" s="549"/>
      <c r="AL330" s="549"/>
      <c r="AM330" s="549"/>
      <c r="AN330" s="73"/>
      <c r="AO330" s="14"/>
      <c r="AP330" s="30"/>
    </row>
    <row r="331" spans="1:44" hidden="1">
      <c r="A331" s="549"/>
      <c r="B331" s="550"/>
      <c r="C331" s="726"/>
      <c r="D331" s="726"/>
      <c r="E331" s="546"/>
      <c r="F331" s="2542"/>
      <c r="G331" s="2543"/>
      <c r="H331" s="2543"/>
      <c r="I331" s="2543"/>
      <c r="J331" s="2543"/>
      <c r="K331" s="2543"/>
      <c r="L331" s="2543"/>
      <c r="M331" s="2543"/>
      <c r="N331" s="2543"/>
      <c r="O331" s="2543"/>
      <c r="P331" s="2543"/>
      <c r="Q331" s="2543"/>
      <c r="R331" s="2543"/>
      <c r="S331" s="2543"/>
      <c r="T331" s="2543"/>
      <c r="U331" s="2543"/>
      <c r="V331" s="2543"/>
      <c r="W331" s="2543"/>
      <c r="X331" s="2543"/>
      <c r="Y331" s="2543"/>
      <c r="Z331" s="2543"/>
      <c r="AA331" s="2543"/>
      <c r="AB331" s="2543"/>
      <c r="AC331" s="2543"/>
      <c r="AD331" s="2544"/>
      <c r="AE331" s="550"/>
      <c r="AF331" s="550"/>
      <c r="AG331" s="539"/>
      <c r="AH331" s="550"/>
      <c r="AI331" s="550"/>
      <c r="AJ331" s="549"/>
      <c r="AK331" s="549"/>
      <c r="AL331" s="549"/>
      <c r="AM331" s="549"/>
      <c r="AN331" s="73"/>
      <c r="AO331" s="14"/>
      <c r="AP331" s="30"/>
    </row>
    <row r="332" spans="1:44" hidden="1">
      <c r="A332" s="549"/>
      <c r="B332" s="550"/>
      <c r="C332" s="726"/>
      <c r="D332" s="726"/>
      <c r="E332" s="546"/>
      <c r="F332" s="2542"/>
      <c r="G332" s="2543"/>
      <c r="H332" s="2543"/>
      <c r="I332" s="2543"/>
      <c r="J332" s="2543"/>
      <c r="K332" s="2543"/>
      <c r="L332" s="2543"/>
      <c r="M332" s="2543"/>
      <c r="N332" s="2543"/>
      <c r="O332" s="2543"/>
      <c r="P332" s="2543"/>
      <c r="Q332" s="2543"/>
      <c r="R332" s="2543"/>
      <c r="S332" s="2543"/>
      <c r="T332" s="2543"/>
      <c r="U332" s="2543"/>
      <c r="V332" s="2543"/>
      <c r="W332" s="2543"/>
      <c r="X332" s="2543"/>
      <c r="Y332" s="2543"/>
      <c r="Z332" s="2543"/>
      <c r="AA332" s="2543"/>
      <c r="AB332" s="2543"/>
      <c r="AC332" s="2543"/>
      <c r="AD332" s="2544"/>
      <c r="AE332" s="550"/>
      <c r="AF332" s="550"/>
      <c r="AG332" s="539"/>
      <c r="AH332" s="550"/>
      <c r="AI332" s="550"/>
      <c r="AJ332" s="549"/>
      <c r="AK332" s="549"/>
      <c r="AL332" s="549"/>
      <c r="AM332" s="549"/>
      <c r="AN332" s="73"/>
      <c r="AO332" s="14"/>
      <c r="AP332" s="30"/>
    </row>
    <row r="333" spans="1:44" hidden="1">
      <c r="A333" s="549"/>
      <c r="B333" s="550"/>
      <c r="C333" s="726"/>
      <c r="D333" s="726"/>
      <c r="E333" s="546"/>
      <c r="F333" s="2545"/>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8" t="s">
        <v>1183</v>
      </c>
      <c r="J337" s="2548"/>
      <c r="K337" s="2548"/>
      <c r="L337" s="2548"/>
      <c r="M337" s="2548"/>
      <c r="N337" s="2548"/>
      <c r="O337" s="2548"/>
      <c r="P337" s="2548"/>
      <c r="Q337" s="2548"/>
      <c r="R337" s="2548"/>
      <c r="S337" s="2548"/>
      <c r="T337" s="2548"/>
      <c r="U337" s="2548"/>
      <c r="V337" s="2548"/>
      <c r="W337" s="2548"/>
      <c r="X337" s="2548"/>
      <c r="Y337" s="2548"/>
      <c r="Z337" s="2548"/>
      <c r="AA337" s="2548"/>
      <c r="AB337" s="2548"/>
      <c r="AC337" s="2548"/>
      <c r="AD337" s="2549"/>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8"/>
      <c r="J338" s="2548"/>
      <c r="K338" s="2548"/>
      <c r="L338" s="2548"/>
      <c r="M338" s="2548"/>
      <c r="N338" s="2548"/>
      <c r="O338" s="2548"/>
      <c r="P338" s="2548"/>
      <c r="Q338" s="2548"/>
      <c r="R338" s="2548"/>
      <c r="S338" s="2548"/>
      <c r="T338" s="2548"/>
      <c r="U338" s="2548"/>
      <c r="V338" s="2548"/>
      <c r="W338" s="2548"/>
      <c r="X338" s="2548"/>
      <c r="Y338" s="2548"/>
      <c r="Z338" s="2548"/>
      <c r="AA338" s="2548"/>
      <c r="AB338" s="2548"/>
      <c r="AC338" s="2548"/>
      <c r="AD338" s="2549"/>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8"/>
      <c r="J339" s="2548"/>
      <c r="K339" s="2548"/>
      <c r="L339" s="2548"/>
      <c r="M339" s="2548"/>
      <c r="N339" s="2548"/>
      <c r="O339" s="2548"/>
      <c r="P339" s="2548"/>
      <c r="Q339" s="2548"/>
      <c r="R339" s="2548"/>
      <c r="S339" s="2548"/>
      <c r="T339" s="2548"/>
      <c r="U339" s="2548"/>
      <c r="V339" s="2548"/>
      <c r="W339" s="2548"/>
      <c r="X339" s="2548"/>
      <c r="Y339" s="2548"/>
      <c r="Z339" s="2548"/>
      <c r="AA339" s="2548"/>
      <c r="AB339" s="2548"/>
      <c r="AC339" s="2548"/>
      <c r="AD339" s="2549"/>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50"/>
      <c r="J340" s="2550"/>
      <c r="K340" s="2550"/>
      <c r="L340" s="2550"/>
      <c r="M340" s="2550"/>
      <c r="N340" s="2550"/>
      <c r="O340" s="2550"/>
      <c r="P340" s="2550"/>
      <c r="Q340" s="2550"/>
      <c r="R340" s="2550"/>
      <c r="S340" s="2550"/>
      <c r="T340" s="2550"/>
      <c r="U340" s="2550"/>
      <c r="V340" s="2550"/>
      <c r="W340" s="2550"/>
      <c r="X340" s="2550"/>
      <c r="Y340" s="2550"/>
      <c r="Z340" s="2550"/>
      <c r="AA340" s="2550"/>
      <c r="AB340" s="2550"/>
      <c r="AC340" s="2550"/>
      <c r="AD340" s="2551"/>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8" t="s">
        <v>1183</v>
      </c>
      <c r="J342" s="2548"/>
      <c r="K342" s="2548"/>
      <c r="L342" s="2548"/>
      <c r="M342" s="2548"/>
      <c r="N342" s="2548"/>
      <c r="O342" s="2548"/>
      <c r="P342" s="2548"/>
      <c r="Q342" s="2548"/>
      <c r="R342" s="2548"/>
      <c r="S342" s="2548"/>
      <c r="T342" s="2548"/>
      <c r="U342" s="2548"/>
      <c r="V342" s="2548"/>
      <c r="W342" s="2548"/>
      <c r="X342" s="2548"/>
      <c r="Y342" s="2548"/>
      <c r="Z342" s="2548"/>
      <c r="AA342" s="2548"/>
      <c r="AB342" s="2548"/>
      <c r="AC342" s="2548"/>
      <c r="AD342" s="2549"/>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8"/>
      <c r="J343" s="2548"/>
      <c r="K343" s="2548"/>
      <c r="L343" s="2548"/>
      <c r="M343" s="2548"/>
      <c r="N343" s="2548"/>
      <c r="O343" s="2548"/>
      <c r="P343" s="2548"/>
      <c r="Q343" s="2548"/>
      <c r="R343" s="2548"/>
      <c r="S343" s="2548"/>
      <c r="T343" s="2548"/>
      <c r="U343" s="2548"/>
      <c r="V343" s="2548"/>
      <c r="W343" s="2548"/>
      <c r="X343" s="2548"/>
      <c r="Y343" s="2548"/>
      <c r="Z343" s="2548"/>
      <c r="AA343" s="2548"/>
      <c r="AB343" s="2548"/>
      <c r="AC343" s="2548"/>
      <c r="AD343" s="2549"/>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50"/>
      <c r="J344" s="2550"/>
      <c r="K344" s="2550"/>
      <c r="L344" s="2550"/>
      <c r="M344" s="2550"/>
      <c r="N344" s="2550"/>
      <c r="O344" s="2550"/>
      <c r="P344" s="2550"/>
      <c r="Q344" s="2550"/>
      <c r="R344" s="2550"/>
      <c r="S344" s="2550"/>
      <c r="T344" s="2550"/>
      <c r="U344" s="2550"/>
      <c r="V344" s="2550"/>
      <c r="W344" s="2550"/>
      <c r="X344" s="2550"/>
      <c r="Y344" s="2550"/>
      <c r="Z344" s="2550"/>
      <c r="AA344" s="2550"/>
      <c r="AB344" s="2550"/>
      <c r="AC344" s="2550"/>
      <c r="AD344" s="2551"/>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42" t="s">
        <v>1383</v>
      </c>
      <c r="B346" s="1642"/>
      <c r="C346" s="2414" t="s">
        <v>590</v>
      </c>
      <c r="D346" s="2414"/>
      <c r="E346" s="546"/>
      <c r="F346" s="2455" t="s">
        <v>1988</v>
      </c>
      <c r="G346" s="2456"/>
      <c r="H346" s="2456"/>
      <c r="I346" s="2456"/>
      <c r="J346" s="2456"/>
      <c r="K346" s="2456"/>
      <c r="L346" s="2456"/>
      <c r="M346" s="2456"/>
      <c r="N346" s="2456"/>
      <c r="O346" s="2456"/>
      <c r="P346" s="2456"/>
      <c r="Q346" s="2456"/>
      <c r="R346" s="2456"/>
      <c r="S346" s="2456"/>
      <c r="T346" s="2456"/>
      <c r="U346" s="2456"/>
      <c r="V346" s="2456"/>
      <c r="W346" s="2456"/>
      <c r="X346" s="2456"/>
      <c r="Y346" s="2456"/>
      <c r="Z346" s="2456"/>
      <c r="AA346" s="2456"/>
      <c r="AB346" s="2456"/>
      <c r="AC346" s="2456"/>
      <c r="AD346" s="2457"/>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8"/>
      <c r="G347" s="2459"/>
      <c r="H347" s="2459"/>
      <c r="I347" s="2459"/>
      <c r="J347" s="2459"/>
      <c r="K347" s="2459"/>
      <c r="L347" s="2459"/>
      <c r="M347" s="2459"/>
      <c r="N347" s="2459"/>
      <c r="O347" s="2459"/>
      <c r="P347" s="2459"/>
      <c r="Q347" s="2459"/>
      <c r="R347" s="2459"/>
      <c r="S347" s="2459"/>
      <c r="T347" s="2459"/>
      <c r="U347" s="2459"/>
      <c r="V347" s="2459"/>
      <c r="W347" s="2459"/>
      <c r="X347" s="2459"/>
      <c r="Y347" s="2459"/>
      <c r="Z347" s="2459"/>
      <c r="AA347" s="2459"/>
      <c r="AB347" s="2459"/>
      <c r="AC347" s="2459"/>
      <c r="AD347" s="2460"/>
      <c r="AE347" s="550"/>
      <c r="AF347" s="550"/>
      <c r="AG347" s="550"/>
      <c r="AH347" s="550"/>
      <c r="AI347" s="550"/>
      <c r="AJ347" s="549"/>
      <c r="AK347" s="549"/>
      <c r="AL347" s="549"/>
      <c r="AM347" s="549"/>
      <c r="AN347" s="73"/>
      <c r="AO347" s="14"/>
    </row>
    <row r="348" spans="1:42" ht="15" hidden="1" customHeight="1">
      <c r="A348" s="549"/>
      <c r="B348" s="550"/>
      <c r="C348" s="550"/>
      <c r="D348" s="550"/>
      <c r="E348" s="550"/>
      <c r="F348" s="2458"/>
      <c r="G348" s="2459"/>
      <c r="H348" s="2459"/>
      <c r="I348" s="2459"/>
      <c r="J348" s="2459"/>
      <c r="K348" s="2459"/>
      <c r="L348" s="2459"/>
      <c r="M348" s="2459"/>
      <c r="N348" s="2459"/>
      <c r="O348" s="2459"/>
      <c r="P348" s="2459"/>
      <c r="Q348" s="2459"/>
      <c r="R348" s="2459"/>
      <c r="S348" s="2459"/>
      <c r="T348" s="2459"/>
      <c r="U348" s="2459"/>
      <c r="V348" s="2459"/>
      <c r="W348" s="2459"/>
      <c r="X348" s="2459"/>
      <c r="Y348" s="2459"/>
      <c r="Z348" s="2459"/>
      <c r="AA348" s="2459"/>
      <c r="AB348" s="2459"/>
      <c r="AC348" s="2459"/>
      <c r="AD348" s="2460"/>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5">
        <f>IF(NOT(OR(Application!M364="Yes",Application!M365="Yes")),0,AP308)</f>
        <v>10</v>
      </c>
      <c r="AL351" s="2441"/>
      <c r="AM351" s="239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2" t="s">
        <v>1307</v>
      </c>
      <c r="AF354" s="2452"/>
      <c r="AG354" s="2452"/>
      <c r="AH354" s="2452"/>
      <c r="AI354" s="2452"/>
      <c r="AJ354" s="2452"/>
      <c r="AK354" s="245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3" t="s">
        <v>1444</v>
      </c>
      <c r="D356" s="2463"/>
      <c r="E356" s="2463"/>
      <c r="F356" s="2463"/>
      <c r="G356" s="2463"/>
      <c r="H356" s="2463"/>
      <c r="I356" s="2463"/>
      <c r="J356" s="2463"/>
      <c r="K356" s="2463"/>
      <c r="L356" s="2463"/>
      <c r="M356" s="2463"/>
      <c r="N356" s="2463"/>
      <c r="O356" s="2463"/>
      <c r="P356" s="2463"/>
      <c r="Q356" s="2463"/>
      <c r="R356" s="2463"/>
      <c r="S356" s="2463"/>
      <c r="T356" s="2463"/>
      <c r="U356" s="2463"/>
      <c r="V356" s="2463"/>
      <c r="W356" s="2463"/>
      <c r="X356" s="2463"/>
      <c r="Y356" s="2463"/>
      <c r="Z356" s="2463"/>
      <c r="AA356" s="2463"/>
      <c r="AB356" s="2463"/>
      <c r="AC356" s="2463"/>
      <c r="AD356" s="2463"/>
      <c r="AE356" s="2463"/>
      <c r="AF356" s="2463"/>
      <c r="AG356" s="2463"/>
      <c r="AH356" s="2463"/>
      <c r="AI356" s="2463"/>
      <c r="AJ356" s="2463"/>
      <c r="AK356" s="601"/>
      <c r="AL356" s="601"/>
      <c r="AM356" s="601"/>
      <c r="AN356" s="595"/>
    </row>
    <row r="357" spans="1:44" s="549" customFormat="1" ht="12.75" customHeight="1">
      <c r="A357" s="601"/>
      <c r="B357" s="609"/>
      <c r="C357" s="2463"/>
      <c r="D357" s="2463"/>
      <c r="E357" s="2463"/>
      <c r="F357" s="2463"/>
      <c r="G357" s="2463"/>
      <c r="H357" s="2463"/>
      <c r="I357" s="2463"/>
      <c r="J357" s="2463"/>
      <c r="K357" s="2463"/>
      <c r="L357" s="2463"/>
      <c r="M357" s="2463"/>
      <c r="N357" s="2463"/>
      <c r="O357" s="2463"/>
      <c r="P357" s="2463"/>
      <c r="Q357" s="2463"/>
      <c r="R357" s="2463"/>
      <c r="S357" s="2463"/>
      <c r="T357" s="2463"/>
      <c r="U357" s="2463"/>
      <c r="V357" s="2463"/>
      <c r="W357" s="2463"/>
      <c r="X357" s="2463"/>
      <c r="Y357" s="2463"/>
      <c r="Z357" s="2463"/>
      <c r="AA357" s="2463"/>
      <c r="AB357" s="2463"/>
      <c r="AC357" s="2463"/>
      <c r="AD357" s="2463"/>
      <c r="AE357" s="2463"/>
      <c r="AF357" s="2463"/>
      <c r="AG357" s="2463"/>
      <c r="AH357" s="2463"/>
      <c r="AI357" s="2463"/>
      <c r="AJ357" s="2463"/>
      <c r="AK357" s="601"/>
      <c r="AL357" s="601"/>
      <c r="AM357" s="601"/>
      <c r="AN357" s="595"/>
    </row>
    <row r="358" spans="1:44" s="549" customFormat="1" ht="12.75" customHeight="1">
      <c r="A358" s="601"/>
      <c r="B358" s="609"/>
      <c r="C358" s="2463"/>
      <c r="D358" s="2463"/>
      <c r="E358" s="2463"/>
      <c r="F358" s="2463"/>
      <c r="G358" s="2463"/>
      <c r="H358" s="2463"/>
      <c r="I358" s="2463"/>
      <c r="J358" s="2463"/>
      <c r="K358" s="2463"/>
      <c r="L358" s="2463"/>
      <c r="M358" s="2463"/>
      <c r="N358" s="2463"/>
      <c r="O358" s="2463"/>
      <c r="P358" s="2463"/>
      <c r="Q358" s="2463"/>
      <c r="R358" s="2463"/>
      <c r="S358" s="2463"/>
      <c r="T358" s="2463"/>
      <c r="U358" s="2463"/>
      <c r="V358" s="2463"/>
      <c r="W358" s="2463"/>
      <c r="X358" s="2463"/>
      <c r="Y358" s="2463"/>
      <c r="Z358" s="2463"/>
      <c r="AA358" s="2463"/>
      <c r="AB358" s="2463"/>
      <c r="AC358" s="2463"/>
      <c r="AD358" s="2463"/>
      <c r="AE358" s="2463"/>
      <c r="AF358" s="2463"/>
      <c r="AG358" s="2463"/>
      <c r="AH358" s="2463"/>
      <c r="AI358" s="2463"/>
      <c r="AJ358" s="2463"/>
      <c r="AK358" s="601"/>
      <c r="AL358" s="601"/>
      <c r="AM358" s="601"/>
      <c r="AN358" s="595"/>
      <c r="AQ358" s="568"/>
    </row>
    <row r="359" spans="1:44" s="549" customFormat="1" ht="12.75" customHeight="1">
      <c r="A359" s="601"/>
      <c r="B359" s="609"/>
      <c r="C359" s="2463"/>
      <c r="D359" s="2463"/>
      <c r="E359" s="2463"/>
      <c r="F359" s="2463"/>
      <c r="G359" s="2463"/>
      <c r="H359" s="2463"/>
      <c r="I359" s="2463"/>
      <c r="J359" s="2463"/>
      <c r="K359" s="2463"/>
      <c r="L359" s="2463"/>
      <c r="M359" s="2463"/>
      <c r="N359" s="2463"/>
      <c r="O359" s="2463"/>
      <c r="P359" s="2463"/>
      <c r="Q359" s="2463"/>
      <c r="R359" s="2463"/>
      <c r="S359" s="2463"/>
      <c r="T359" s="2463"/>
      <c r="U359" s="2463"/>
      <c r="V359" s="2463"/>
      <c r="W359" s="2463"/>
      <c r="X359" s="2463"/>
      <c r="Y359" s="2463"/>
      <c r="Z359" s="2463"/>
      <c r="AA359" s="2463"/>
      <c r="AB359" s="2463"/>
      <c r="AC359" s="2463"/>
      <c r="AD359" s="2463"/>
      <c r="AE359" s="2463"/>
      <c r="AF359" s="2463"/>
      <c r="AG359" s="2463"/>
      <c r="AH359" s="2463"/>
      <c r="AI359" s="2463"/>
      <c r="AJ359" s="2463"/>
      <c r="AK359" s="601"/>
      <c r="AL359" s="601"/>
      <c r="AM359" s="601"/>
      <c r="AN359" s="595"/>
      <c r="AQ359" s="568"/>
    </row>
    <row r="360" spans="1:44" s="549" customFormat="1" ht="12.4" customHeight="1">
      <c r="A360" s="601"/>
      <c r="B360" s="609"/>
      <c r="C360" s="2463"/>
      <c r="D360" s="2463"/>
      <c r="E360" s="2463"/>
      <c r="F360" s="2463"/>
      <c r="G360" s="2463"/>
      <c r="H360" s="2463"/>
      <c r="I360" s="2463"/>
      <c r="J360" s="2463"/>
      <c r="K360" s="2463"/>
      <c r="L360" s="2463"/>
      <c r="M360" s="2463"/>
      <c r="N360" s="2463"/>
      <c r="O360" s="2463"/>
      <c r="P360" s="2463"/>
      <c r="Q360" s="2463"/>
      <c r="R360" s="2463"/>
      <c r="S360" s="2463"/>
      <c r="T360" s="2463"/>
      <c r="U360" s="2463"/>
      <c r="V360" s="2463"/>
      <c r="W360" s="2463"/>
      <c r="X360" s="2463"/>
      <c r="Y360" s="2463"/>
      <c r="Z360" s="2463"/>
      <c r="AA360" s="2463"/>
      <c r="AB360" s="2463"/>
      <c r="AC360" s="2463"/>
      <c r="AD360" s="2463"/>
      <c r="AE360" s="2463"/>
      <c r="AF360" s="2463"/>
      <c r="AG360" s="2463"/>
      <c r="AH360" s="2463"/>
      <c r="AI360" s="2463"/>
      <c r="AJ360" s="2463"/>
      <c r="AK360" s="601"/>
      <c r="AL360" s="601"/>
      <c r="AM360" s="601"/>
      <c r="AN360" s="595"/>
      <c r="AQ360" s="568"/>
      <c r="AR360" s="568"/>
    </row>
    <row r="361" spans="1:44" s="549" customFormat="1" ht="45.75" customHeight="1">
      <c r="A361" s="601"/>
      <c r="B361" s="609"/>
      <c r="C361" s="2463" t="s">
        <v>2048</v>
      </c>
      <c r="D361" s="2463"/>
      <c r="E361" s="2463"/>
      <c r="F361" s="2463"/>
      <c r="G361" s="2463"/>
      <c r="H361" s="2463"/>
      <c r="I361" s="2463"/>
      <c r="J361" s="2463"/>
      <c r="K361" s="2463"/>
      <c r="L361" s="2463"/>
      <c r="M361" s="2463"/>
      <c r="N361" s="2463"/>
      <c r="O361" s="2463"/>
      <c r="P361" s="2463"/>
      <c r="Q361" s="2463"/>
      <c r="R361" s="2463"/>
      <c r="S361" s="2463"/>
      <c r="T361" s="2463"/>
      <c r="U361" s="2463"/>
      <c r="V361" s="2463"/>
      <c r="W361" s="2463"/>
      <c r="X361" s="2463"/>
      <c r="Y361" s="2463"/>
      <c r="Z361" s="2463"/>
      <c r="AA361" s="2463"/>
      <c r="AB361" s="2463"/>
      <c r="AC361" s="2463"/>
      <c r="AD361" s="2463"/>
      <c r="AE361" s="2463"/>
      <c r="AF361" s="2463"/>
      <c r="AG361" s="2463"/>
      <c r="AH361" s="2463"/>
      <c r="AI361" s="2463"/>
      <c r="AJ361" s="2463"/>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3" t="s">
        <v>2162</v>
      </c>
      <c r="D363" s="2463"/>
      <c r="E363" s="2463"/>
      <c r="F363" s="2463"/>
      <c r="G363" s="2463"/>
      <c r="H363" s="2463"/>
      <c r="I363" s="2463"/>
      <c r="J363" s="2463"/>
      <c r="K363" s="2463"/>
      <c r="L363" s="2463"/>
      <c r="M363" s="2463"/>
      <c r="N363" s="2463"/>
      <c r="O363" s="2463"/>
      <c r="P363" s="2463"/>
      <c r="Q363" s="2463"/>
      <c r="R363" s="2463"/>
      <c r="S363" s="2463"/>
      <c r="T363" s="2463"/>
      <c r="U363" s="2463"/>
      <c r="V363" s="2463"/>
      <c r="W363" s="2463"/>
      <c r="X363" s="2463"/>
      <c r="Y363" s="2463"/>
      <c r="Z363" s="2463"/>
      <c r="AA363" s="2463"/>
      <c r="AB363" s="2463"/>
      <c r="AC363" s="2463"/>
      <c r="AD363" s="2463"/>
      <c r="AE363" s="2463"/>
      <c r="AF363" s="2463"/>
      <c r="AG363" s="2463"/>
      <c r="AH363" s="2463"/>
      <c r="AI363" s="2463"/>
      <c r="AJ363" s="2463"/>
      <c r="AK363" s="601"/>
      <c r="AL363" s="601"/>
      <c r="AM363" s="601"/>
      <c r="AN363" s="595"/>
      <c r="AQ363" s="568"/>
      <c r="AR363" s="568"/>
    </row>
    <row r="364" spans="1:44" s="549" customFormat="1" ht="30" customHeight="1">
      <c r="A364" s="601"/>
      <c r="B364" s="609"/>
      <c r="C364" s="2463"/>
      <c r="D364" s="2463"/>
      <c r="E364" s="2463"/>
      <c r="F364" s="2463"/>
      <c r="G364" s="2463"/>
      <c r="H364" s="2463"/>
      <c r="I364" s="2463"/>
      <c r="J364" s="2463"/>
      <c r="K364" s="2463"/>
      <c r="L364" s="2463"/>
      <c r="M364" s="2463"/>
      <c r="N364" s="2463"/>
      <c r="O364" s="2463"/>
      <c r="P364" s="2463"/>
      <c r="Q364" s="2463"/>
      <c r="R364" s="2463"/>
      <c r="S364" s="2463"/>
      <c r="T364" s="2463"/>
      <c r="U364" s="2463"/>
      <c r="V364" s="2463"/>
      <c r="W364" s="2463"/>
      <c r="X364" s="2463"/>
      <c r="Y364" s="2463"/>
      <c r="Z364" s="2463"/>
      <c r="AA364" s="2463"/>
      <c r="AB364" s="2463"/>
      <c r="AC364" s="2463"/>
      <c r="AD364" s="2463"/>
      <c r="AE364" s="2463"/>
      <c r="AF364" s="2463"/>
      <c r="AG364" s="2463"/>
      <c r="AH364" s="2463"/>
      <c r="AI364" s="2463"/>
      <c r="AJ364" s="2463"/>
      <c r="AK364" s="601"/>
      <c r="AL364" s="601"/>
      <c r="AM364" s="601"/>
      <c r="AN364" s="595"/>
      <c r="AR364" s="568"/>
    </row>
    <row r="365" spans="1:44" s="549" customFormat="1" ht="12.75" customHeight="1">
      <c r="A365" s="601"/>
      <c r="B365" s="609"/>
      <c r="C365" s="2463"/>
      <c r="D365" s="2463"/>
      <c r="E365" s="2463"/>
      <c r="F365" s="2463"/>
      <c r="G365" s="2463"/>
      <c r="H365" s="2463"/>
      <c r="I365" s="2463"/>
      <c r="J365" s="2463"/>
      <c r="K365" s="2463"/>
      <c r="L365" s="2463"/>
      <c r="M365" s="2463"/>
      <c r="N365" s="2463"/>
      <c r="O365" s="2463"/>
      <c r="P365" s="2463"/>
      <c r="Q365" s="2463"/>
      <c r="R365" s="2463"/>
      <c r="S365" s="2463"/>
      <c r="T365" s="2463"/>
      <c r="U365" s="2463"/>
      <c r="V365" s="2463"/>
      <c r="W365" s="2463"/>
      <c r="X365" s="2463"/>
      <c r="Y365" s="2463"/>
      <c r="Z365" s="2463"/>
      <c r="AA365" s="2463"/>
      <c r="AB365" s="2463"/>
      <c r="AC365" s="2463"/>
      <c r="AD365" s="2463"/>
      <c r="AE365" s="2463"/>
      <c r="AF365" s="2463"/>
      <c r="AG365" s="2463"/>
      <c r="AH365" s="2463"/>
      <c r="AI365" s="2463"/>
      <c r="AJ365" s="2463"/>
      <c r="AK365" s="601"/>
      <c r="AL365" s="601"/>
      <c r="AM365" s="601"/>
      <c r="AN365" s="595"/>
      <c r="AR365" s="568"/>
    </row>
    <row r="366" spans="1:44" s="549" customFormat="1" ht="12.75" customHeight="1">
      <c r="A366" s="601"/>
      <c r="B366" s="609"/>
      <c r="C366" s="2463" t="s">
        <v>1445</v>
      </c>
      <c r="D366" s="2463"/>
      <c r="E366" s="2463"/>
      <c r="F366" s="2463"/>
      <c r="G366" s="2463"/>
      <c r="H366" s="2463"/>
      <c r="I366" s="2463"/>
      <c r="J366" s="2463"/>
      <c r="K366" s="2463"/>
      <c r="L366" s="2463"/>
      <c r="M366" s="2463"/>
      <c r="N366" s="2463"/>
      <c r="O366" s="2463"/>
      <c r="P366" s="2463"/>
      <c r="Q366" s="2463"/>
      <c r="R366" s="2463"/>
      <c r="S366" s="2463"/>
      <c r="T366" s="2463"/>
      <c r="U366" s="2463"/>
      <c r="V366" s="2463"/>
      <c r="W366" s="2463"/>
      <c r="X366" s="2463"/>
      <c r="Y366" s="2463"/>
      <c r="Z366" s="2463"/>
      <c r="AA366" s="2463"/>
      <c r="AB366" s="2463"/>
      <c r="AC366" s="2463"/>
      <c r="AD366" s="2463"/>
      <c r="AE366" s="2463"/>
      <c r="AF366" s="2463"/>
      <c r="AG366" s="2463"/>
      <c r="AH366" s="2463"/>
      <c r="AI366" s="2463"/>
      <c r="AJ366" s="2463"/>
      <c r="AK366" s="601"/>
      <c r="AL366" s="601"/>
      <c r="AM366" s="601"/>
      <c r="AN366" s="595"/>
      <c r="AQ366" s="568"/>
      <c r="AR366" s="568"/>
    </row>
    <row r="367" spans="1:44" s="549" customFormat="1" ht="12.75" customHeight="1">
      <c r="A367" s="601"/>
      <c r="B367" s="609"/>
      <c r="C367" s="2463"/>
      <c r="D367" s="2463"/>
      <c r="E367" s="2463"/>
      <c r="F367" s="2463"/>
      <c r="G367" s="2463"/>
      <c r="H367" s="2463"/>
      <c r="I367" s="2463"/>
      <c r="J367" s="2463"/>
      <c r="K367" s="2463"/>
      <c r="L367" s="2463"/>
      <c r="M367" s="2463"/>
      <c r="N367" s="2463"/>
      <c r="O367" s="2463"/>
      <c r="P367" s="2463"/>
      <c r="Q367" s="2463"/>
      <c r="R367" s="2463"/>
      <c r="S367" s="2463"/>
      <c r="T367" s="2463"/>
      <c r="U367" s="2463"/>
      <c r="V367" s="2463"/>
      <c r="W367" s="2463"/>
      <c r="X367" s="2463"/>
      <c r="Y367" s="2463"/>
      <c r="Z367" s="2463"/>
      <c r="AA367" s="2463"/>
      <c r="AB367" s="2463"/>
      <c r="AC367" s="2463"/>
      <c r="AD367" s="2463"/>
      <c r="AE367" s="2463"/>
      <c r="AF367" s="2463"/>
      <c r="AG367" s="2463"/>
      <c r="AH367" s="2463"/>
      <c r="AI367" s="2463"/>
      <c r="AJ367" s="2463"/>
      <c r="AK367" s="601"/>
      <c r="AL367" s="601"/>
      <c r="AM367" s="601"/>
      <c r="AN367" s="595"/>
      <c r="AQ367" s="568"/>
      <c r="AR367" s="568"/>
    </row>
    <row r="368" spans="1:44" s="549" customFormat="1" ht="13.15" customHeight="1">
      <c r="A368" s="601"/>
      <c r="B368" s="609"/>
      <c r="C368" s="2463"/>
      <c r="D368" s="2463"/>
      <c r="E368" s="2463"/>
      <c r="F368" s="2463"/>
      <c r="G368" s="2463"/>
      <c r="H368" s="2463"/>
      <c r="I368" s="2463"/>
      <c r="J368" s="2463"/>
      <c r="K368" s="2463"/>
      <c r="L368" s="2463"/>
      <c r="M368" s="2463"/>
      <c r="N368" s="2463"/>
      <c r="O368" s="2463"/>
      <c r="P368" s="2463"/>
      <c r="Q368" s="2463"/>
      <c r="R368" s="2463"/>
      <c r="S368" s="2463"/>
      <c r="T368" s="2463"/>
      <c r="U368" s="2463"/>
      <c r="V368" s="2463"/>
      <c r="W368" s="2463"/>
      <c r="X368" s="2463"/>
      <c r="Y368" s="2463"/>
      <c r="Z368" s="2463"/>
      <c r="AA368" s="2463"/>
      <c r="AB368" s="2463"/>
      <c r="AC368" s="2463"/>
      <c r="AD368" s="2463"/>
      <c r="AE368" s="2463"/>
      <c r="AF368" s="2463"/>
      <c r="AG368" s="2463"/>
      <c r="AH368" s="2463"/>
      <c r="AI368" s="2463"/>
      <c r="AJ368" s="2463"/>
      <c r="AK368" s="601"/>
      <c r="AL368" s="601"/>
      <c r="AM368" s="601"/>
      <c r="AN368" s="595"/>
      <c r="AQ368" s="568"/>
      <c r="AR368" s="568"/>
    </row>
    <row r="369" spans="1:46" s="549" customFormat="1" ht="12.75" customHeight="1">
      <c r="A369" s="601"/>
      <c r="B369" s="609"/>
      <c r="C369" s="2463"/>
      <c r="D369" s="2463"/>
      <c r="E369" s="2463"/>
      <c r="F369" s="2463"/>
      <c r="G369" s="2463"/>
      <c r="H369" s="2463"/>
      <c r="I369" s="2463"/>
      <c r="J369" s="2463"/>
      <c r="K369" s="2463"/>
      <c r="L369" s="2463"/>
      <c r="M369" s="2463"/>
      <c r="N369" s="2463"/>
      <c r="O369" s="2463"/>
      <c r="P369" s="2463"/>
      <c r="Q369" s="2463"/>
      <c r="R369" s="2463"/>
      <c r="S369" s="2463"/>
      <c r="T369" s="2463"/>
      <c r="U369" s="2463"/>
      <c r="V369" s="2463"/>
      <c r="W369" s="2463"/>
      <c r="X369" s="2463"/>
      <c r="Y369" s="2463"/>
      <c r="Z369" s="2463"/>
      <c r="AA369" s="2463"/>
      <c r="AB369" s="2463"/>
      <c r="AC369" s="2463"/>
      <c r="AD369" s="2463"/>
      <c r="AE369" s="2463"/>
      <c r="AF369" s="2463"/>
      <c r="AG369" s="2463"/>
      <c r="AH369" s="2463"/>
      <c r="AI369" s="2463"/>
      <c r="AJ369" s="2463"/>
      <c r="AK369" s="601"/>
      <c r="AL369" s="601"/>
      <c r="AM369" s="601"/>
      <c r="AN369" s="595"/>
      <c r="AO369" s="690"/>
      <c r="AP369" s="690"/>
      <c r="AQ369" s="568"/>
    </row>
    <row r="370" spans="1:46" s="549" customFormat="1" ht="11.85" customHeight="1">
      <c r="A370" s="601"/>
      <c r="B370" s="609"/>
      <c r="C370" s="2463"/>
      <c r="D370" s="2463"/>
      <c r="E370" s="2463"/>
      <c r="F370" s="2463"/>
      <c r="G370" s="2463"/>
      <c r="H370" s="2463"/>
      <c r="I370" s="2463"/>
      <c r="J370" s="2463"/>
      <c r="K370" s="2463"/>
      <c r="L370" s="2463"/>
      <c r="M370" s="2463"/>
      <c r="N370" s="2463"/>
      <c r="O370" s="2463"/>
      <c r="P370" s="2463"/>
      <c r="Q370" s="2463"/>
      <c r="R370" s="2463"/>
      <c r="S370" s="2463"/>
      <c r="T370" s="2463"/>
      <c r="U370" s="2463"/>
      <c r="V370" s="2463"/>
      <c r="W370" s="2463"/>
      <c r="X370" s="2463"/>
      <c r="Y370" s="2463"/>
      <c r="Z370" s="2463"/>
      <c r="AA370" s="2463"/>
      <c r="AB370" s="2463"/>
      <c r="AC370" s="2463"/>
      <c r="AD370" s="2463"/>
      <c r="AE370" s="2463"/>
      <c r="AF370" s="2463"/>
      <c r="AG370" s="2463"/>
      <c r="AH370" s="2463"/>
      <c r="AI370" s="2463"/>
      <c r="AJ370" s="2463"/>
      <c r="AK370" s="601"/>
      <c r="AL370" s="601"/>
      <c r="AM370" s="601"/>
      <c r="AN370" s="595"/>
      <c r="AO370" s="691" t="s">
        <v>112</v>
      </c>
      <c r="AP370" s="692">
        <f>IF(C394="Yes",5,0)</f>
        <v>5</v>
      </c>
      <c r="AS370" s="539" t="s">
        <v>1446</v>
      </c>
    </row>
    <row r="371" spans="1:46" s="549" customFormat="1" ht="12.75" customHeight="1">
      <c r="A371" s="601"/>
      <c r="B371" s="609"/>
      <c r="C371" s="2463"/>
      <c r="D371" s="2463"/>
      <c r="E371" s="2463"/>
      <c r="F371" s="2463"/>
      <c r="G371" s="2463"/>
      <c r="H371" s="2463"/>
      <c r="I371" s="2463"/>
      <c r="J371" s="2463"/>
      <c r="K371" s="2463"/>
      <c r="L371" s="2463"/>
      <c r="M371" s="2463"/>
      <c r="N371" s="2463"/>
      <c r="O371" s="2463"/>
      <c r="P371" s="2463"/>
      <c r="Q371" s="2463"/>
      <c r="R371" s="2463"/>
      <c r="S371" s="2463"/>
      <c r="T371" s="2463"/>
      <c r="U371" s="2463"/>
      <c r="V371" s="2463"/>
      <c r="W371" s="2463"/>
      <c r="X371" s="2463"/>
      <c r="Y371" s="2463"/>
      <c r="Z371" s="2463"/>
      <c r="AA371" s="2463"/>
      <c r="AB371" s="2463"/>
      <c r="AC371" s="2463"/>
      <c r="AD371" s="2463"/>
      <c r="AE371" s="2463"/>
      <c r="AF371" s="2463"/>
      <c r="AG371" s="2463"/>
      <c r="AH371" s="2463"/>
      <c r="AI371" s="2463"/>
      <c r="AJ371" s="2463"/>
      <c r="AK371" s="601"/>
      <c r="AL371" s="601"/>
      <c r="AM371" s="601"/>
      <c r="AN371" s="595"/>
      <c r="AO371" s="691" t="s">
        <v>113</v>
      </c>
      <c r="AP371" s="692">
        <f>IF(C402="Yes",5,0)</f>
        <v>5</v>
      </c>
      <c r="AS371" s="2531">
        <f>IF(Application!D211="Non-Targeted",(SUM(AQ379+AQ388)),AS375)</f>
        <v>10</v>
      </c>
      <c r="AT371" s="2531"/>
    </row>
    <row r="372" spans="1:46" s="549" customFormat="1" ht="12.75" customHeight="1">
      <c r="A372" s="601"/>
      <c r="B372" s="609"/>
      <c r="C372" s="2463"/>
      <c r="D372" s="2463"/>
      <c r="E372" s="2463"/>
      <c r="F372" s="2463"/>
      <c r="G372" s="2463"/>
      <c r="H372" s="2463"/>
      <c r="I372" s="2463"/>
      <c r="J372" s="2463"/>
      <c r="K372" s="2463"/>
      <c r="L372" s="2463"/>
      <c r="M372" s="2463"/>
      <c r="N372" s="2463"/>
      <c r="O372" s="2463"/>
      <c r="P372" s="2463"/>
      <c r="Q372" s="2463"/>
      <c r="R372" s="2463"/>
      <c r="S372" s="2463"/>
      <c r="T372" s="2463"/>
      <c r="U372" s="2463"/>
      <c r="V372" s="2463"/>
      <c r="W372" s="2463"/>
      <c r="X372" s="2463"/>
      <c r="Y372" s="2463"/>
      <c r="Z372" s="2463"/>
      <c r="AA372" s="2463"/>
      <c r="AB372" s="2463"/>
      <c r="AC372" s="2463"/>
      <c r="AD372" s="2463"/>
      <c r="AE372" s="2463"/>
      <c r="AF372" s="2463"/>
      <c r="AG372" s="2463"/>
      <c r="AH372" s="2463"/>
      <c r="AI372" s="2463"/>
      <c r="AJ372" s="2463"/>
      <c r="AK372" s="601"/>
      <c r="AL372" s="601"/>
      <c r="AM372" s="601"/>
      <c r="AN372" s="595"/>
      <c r="AO372" s="691" t="s">
        <v>119</v>
      </c>
      <c r="AP372" s="692">
        <f>IF(C410="Yes",7,0)</f>
        <v>0</v>
      </c>
      <c r="AS372" s="539" t="s">
        <v>1447</v>
      </c>
    </row>
    <row r="373" spans="1:46" s="549" customFormat="1" ht="12.75" customHeight="1">
      <c r="B373" s="609"/>
      <c r="C373" s="2463"/>
      <c r="D373" s="2463"/>
      <c r="E373" s="2463"/>
      <c r="F373" s="2463"/>
      <c r="G373" s="2463"/>
      <c r="H373" s="2463"/>
      <c r="I373" s="2463"/>
      <c r="J373" s="2463"/>
      <c r="K373" s="2463"/>
      <c r="L373" s="2463"/>
      <c r="M373" s="2463"/>
      <c r="N373" s="2463"/>
      <c r="O373" s="2463"/>
      <c r="P373" s="2463"/>
      <c r="Q373" s="2463"/>
      <c r="R373" s="2463"/>
      <c r="S373" s="2463"/>
      <c r="T373" s="2463"/>
      <c r="U373" s="2463"/>
      <c r="V373" s="2463"/>
      <c r="W373" s="2463"/>
      <c r="X373" s="2463"/>
      <c r="Y373" s="2463"/>
      <c r="Z373" s="2463"/>
      <c r="AA373" s="2463"/>
      <c r="AB373" s="2463"/>
      <c r="AC373" s="2463"/>
      <c r="AD373" s="2463"/>
      <c r="AE373" s="2463"/>
      <c r="AF373" s="2463"/>
      <c r="AG373" s="2463"/>
      <c r="AH373" s="2463"/>
      <c r="AI373" s="2463"/>
      <c r="AJ373" s="2463"/>
      <c r="AK373" s="601"/>
      <c r="AL373" s="601"/>
      <c r="AM373" s="601"/>
      <c r="AN373" s="595"/>
      <c r="AO373" s="595"/>
      <c r="AP373" s="692">
        <f>IF(C412="Yes",5,0)</f>
        <v>0</v>
      </c>
      <c r="AS373" s="2531">
        <f>IF(AND(AQ379&gt;0,AQ388&gt;0),(AQ379+AQ388)/2,0)</f>
        <v>0</v>
      </c>
      <c r="AT373" s="2531"/>
    </row>
    <row r="374" spans="1:46" s="549" customFormat="1" ht="12.75" customHeight="1">
      <c r="A374" s="601"/>
      <c r="B374" s="609"/>
      <c r="C374" s="2463"/>
      <c r="D374" s="2463"/>
      <c r="E374" s="2463"/>
      <c r="F374" s="2463"/>
      <c r="G374" s="2463"/>
      <c r="H374" s="2463"/>
      <c r="I374" s="2463"/>
      <c r="J374" s="2463"/>
      <c r="K374" s="2463"/>
      <c r="L374" s="2463"/>
      <c r="M374" s="2463"/>
      <c r="N374" s="2463"/>
      <c r="O374" s="2463"/>
      <c r="P374" s="2463"/>
      <c r="Q374" s="2463"/>
      <c r="R374" s="2463"/>
      <c r="S374" s="2463"/>
      <c r="T374" s="2463"/>
      <c r="U374" s="2463"/>
      <c r="V374" s="2463"/>
      <c r="W374" s="2463"/>
      <c r="X374" s="2463"/>
      <c r="Y374" s="2463"/>
      <c r="Z374" s="2463"/>
      <c r="AA374" s="2463"/>
      <c r="AB374" s="2463"/>
      <c r="AC374" s="2463"/>
      <c r="AD374" s="2463"/>
      <c r="AE374" s="2463"/>
      <c r="AF374" s="2463"/>
      <c r="AG374" s="2463"/>
      <c r="AH374" s="2463"/>
      <c r="AI374" s="2463"/>
      <c r="AJ374" s="2463"/>
      <c r="AK374" s="601"/>
      <c r="AL374" s="601"/>
      <c r="AM374" s="601"/>
      <c r="AN374" s="595"/>
      <c r="AO374" s="691" t="s">
        <v>580</v>
      </c>
      <c r="AP374" s="692">
        <f>IF(C420="Yes",5,0)</f>
        <v>0</v>
      </c>
      <c r="AS374" s="539" t="s">
        <v>1852</v>
      </c>
    </row>
    <row r="375" spans="1:46" s="549" customFormat="1" ht="12.75" customHeight="1">
      <c r="A375" s="601"/>
      <c r="B375" s="609"/>
      <c r="C375" s="2532" t="s">
        <v>2186</v>
      </c>
      <c r="D375" s="2532"/>
      <c r="E375" s="2532"/>
      <c r="F375" s="2532"/>
      <c r="G375" s="2532"/>
      <c r="H375" s="2532"/>
      <c r="I375" s="2532"/>
      <c r="J375" s="2532"/>
      <c r="K375" s="2532"/>
      <c r="L375" s="2532"/>
      <c r="M375" s="2532"/>
      <c r="N375" s="2532"/>
      <c r="O375" s="2532"/>
      <c r="P375" s="2532"/>
      <c r="Q375" s="2532"/>
      <c r="R375" s="2532"/>
      <c r="S375" s="2532"/>
      <c r="T375" s="2532"/>
      <c r="U375" s="2532"/>
      <c r="V375" s="2532"/>
      <c r="W375" s="2532"/>
      <c r="X375" s="2532"/>
      <c r="Y375" s="2532"/>
      <c r="Z375" s="2532"/>
      <c r="AA375" s="2532"/>
      <c r="AB375" s="2532"/>
      <c r="AC375" s="2532"/>
      <c r="AD375" s="2532"/>
      <c r="AE375" s="2532"/>
      <c r="AF375" s="2532"/>
      <c r="AG375" s="2532"/>
      <c r="AH375" s="2532"/>
      <c r="AI375" s="2532"/>
      <c r="AJ375" s="2532"/>
      <c r="AK375" s="601"/>
      <c r="AL375" s="601"/>
      <c r="AM375" s="601"/>
      <c r="AN375" s="595"/>
      <c r="AO375" s="595"/>
      <c r="AP375" s="692">
        <f>IF(C422="Yes",3,0)</f>
        <v>0</v>
      </c>
      <c r="AS375" s="2531">
        <f>IF(AQ379=0,AQ388,AQ379)</f>
        <v>10</v>
      </c>
      <c r="AT375" s="2531"/>
    </row>
    <row r="376" spans="1:46" s="549" customFormat="1" ht="12.75" customHeight="1">
      <c r="A376" s="601"/>
      <c r="B376" s="609"/>
      <c r="C376" s="2532"/>
      <c r="D376" s="2532"/>
      <c r="E376" s="2532"/>
      <c r="F376" s="2532"/>
      <c r="G376" s="2532"/>
      <c r="H376" s="2532"/>
      <c r="I376" s="2532"/>
      <c r="J376" s="2532"/>
      <c r="K376" s="2532"/>
      <c r="L376" s="2532"/>
      <c r="M376" s="2532"/>
      <c r="N376" s="2532"/>
      <c r="O376" s="2532"/>
      <c r="P376" s="2532"/>
      <c r="Q376" s="2532"/>
      <c r="R376" s="2532"/>
      <c r="S376" s="2532"/>
      <c r="T376" s="2532"/>
      <c r="U376" s="2532"/>
      <c r="V376" s="2532"/>
      <c r="W376" s="2532"/>
      <c r="X376" s="2532"/>
      <c r="Y376" s="2532"/>
      <c r="Z376" s="2532"/>
      <c r="AA376" s="2532"/>
      <c r="AB376" s="2532"/>
      <c r="AC376" s="2532"/>
      <c r="AD376" s="2532"/>
      <c r="AE376" s="2532"/>
      <c r="AF376" s="2532"/>
      <c r="AG376" s="2532"/>
      <c r="AH376" s="2532"/>
      <c r="AI376" s="2532"/>
      <c r="AJ376" s="2532"/>
      <c r="AK376" s="601"/>
      <c r="AL376" s="601"/>
      <c r="AM376" s="601"/>
      <c r="AN376" s="595"/>
      <c r="AO376" s="691" t="s">
        <v>762</v>
      </c>
      <c r="AP376" s="692">
        <f>IF(C425="Yes",5,0)</f>
        <v>0</v>
      </c>
    </row>
    <row r="377" spans="1:46" s="549" customFormat="1" ht="12.75" customHeight="1">
      <c r="A377" s="601"/>
      <c r="B377" s="609"/>
      <c r="C377" s="2532"/>
      <c r="D377" s="2532"/>
      <c r="E377" s="2532"/>
      <c r="F377" s="2532"/>
      <c r="G377" s="2532"/>
      <c r="H377" s="2532"/>
      <c r="I377" s="2532"/>
      <c r="J377" s="2532"/>
      <c r="K377" s="2532"/>
      <c r="L377" s="2532"/>
      <c r="M377" s="2532"/>
      <c r="N377" s="2532"/>
      <c r="O377" s="2532"/>
      <c r="P377" s="2532"/>
      <c r="Q377" s="2532"/>
      <c r="R377" s="2532"/>
      <c r="S377" s="2532"/>
      <c r="T377" s="2532"/>
      <c r="U377" s="2532"/>
      <c r="V377" s="2532"/>
      <c r="W377" s="2532"/>
      <c r="X377" s="2532"/>
      <c r="Y377" s="2532"/>
      <c r="Z377" s="2532"/>
      <c r="AA377" s="2532"/>
      <c r="AB377" s="2532"/>
      <c r="AC377" s="2532"/>
      <c r="AD377" s="2532"/>
      <c r="AE377" s="2532"/>
      <c r="AF377" s="2532"/>
      <c r="AG377" s="2532"/>
      <c r="AH377" s="2532"/>
      <c r="AI377" s="2532"/>
      <c r="AJ377" s="2532"/>
      <c r="AK377" s="601"/>
      <c r="AL377" s="601"/>
      <c r="AM377" s="601"/>
      <c r="AN377" s="595"/>
      <c r="AO377" s="691" t="s">
        <v>583</v>
      </c>
      <c r="AP377" s="692">
        <f>IF(C434="Yes",5,0)</f>
        <v>0</v>
      </c>
    </row>
    <row r="378" spans="1:46" s="549" customFormat="1" ht="11.85" customHeight="1">
      <c r="A378" s="601"/>
      <c r="B378" s="609"/>
      <c r="C378" s="2532"/>
      <c r="D378" s="2532"/>
      <c r="E378" s="2532"/>
      <c r="F378" s="2532"/>
      <c r="G378" s="2532"/>
      <c r="H378" s="2532"/>
      <c r="I378" s="2532"/>
      <c r="J378" s="2532"/>
      <c r="K378" s="2532"/>
      <c r="L378" s="2532"/>
      <c r="M378" s="2532"/>
      <c r="N378" s="2532"/>
      <c r="O378" s="2532"/>
      <c r="P378" s="2532"/>
      <c r="Q378" s="2532"/>
      <c r="R378" s="2532"/>
      <c r="S378" s="2532"/>
      <c r="T378" s="2532"/>
      <c r="U378" s="2532"/>
      <c r="V378" s="2532"/>
      <c r="W378" s="2532"/>
      <c r="X378" s="2532"/>
      <c r="Y378" s="2532"/>
      <c r="Z378" s="2532"/>
      <c r="AA378" s="2532"/>
      <c r="AB378" s="2532"/>
      <c r="AC378" s="2532"/>
      <c r="AD378" s="2532"/>
      <c r="AE378" s="2532"/>
      <c r="AF378" s="2532"/>
      <c r="AG378" s="2532"/>
      <c r="AH378" s="2532"/>
      <c r="AI378" s="2532"/>
      <c r="AJ378" s="2532"/>
      <c r="AK378" s="601"/>
      <c r="AL378" s="601"/>
      <c r="AM378" s="601"/>
      <c r="AN378" s="595"/>
      <c r="AO378" s="693"/>
      <c r="AP378" s="694">
        <f>IF(C436="Yes",3,0)</f>
        <v>0</v>
      </c>
    </row>
    <row r="379" spans="1:46" s="549" customFormat="1" ht="12.4" customHeight="1">
      <c r="A379" s="601"/>
      <c r="B379" s="609"/>
      <c r="C379" s="2532"/>
      <c r="D379" s="2532"/>
      <c r="E379" s="2532"/>
      <c r="F379" s="2532"/>
      <c r="G379" s="2532"/>
      <c r="H379" s="2532"/>
      <c r="I379" s="2532"/>
      <c r="J379" s="2532"/>
      <c r="K379" s="2532"/>
      <c r="L379" s="2532"/>
      <c r="M379" s="2532"/>
      <c r="N379" s="2532"/>
      <c r="O379" s="2532"/>
      <c r="P379" s="2532"/>
      <c r="Q379" s="2532"/>
      <c r="R379" s="2532"/>
      <c r="S379" s="2532"/>
      <c r="T379" s="2532"/>
      <c r="U379" s="2532"/>
      <c r="V379" s="2532"/>
      <c r="W379" s="2532"/>
      <c r="X379" s="2532"/>
      <c r="Y379" s="2532"/>
      <c r="Z379" s="2532"/>
      <c r="AA379" s="2532"/>
      <c r="AB379" s="2532"/>
      <c r="AC379" s="2532"/>
      <c r="AD379" s="2532"/>
      <c r="AE379" s="2532"/>
      <c r="AF379" s="2532"/>
      <c r="AG379" s="2532"/>
      <c r="AH379" s="2532"/>
      <c r="AI379" s="2532"/>
      <c r="AJ379" s="2532"/>
      <c r="AK379" s="601"/>
      <c r="AL379" s="601"/>
      <c r="AM379" s="601"/>
      <c r="AN379" s="595"/>
      <c r="AO379" s="695" t="s">
        <v>227</v>
      </c>
      <c r="AP379" s="696">
        <f>SUM(AP370:AP378)</f>
        <v>10</v>
      </c>
      <c r="AQ379" s="2466">
        <f>IF(AP379&gt;0,AP379,0)</f>
        <v>10</v>
      </c>
      <c r="AR379" s="2466"/>
    </row>
    <row r="380" spans="1:46" s="549" customFormat="1" ht="12.75" customHeight="1">
      <c r="A380" s="601"/>
      <c r="B380" s="609"/>
      <c r="C380" s="2532"/>
      <c r="D380" s="2532"/>
      <c r="E380" s="2532"/>
      <c r="F380" s="2532"/>
      <c r="G380" s="2532"/>
      <c r="H380" s="2532"/>
      <c r="I380" s="2532"/>
      <c r="J380" s="2532"/>
      <c r="K380" s="2532"/>
      <c r="L380" s="2532"/>
      <c r="M380" s="2532"/>
      <c r="N380" s="2532"/>
      <c r="O380" s="2532"/>
      <c r="P380" s="2532"/>
      <c r="Q380" s="2532"/>
      <c r="R380" s="2532"/>
      <c r="S380" s="2532"/>
      <c r="T380" s="2532"/>
      <c r="U380" s="2532"/>
      <c r="V380" s="2532"/>
      <c r="W380" s="2532"/>
      <c r="X380" s="2532"/>
      <c r="Y380" s="2532"/>
      <c r="Z380" s="2532"/>
      <c r="AA380" s="2532"/>
      <c r="AB380" s="2532"/>
      <c r="AC380" s="2532"/>
      <c r="AD380" s="2532"/>
      <c r="AE380" s="2532"/>
      <c r="AF380" s="2532"/>
      <c r="AG380" s="2532"/>
      <c r="AH380" s="2532"/>
      <c r="AI380" s="2532"/>
      <c r="AJ380" s="253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3" t="s">
        <v>1448</v>
      </c>
      <c r="D382" s="2463"/>
      <c r="E382" s="2463"/>
      <c r="F382" s="2463"/>
      <c r="G382" s="2463"/>
      <c r="H382" s="2463"/>
      <c r="I382" s="2463"/>
      <c r="J382" s="2463"/>
      <c r="K382" s="2463"/>
      <c r="L382" s="2463"/>
      <c r="M382" s="2463"/>
      <c r="N382" s="2463"/>
      <c r="O382" s="2463"/>
      <c r="P382" s="2463"/>
      <c r="Q382" s="2463"/>
      <c r="R382" s="2463"/>
      <c r="S382" s="2463"/>
      <c r="T382" s="2463"/>
      <c r="U382" s="2463"/>
      <c r="V382" s="2463"/>
      <c r="W382" s="2463"/>
      <c r="X382" s="2463"/>
      <c r="Y382" s="2463"/>
      <c r="Z382" s="2463"/>
      <c r="AA382" s="2463"/>
      <c r="AB382" s="2463"/>
      <c r="AC382" s="2463"/>
      <c r="AD382" s="2463"/>
      <c r="AE382" s="2463"/>
      <c r="AF382" s="2463"/>
      <c r="AG382" s="2463"/>
      <c r="AH382" s="2463"/>
      <c r="AI382" s="2463"/>
      <c r="AJ382" s="2463"/>
      <c r="AK382" s="601"/>
      <c r="AL382" s="601"/>
      <c r="AM382" s="601"/>
      <c r="AN382" s="595"/>
      <c r="AO382" s="691" t="s">
        <v>455</v>
      </c>
      <c r="AP382" s="692">
        <f>IF(C455="Yes",5,0)</f>
        <v>0</v>
      </c>
    </row>
    <row r="383" spans="1:46" s="549" customFormat="1" ht="12.75" customHeight="1">
      <c r="A383" s="601"/>
      <c r="B383" s="609"/>
      <c r="C383" s="2463"/>
      <c r="D383" s="2463"/>
      <c r="E383" s="2463"/>
      <c r="F383" s="2463"/>
      <c r="G383" s="2463"/>
      <c r="H383" s="2463"/>
      <c r="I383" s="2463"/>
      <c r="J383" s="2463"/>
      <c r="K383" s="2463"/>
      <c r="L383" s="2463"/>
      <c r="M383" s="2463"/>
      <c r="N383" s="2463"/>
      <c r="O383" s="2463"/>
      <c r="P383" s="2463"/>
      <c r="Q383" s="2463"/>
      <c r="R383" s="2463"/>
      <c r="S383" s="2463"/>
      <c r="T383" s="2463"/>
      <c r="U383" s="2463"/>
      <c r="V383" s="2463"/>
      <c r="W383" s="2463"/>
      <c r="X383" s="2463"/>
      <c r="Y383" s="2463"/>
      <c r="Z383" s="2463"/>
      <c r="AA383" s="2463"/>
      <c r="AB383" s="2463"/>
      <c r="AC383" s="2463"/>
      <c r="AD383" s="2463"/>
      <c r="AE383" s="2463"/>
      <c r="AF383" s="2463"/>
      <c r="AG383" s="2463"/>
      <c r="AH383" s="2463"/>
      <c r="AI383" s="2463"/>
      <c r="AJ383" s="2463"/>
      <c r="AK383" s="601"/>
      <c r="AL383" s="601"/>
      <c r="AM383" s="601"/>
      <c r="AN383" s="595"/>
      <c r="AO383" s="691" t="s">
        <v>460</v>
      </c>
      <c r="AP383" s="692">
        <f>IF(C462="Yes",5,0)</f>
        <v>0</v>
      </c>
    </row>
    <row r="384" spans="1:46" s="549" customFormat="1" ht="68.099999999999994" customHeight="1">
      <c r="A384" s="601"/>
      <c r="B384" s="609"/>
      <c r="C384" s="2463"/>
      <c r="D384" s="2463"/>
      <c r="E384" s="2463"/>
      <c r="F384" s="2463"/>
      <c r="G384" s="2463"/>
      <c r="H384" s="2463"/>
      <c r="I384" s="2463"/>
      <c r="J384" s="2463"/>
      <c r="K384" s="2463"/>
      <c r="L384" s="2463"/>
      <c r="M384" s="2463"/>
      <c r="N384" s="2463"/>
      <c r="O384" s="2463"/>
      <c r="P384" s="2463"/>
      <c r="Q384" s="2463"/>
      <c r="R384" s="2463"/>
      <c r="S384" s="2463"/>
      <c r="T384" s="2463"/>
      <c r="U384" s="2463"/>
      <c r="V384" s="2463"/>
      <c r="W384" s="2463"/>
      <c r="X384" s="2463"/>
      <c r="Y384" s="2463"/>
      <c r="Z384" s="2463"/>
      <c r="AA384" s="2463"/>
      <c r="AB384" s="2463"/>
      <c r="AC384" s="2463"/>
      <c r="AD384" s="2463"/>
      <c r="AE384" s="2463"/>
      <c r="AF384" s="2463"/>
      <c r="AG384" s="2463"/>
      <c r="AH384" s="2463"/>
      <c r="AI384" s="2463"/>
      <c r="AJ384" s="2463"/>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4">
        <f>Application!DU810-U387</f>
        <v>54</v>
      </c>
      <c r="V386" s="2464"/>
      <c r="W386" s="2464"/>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5">
        <f>IF(Application!D211="SRO",Application!DU763,Application!AG764)</f>
        <v>0</v>
      </c>
      <c r="V387" s="2465"/>
      <c r="W387" s="246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6">
        <f>IF(AP388&gt;0,AP388,0)</f>
        <v>0</v>
      </c>
      <c r="AR388" s="2466"/>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2" t="s">
        <v>1450</v>
      </c>
      <c r="G390" s="2442"/>
      <c r="H390" s="2442"/>
      <c r="I390" s="2442"/>
      <c r="J390" s="2442"/>
      <c r="K390" s="2442"/>
      <c r="L390" s="2442"/>
      <c r="M390" s="2442"/>
      <c r="N390" s="2442"/>
      <c r="O390" s="2442"/>
      <c r="P390" s="2442"/>
      <c r="Q390" s="2442"/>
      <c r="R390" s="2442"/>
      <c r="S390" s="2442"/>
      <c r="T390" s="2442"/>
      <c r="U390" s="2442"/>
      <c r="V390" s="2442"/>
      <c r="W390" s="2442"/>
      <c r="X390" s="2442"/>
      <c r="Y390" s="2442"/>
      <c r="Z390" s="2442"/>
      <c r="AA390" s="2442"/>
      <c r="AB390" s="2442"/>
      <c r="AC390" s="2442"/>
      <c r="AD390" s="2442"/>
      <c r="AE390" s="2442"/>
      <c r="AF390" s="244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3"/>
      <c r="G391" s="2443"/>
      <c r="H391" s="2443"/>
      <c r="I391" s="2443"/>
      <c r="J391" s="2443"/>
      <c r="K391" s="2443"/>
      <c r="L391" s="2443"/>
      <c r="M391" s="2443"/>
      <c r="N391" s="2443"/>
      <c r="O391" s="2443"/>
      <c r="P391" s="2443"/>
      <c r="Q391" s="2443"/>
      <c r="R391" s="2443"/>
      <c r="S391" s="2443"/>
      <c r="T391" s="2443"/>
      <c r="U391" s="2443"/>
      <c r="V391" s="2443"/>
      <c r="W391" s="2443"/>
      <c r="X391" s="2443"/>
      <c r="Y391" s="2443"/>
      <c r="Z391" s="2443"/>
      <c r="AA391" s="2443"/>
      <c r="AB391" s="2443"/>
      <c r="AC391" s="2443"/>
      <c r="AD391" s="2443"/>
      <c r="AE391" s="2443"/>
      <c r="AF391" s="244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3"/>
      <c r="G392" s="2443"/>
      <c r="H392" s="2443"/>
      <c r="I392" s="2443"/>
      <c r="J392" s="2443"/>
      <c r="K392" s="2443"/>
      <c r="L392" s="2443"/>
      <c r="M392" s="2443"/>
      <c r="N392" s="2443"/>
      <c r="O392" s="2443"/>
      <c r="P392" s="2443"/>
      <c r="Q392" s="2443"/>
      <c r="R392" s="2443"/>
      <c r="S392" s="2443"/>
      <c r="T392" s="2443"/>
      <c r="U392" s="2443"/>
      <c r="V392" s="2443"/>
      <c r="W392" s="2443"/>
      <c r="X392" s="2443"/>
      <c r="Y392" s="2443"/>
      <c r="Z392" s="2443"/>
      <c r="AA392" s="2443"/>
      <c r="AB392" s="2443"/>
      <c r="AC392" s="2443"/>
      <c r="AD392" s="2443"/>
      <c r="AE392" s="2443"/>
      <c r="AF392" s="244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3"/>
      <c r="G393" s="2443"/>
      <c r="H393" s="2443"/>
      <c r="I393" s="2443"/>
      <c r="J393" s="2443"/>
      <c r="K393" s="2443"/>
      <c r="L393" s="2443"/>
      <c r="M393" s="2443"/>
      <c r="N393" s="2443"/>
      <c r="O393" s="2443"/>
      <c r="P393" s="2443"/>
      <c r="Q393" s="2443"/>
      <c r="R393" s="2443"/>
      <c r="S393" s="2443"/>
      <c r="T393" s="2443"/>
      <c r="U393" s="2443"/>
      <c r="V393" s="2443"/>
      <c r="W393" s="2443"/>
      <c r="X393" s="2443"/>
      <c r="Y393" s="2443"/>
      <c r="Z393" s="2443"/>
      <c r="AA393" s="2443"/>
      <c r="AB393" s="2443"/>
      <c r="AC393" s="2443"/>
      <c r="AD393" s="2443"/>
      <c r="AE393" s="2443"/>
      <c r="AF393" s="244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7" t="s">
        <v>544</v>
      </c>
      <c r="D394" s="2414"/>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8" t="s">
        <v>1452</v>
      </c>
      <c r="AG394" s="2468"/>
      <c r="AH394" s="2468"/>
      <c r="AI394" s="2468"/>
      <c r="AJ394" s="2468"/>
      <c r="AK394" s="2468"/>
      <c r="AL394" s="246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2" t="s">
        <v>1453</v>
      </c>
      <c r="G397" s="2442"/>
      <c r="H397" s="2442"/>
      <c r="I397" s="2442"/>
      <c r="J397" s="2442"/>
      <c r="K397" s="2442"/>
      <c r="L397" s="2442"/>
      <c r="M397" s="2442"/>
      <c r="N397" s="2442"/>
      <c r="O397" s="2442"/>
      <c r="P397" s="2442"/>
      <c r="Q397" s="2442"/>
      <c r="R397" s="2442"/>
      <c r="S397" s="2442"/>
      <c r="T397" s="2442"/>
      <c r="U397" s="2442"/>
      <c r="V397" s="2442"/>
      <c r="W397" s="2442"/>
      <c r="X397" s="2442"/>
      <c r="Y397" s="2442"/>
      <c r="Z397" s="2442"/>
      <c r="AA397" s="2442"/>
      <c r="AB397" s="2442"/>
      <c r="AC397" s="2442"/>
      <c r="AD397" s="2442"/>
      <c r="AE397" s="2442"/>
      <c r="AF397" s="244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3"/>
      <c r="G398" s="2443"/>
      <c r="H398" s="2443"/>
      <c r="I398" s="2443"/>
      <c r="J398" s="2443"/>
      <c r="K398" s="2443"/>
      <c r="L398" s="2443"/>
      <c r="M398" s="2443"/>
      <c r="N398" s="2443"/>
      <c r="O398" s="2443"/>
      <c r="P398" s="2443"/>
      <c r="Q398" s="2443"/>
      <c r="R398" s="2443"/>
      <c r="S398" s="2443"/>
      <c r="T398" s="2443"/>
      <c r="U398" s="2443"/>
      <c r="V398" s="2443"/>
      <c r="W398" s="2443"/>
      <c r="X398" s="2443"/>
      <c r="Y398" s="2443"/>
      <c r="Z398" s="2443"/>
      <c r="AA398" s="2443"/>
      <c r="AB398" s="2443"/>
      <c r="AC398" s="2443"/>
      <c r="AD398" s="2443"/>
      <c r="AE398" s="2443"/>
      <c r="AF398" s="244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3"/>
      <c r="G399" s="2443"/>
      <c r="H399" s="2443"/>
      <c r="I399" s="2443"/>
      <c r="J399" s="2443"/>
      <c r="K399" s="2443"/>
      <c r="L399" s="2443"/>
      <c r="M399" s="2443"/>
      <c r="N399" s="2443"/>
      <c r="O399" s="2443"/>
      <c r="P399" s="2443"/>
      <c r="Q399" s="2443"/>
      <c r="R399" s="2443"/>
      <c r="S399" s="2443"/>
      <c r="T399" s="2443"/>
      <c r="U399" s="2443"/>
      <c r="V399" s="2443"/>
      <c r="W399" s="2443"/>
      <c r="X399" s="2443"/>
      <c r="Y399" s="2443"/>
      <c r="Z399" s="2443"/>
      <c r="AA399" s="2443"/>
      <c r="AB399" s="2443"/>
      <c r="AC399" s="2443"/>
      <c r="AD399" s="2443"/>
      <c r="AE399" s="2443"/>
      <c r="AF399" s="244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3"/>
      <c r="G400" s="2443"/>
      <c r="H400" s="2443"/>
      <c r="I400" s="2443"/>
      <c r="J400" s="2443"/>
      <c r="K400" s="2443"/>
      <c r="L400" s="2443"/>
      <c r="M400" s="2443"/>
      <c r="N400" s="2443"/>
      <c r="O400" s="2443"/>
      <c r="P400" s="2443"/>
      <c r="Q400" s="2443"/>
      <c r="R400" s="2443"/>
      <c r="S400" s="2443"/>
      <c r="T400" s="2443"/>
      <c r="U400" s="2443"/>
      <c r="V400" s="2443"/>
      <c r="W400" s="2443"/>
      <c r="X400" s="2443"/>
      <c r="Y400" s="2443"/>
      <c r="Z400" s="2443"/>
      <c r="AA400" s="2443"/>
      <c r="AB400" s="2443"/>
      <c r="AC400" s="2443"/>
      <c r="AD400" s="2443"/>
      <c r="AE400" s="2443"/>
      <c r="AF400" s="244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3"/>
      <c r="G401" s="2443"/>
      <c r="H401" s="2443"/>
      <c r="I401" s="2443"/>
      <c r="J401" s="2443"/>
      <c r="K401" s="2443"/>
      <c r="L401" s="2443"/>
      <c r="M401" s="2443"/>
      <c r="N401" s="2443"/>
      <c r="O401" s="2443"/>
      <c r="P401" s="2443"/>
      <c r="Q401" s="2443"/>
      <c r="R401" s="2443"/>
      <c r="S401" s="2443"/>
      <c r="T401" s="2443"/>
      <c r="U401" s="2443"/>
      <c r="V401" s="2443"/>
      <c r="W401" s="2443"/>
      <c r="X401" s="2443"/>
      <c r="Y401" s="2443"/>
      <c r="Z401" s="2443"/>
      <c r="AA401" s="2443"/>
      <c r="AB401" s="2443"/>
      <c r="AC401" s="2443"/>
      <c r="AD401" s="2443"/>
      <c r="AE401" s="2443"/>
      <c r="AF401" s="2443"/>
      <c r="AL401" s="728"/>
      <c r="AN401" s="595"/>
      <c r="BS401" s="30"/>
      <c r="BT401" s="30"/>
      <c r="BU401" s="14"/>
      <c r="BV401" s="14"/>
      <c r="BW401" s="14"/>
      <c r="BX401" s="14"/>
      <c r="BY401" s="14"/>
      <c r="BZ401" s="14"/>
      <c r="CA401" s="14"/>
      <c r="CB401" s="14"/>
      <c r="CC401" s="14"/>
    </row>
    <row r="402" spans="1:81" s="549" customFormat="1" ht="12.75" customHeight="1">
      <c r="A402" s="536"/>
      <c r="B402" s="14"/>
      <c r="C402" s="2467" t="s">
        <v>544</v>
      </c>
      <c r="D402" s="2414"/>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8" t="s">
        <v>1452</v>
      </c>
      <c r="AG402" s="2468"/>
      <c r="AH402" s="2468"/>
      <c r="AI402" s="2468"/>
      <c r="AJ402" s="2468"/>
      <c r="AK402" s="2468"/>
      <c r="AL402" s="246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2" t="s">
        <v>1455</v>
      </c>
      <c r="G405" s="2442"/>
      <c r="H405" s="2442"/>
      <c r="I405" s="2442"/>
      <c r="J405" s="2442"/>
      <c r="K405" s="2442"/>
      <c r="L405" s="2442"/>
      <c r="M405" s="2442"/>
      <c r="N405" s="2442"/>
      <c r="O405" s="2442"/>
      <c r="P405" s="2442"/>
      <c r="Q405" s="2442"/>
      <c r="R405" s="2442"/>
      <c r="S405" s="2442"/>
      <c r="T405" s="2442"/>
      <c r="U405" s="2442"/>
      <c r="V405" s="2442"/>
      <c r="W405" s="2442"/>
      <c r="X405" s="2442"/>
      <c r="Y405" s="2442"/>
      <c r="Z405" s="2442"/>
      <c r="AA405" s="2442"/>
      <c r="AB405" s="2442"/>
      <c r="AC405" s="2442"/>
      <c r="AD405" s="2442"/>
      <c r="AE405" s="2442"/>
      <c r="AF405" s="244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3"/>
      <c r="G406" s="2443"/>
      <c r="H406" s="2443"/>
      <c r="I406" s="2443"/>
      <c r="J406" s="2443"/>
      <c r="K406" s="2443"/>
      <c r="L406" s="2443"/>
      <c r="M406" s="2443"/>
      <c r="N406" s="2443"/>
      <c r="O406" s="2443"/>
      <c r="P406" s="2443"/>
      <c r="Q406" s="2443"/>
      <c r="R406" s="2443"/>
      <c r="S406" s="2443"/>
      <c r="T406" s="2443"/>
      <c r="U406" s="2443"/>
      <c r="V406" s="2443"/>
      <c r="W406" s="2443"/>
      <c r="X406" s="2443"/>
      <c r="Y406" s="2443"/>
      <c r="Z406" s="2443"/>
      <c r="AA406" s="2443"/>
      <c r="AB406" s="2443"/>
      <c r="AC406" s="2443"/>
      <c r="AD406" s="2443"/>
      <c r="AE406" s="2443"/>
      <c r="AF406" s="244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3"/>
      <c r="G407" s="2443"/>
      <c r="H407" s="2443"/>
      <c r="I407" s="2443"/>
      <c r="J407" s="2443"/>
      <c r="K407" s="2443"/>
      <c r="L407" s="2443"/>
      <c r="M407" s="2443"/>
      <c r="N407" s="2443"/>
      <c r="O407" s="2443"/>
      <c r="P407" s="2443"/>
      <c r="Q407" s="2443"/>
      <c r="R407" s="2443"/>
      <c r="S407" s="2443"/>
      <c r="T407" s="2443"/>
      <c r="U407" s="2443"/>
      <c r="V407" s="2443"/>
      <c r="W407" s="2443"/>
      <c r="X407" s="2443"/>
      <c r="Y407" s="2443"/>
      <c r="Z407" s="2443"/>
      <c r="AA407" s="2443"/>
      <c r="AB407" s="2443"/>
      <c r="AC407" s="2443"/>
      <c r="AD407" s="2443"/>
      <c r="AE407" s="2443"/>
      <c r="AF407" s="244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3"/>
      <c r="G408" s="2443"/>
      <c r="H408" s="2443"/>
      <c r="I408" s="2443"/>
      <c r="J408" s="2443"/>
      <c r="K408" s="2443"/>
      <c r="L408" s="2443"/>
      <c r="M408" s="2443"/>
      <c r="N408" s="2443"/>
      <c r="O408" s="2443"/>
      <c r="P408" s="2443"/>
      <c r="Q408" s="2443"/>
      <c r="R408" s="2443"/>
      <c r="S408" s="2443"/>
      <c r="T408" s="2443"/>
      <c r="U408" s="2443"/>
      <c r="V408" s="2443"/>
      <c r="W408" s="2443"/>
      <c r="X408" s="2443"/>
      <c r="Y408" s="2443"/>
      <c r="Z408" s="2443"/>
      <c r="AA408" s="2443"/>
      <c r="AB408" s="2443"/>
      <c r="AC408" s="2443"/>
      <c r="AD408" s="2443"/>
      <c r="AE408" s="2443"/>
      <c r="AF408" s="244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3"/>
      <c r="G409" s="2443"/>
      <c r="H409" s="2443"/>
      <c r="I409" s="2443"/>
      <c r="J409" s="2443"/>
      <c r="K409" s="2443"/>
      <c r="L409" s="2443"/>
      <c r="M409" s="2443"/>
      <c r="N409" s="2443"/>
      <c r="O409" s="2443"/>
      <c r="P409" s="2443"/>
      <c r="Q409" s="2443"/>
      <c r="R409" s="2443"/>
      <c r="S409" s="2443"/>
      <c r="T409" s="2443"/>
      <c r="U409" s="2443"/>
      <c r="V409" s="2443"/>
      <c r="W409" s="2443"/>
      <c r="X409" s="2443"/>
      <c r="Y409" s="2443"/>
      <c r="Z409" s="2443"/>
      <c r="AA409" s="2443"/>
      <c r="AB409" s="2443"/>
      <c r="AC409" s="2443"/>
      <c r="AD409" s="2443"/>
      <c r="AE409" s="2443"/>
      <c r="AF409" s="244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7" t="s">
        <v>590</v>
      </c>
      <c r="D410" s="2414"/>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8" t="s">
        <v>1457</v>
      </c>
      <c r="AG410" s="2468"/>
      <c r="AH410" s="2468"/>
      <c r="AI410" s="2468"/>
      <c r="AJ410" s="2468"/>
      <c r="AK410" s="2468"/>
      <c r="AL410" s="246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7" t="s">
        <v>590</v>
      </c>
      <c r="D412" s="2414"/>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8" t="s">
        <v>1452</v>
      </c>
      <c r="AG412" s="2468"/>
      <c r="AH412" s="2468"/>
      <c r="AI412" s="2468"/>
      <c r="AJ412" s="2468"/>
      <c r="AK412" s="2468"/>
      <c r="AL412" s="246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2" t="s">
        <v>1461</v>
      </c>
      <c r="G416" s="2442"/>
      <c r="H416" s="2442"/>
      <c r="I416" s="2442"/>
      <c r="J416" s="2442"/>
      <c r="K416" s="2442"/>
      <c r="L416" s="2442"/>
      <c r="M416" s="2442"/>
      <c r="N416" s="2442"/>
      <c r="O416" s="2442"/>
      <c r="P416" s="2442"/>
      <c r="Q416" s="2442"/>
      <c r="R416" s="2442"/>
      <c r="S416" s="2442"/>
      <c r="T416" s="2442"/>
      <c r="U416" s="2442"/>
      <c r="V416" s="2442"/>
      <c r="W416" s="2442"/>
      <c r="X416" s="2442"/>
      <c r="Y416" s="2442"/>
      <c r="Z416" s="2442"/>
      <c r="AA416" s="2442"/>
      <c r="AB416" s="2442"/>
      <c r="AC416" s="2442"/>
      <c r="AD416" s="2442"/>
      <c r="AE416" s="2442"/>
      <c r="AF416" s="244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3"/>
      <c r="G417" s="2443"/>
      <c r="H417" s="2443"/>
      <c r="I417" s="2443"/>
      <c r="J417" s="2443"/>
      <c r="K417" s="2443"/>
      <c r="L417" s="2443"/>
      <c r="M417" s="2443"/>
      <c r="N417" s="2443"/>
      <c r="O417" s="2443"/>
      <c r="P417" s="2443"/>
      <c r="Q417" s="2443"/>
      <c r="R417" s="2443"/>
      <c r="S417" s="2443"/>
      <c r="T417" s="2443"/>
      <c r="U417" s="2443"/>
      <c r="V417" s="2443"/>
      <c r="W417" s="2443"/>
      <c r="X417" s="2443"/>
      <c r="Y417" s="2443"/>
      <c r="Z417" s="2443"/>
      <c r="AA417" s="2443"/>
      <c r="AB417" s="2443"/>
      <c r="AC417" s="2443"/>
      <c r="AD417" s="2443"/>
      <c r="AE417" s="2443"/>
      <c r="AF417" s="244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3"/>
      <c r="G418" s="2443"/>
      <c r="H418" s="2443"/>
      <c r="I418" s="2443"/>
      <c r="J418" s="2443"/>
      <c r="K418" s="2443"/>
      <c r="L418" s="2443"/>
      <c r="M418" s="2443"/>
      <c r="N418" s="2443"/>
      <c r="O418" s="2443"/>
      <c r="P418" s="2443"/>
      <c r="Q418" s="2443"/>
      <c r="R418" s="2443"/>
      <c r="S418" s="2443"/>
      <c r="T418" s="2443"/>
      <c r="U418" s="2443"/>
      <c r="V418" s="2443"/>
      <c r="W418" s="2443"/>
      <c r="X418" s="2443"/>
      <c r="Y418" s="2443"/>
      <c r="Z418" s="2443"/>
      <c r="AA418" s="2443"/>
      <c r="AB418" s="2443"/>
      <c r="AC418" s="2443"/>
      <c r="AD418" s="2443"/>
      <c r="AE418" s="2443"/>
      <c r="AF418" s="244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3"/>
      <c r="G419" s="2443"/>
      <c r="H419" s="2443"/>
      <c r="I419" s="2443"/>
      <c r="J419" s="2443"/>
      <c r="K419" s="2443"/>
      <c r="L419" s="2443"/>
      <c r="M419" s="2443"/>
      <c r="N419" s="2443"/>
      <c r="O419" s="2443"/>
      <c r="P419" s="2443"/>
      <c r="Q419" s="2443"/>
      <c r="R419" s="2443"/>
      <c r="S419" s="2443"/>
      <c r="T419" s="2443"/>
      <c r="U419" s="2443"/>
      <c r="V419" s="2443"/>
      <c r="W419" s="2443"/>
      <c r="X419" s="2443"/>
      <c r="Y419" s="2443"/>
      <c r="Z419" s="2443"/>
      <c r="AA419" s="2443"/>
      <c r="AB419" s="2443"/>
      <c r="AC419" s="2443"/>
      <c r="AD419" s="2443"/>
      <c r="AE419" s="2443"/>
      <c r="AF419" s="244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7" t="s">
        <v>590</v>
      </c>
      <c r="D420" s="2414"/>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8" t="s">
        <v>1452</v>
      </c>
      <c r="AG420" s="2468"/>
      <c r="AH420" s="2468"/>
      <c r="AI420" s="2468"/>
      <c r="AJ420" s="2468"/>
      <c r="AK420" s="2468"/>
      <c r="AL420" s="246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7" t="s">
        <v>590</v>
      </c>
      <c r="D422" s="2414"/>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8" t="s">
        <v>1464</v>
      </c>
      <c r="AG422" s="2468"/>
      <c r="AH422" s="2468"/>
      <c r="AI422" s="2468"/>
      <c r="AJ422" s="2468"/>
      <c r="AK422" s="2468"/>
      <c r="AL422" s="246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7" t="s">
        <v>590</v>
      </c>
      <c r="D425" s="2414"/>
      <c r="E425" s="711" t="s">
        <v>1465</v>
      </c>
      <c r="F425" s="2442" t="s">
        <v>1466</v>
      </c>
      <c r="G425" s="2442"/>
      <c r="H425" s="2442"/>
      <c r="I425" s="2442"/>
      <c r="J425" s="2442"/>
      <c r="K425" s="2442"/>
      <c r="L425" s="2442"/>
      <c r="M425" s="2442"/>
      <c r="N425" s="2442"/>
      <c r="O425" s="2442"/>
      <c r="P425" s="2442"/>
      <c r="Q425" s="2442"/>
      <c r="R425" s="2442"/>
      <c r="S425" s="2442"/>
      <c r="T425" s="2442"/>
      <c r="U425" s="2442"/>
      <c r="V425" s="2442"/>
      <c r="W425" s="2442"/>
      <c r="X425" s="2442"/>
      <c r="Y425" s="2442"/>
      <c r="Z425" s="2442"/>
      <c r="AA425" s="2442"/>
      <c r="AB425" s="2442"/>
      <c r="AC425" s="2442"/>
      <c r="AD425" s="2442"/>
      <c r="AE425" s="244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3"/>
      <c r="G426" s="2443"/>
      <c r="H426" s="2443"/>
      <c r="I426" s="2443"/>
      <c r="J426" s="2443"/>
      <c r="K426" s="2443"/>
      <c r="L426" s="2443"/>
      <c r="M426" s="2443"/>
      <c r="N426" s="2443"/>
      <c r="O426" s="2443"/>
      <c r="P426" s="2443"/>
      <c r="Q426" s="2443"/>
      <c r="R426" s="2443"/>
      <c r="S426" s="2443"/>
      <c r="T426" s="2443"/>
      <c r="U426" s="2443"/>
      <c r="V426" s="2443"/>
      <c r="W426" s="2443"/>
      <c r="X426" s="2443"/>
      <c r="Y426" s="2443"/>
      <c r="Z426" s="2443"/>
      <c r="AA426" s="2443"/>
      <c r="AB426" s="2443"/>
      <c r="AC426" s="2443"/>
      <c r="AD426" s="2443"/>
      <c r="AE426" s="2443"/>
      <c r="AF426" s="2393" t="s">
        <v>1452</v>
      </c>
      <c r="AG426" s="2393"/>
      <c r="AH426" s="2393"/>
      <c r="AI426" s="2393"/>
      <c r="AJ426" s="2393"/>
      <c r="AK426" s="2393"/>
      <c r="AL426" s="2474"/>
      <c r="AM426" s="568"/>
      <c r="AN426" s="595"/>
      <c r="BS426" s="568"/>
      <c r="BT426" s="568"/>
      <c r="BY426" s="568"/>
      <c r="BZ426" s="568"/>
      <c r="CA426" s="568"/>
      <c r="CB426" s="568"/>
      <c r="CC426" s="568"/>
    </row>
    <row r="427" spans="1:81" s="549" customFormat="1" ht="12.75" customHeight="1">
      <c r="A427" s="536"/>
      <c r="B427" s="14"/>
      <c r="C427" s="727"/>
      <c r="D427" s="14"/>
      <c r="E427" s="687"/>
      <c r="F427" s="2443"/>
      <c r="G427" s="2443"/>
      <c r="H427" s="2443"/>
      <c r="I427" s="2443"/>
      <c r="J427" s="2443"/>
      <c r="K427" s="2443"/>
      <c r="L427" s="2443"/>
      <c r="M427" s="2443"/>
      <c r="N427" s="2443"/>
      <c r="O427" s="2443"/>
      <c r="P427" s="2443"/>
      <c r="Q427" s="2443"/>
      <c r="R427" s="2443"/>
      <c r="S427" s="2443"/>
      <c r="T427" s="2443"/>
      <c r="U427" s="2443"/>
      <c r="V427" s="2443"/>
      <c r="W427" s="2443"/>
      <c r="X427" s="2443"/>
      <c r="Y427" s="2443"/>
      <c r="Z427" s="2443"/>
      <c r="AA427" s="2443"/>
      <c r="AB427" s="2443"/>
      <c r="AC427" s="2443"/>
      <c r="AD427" s="2443"/>
      <c r="AE427" s="244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4"/>
      <c r="G428" s="2444"/>
      <c r="H428" s="2444"/>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44"/>
      <c r="AD428" s="2444"/>
      <c r="AE428" s="24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2" t="s">
        <v>1468</v>
      </c>
      <c r="G430" s="2442"/>
      <c r="H430" s="2442"/>
      <c r="I430" s="2442"/>
      <c r="J430" s="2442"/>
      <c r="K430" s="2442"/>
      <c r="L430" s="2442"/>
      <c r="M430" s="2442"/>
      <c r="N430" s="2442"/>
      <c r="O430" s="2442"/>
      <c r="P430" s="2442"/>
      <c r="Q430" s="2442"/>
      <c r="R430" s="2442"/>
      <c r="S430" s="2442"/>
      <c r="T430" s="2442"/>
      <c r="U430" s="2442"/>
      <c r="V430" s="2442"/>
      <c r="W430" s="2442"/>
      <c r="X430" s="2442"/>
      <c r="Y430" s="2442"/>
      <c r="Z430" s="2442"/>
      <c r="AA430" s="2442"/>
      <c r="AB430" s="2442"/>
      <c r="AC430" s="2442"/>
      <c r="AD430" s="2442"/>
      <c r="AE430" s="2442"/>
      <c r="AF430" s="743"/>
      <c r="AG430" s="743"/>
      <c r="AH430" s="743"/>
      <c r="AI430" s="743"/>
      <c r="AJ430" s="743"/>
      <c r="AK430" s="743"/>
      <c r="AL430" s="744"/>
      <c r="AM430" s="568"/>
    </row>
    <row r="431" spans="1:81">
      <c r="A431" s="536"/>
      <c r="C431" s="727"/>
      <c r="E431" s="687"/>
      <c r="F431" s="2443"/>
      <c r="G431" s="2443"/>
      <c r="H431" s="2443"/>
      <c r="I431" s="2443"/>
      <c r="J431" s="2443"/>
      <c r="K431" s="2443"/>
      <c r="L431" s="2443"/>
      <c r="M431" s="2443"/>
      <c r="N431" s="2443"/>
      <c r="O431" s="2443"/>
      <c r="P431" s="2443"/>
      <c r="Q431" s="2443"/>
      <c r="R431" s="2443"/>
      <c r="S431" s="2443"/>
      <c r="T431" s="2443"/>
      <c r="U431" s="2443"/>
      <c r="V431" s="2443"/>
      <c r="W431" s="2443"/>
      <c r="X431" s="2443"/>
      <c r="Y431" s="2443"/>
      <c r="Z431" s="2443"/>
      <c r="AA431" s="2443"/>
      <c r="AB431" s="2443"/>
      <c r="AC431" s="2443"/>
      <c r="AD431" s="2443"/>
      <c r="AE431" s="2443"/>
      <c r="AF431" s="539"/>
      <c r="AG431" s="536"/>
      <c r="AH431" s="549"/>
      <c r="AI431" s="549"/>
      <c r="AJ431" s="549"/>
      <c r="AK431" s="549"/>
      <c r="AL431" s="728"/>
      <c r="AM431" s="568"/>
    </row>
    <row r="432" spans="1:81" s="549" customFormat="1" ht="12.75" customHeight="1">
      <c r="A432" s="536"/>
      <c r="B432" s="14"/>
      <c r="C432" s="727"/>
      <c r="D432" s="14"/>
      <c r="E432" s="687"/>
      <c r="F432" s="2443"/>
      <c r="G432" s="2443"/>
      <c r="H432" s="2443"/>
      <c r="I432" s="2443"/>
      <c r="J432" s="2443"/>
      <c r="K432" s="2443"/>
      <c r="L432" s="2443"/>
      <c r="M432" s="2443"/>
      <c r="N432" s="2443"/>
      <c r="O432" s="2443"/>
      <c r="P432" s="2443"/>
      <c r="Q432" s="2443"/>
      <c r="R432" s="2443"/>
      <c r="S432" s="2443"/>
      <c r="T432" s="2443"/>
      <c r="U432" s="2443"/>
      <c r="V432" s="2443"/>
      <c r="W432" s="2443"/>
      <c r="X432" s="2443"/>
      <c r="Y432" s="2443"/>
      <c r="Z432" s="2443"/>
      <c r="AA432" s="2443"/>
      <c r="AB432" s="2443"/>
      <c r="AC432" s="2443"/>
      <c r="AD432" s="2443"/>
      <c r="AE432" s="2443"/>
      <c r="AL432" s="728"/>
      <c r="AM432" s="568"/>
      <c r="AN432" s="595"/>
    </row>
    <row r="433" spans="1:60" s="549" customFormat="1" ht="12.75" customHeight="1">
      <c r="A433" s="536"/>
      <c r="B433" s="14"/>
      <c r="C433" s="735"/>
      <c r="F433" s="2443"/>
      <c r="G433" s="2443"/>
      <c r="H433" s="2443"/>
      <c r="I433" s="2443"/>
      <c r="J433" s="2443"/>
      <c r="K433" s="2443"/>
      <c r="L433" s="2443"/>
      <c r="M433" s="2443"/>
      <c r="N433" s="2443"/>
      <c r="O433" s="2443"/>
      <c r="P433" s="2443"/>
      <c r="Q433" s="2443"/>
      <c r="R433" s="2443"/>
      <c r="S433" s="2443"/>
      <c r="T433" s="2443"/>
      <c r="U433" s="2443"/>
      <c r="V433" s="2443"/>
      <c r="W433" s="2443"/>
      <c r="X433" s="2443"/>
      <c r="Y433" s="2443"/>
      <c r="Z433" s="2443"/>
      <c r="AA433" s="2443"/>
      <c r="AB433" s="2443"/>
      <c r="AC433" s="2443"/>
      <c r="AD433" s="2443"/>
      <c r="AE433" s="2443"/>
      <c r="AL433" s="728"/>
      <c r="AM433" s="568"/>
      <c r="AN433" s="595"/>
    </row>
    <row r="434" spans="1:60" s="549" customFormat="1" ht="12.75" customHeight="1">
      <c r="A434" s="536"/>
      <c r="B434" s="14"/>
      <c r="C434" s="2467" t="s">
        <v>590</v>
      </c>
      <c r="D434" s="2414"/>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3" t="s">
        <v>1452</v>
      </c>
      <c r="AG434" s="2393"/>
      <c r="AH434" s="2393"/>
      <c r="AI434" s="2393"/>
      <c r="AJ434" s="2393"/>
      <c r="AK434" s="2393"/>
      <c r="AL434" s="2474"/>
      <c r="AM434" s="568"/>
      <c r="AN434" s="595"/>
    </row>
    <row r="435" spans="1:60" s="549" customFormat="1" ht="12.75" customHeight="1">
      <c r="A435" s="536"/>
      <c r="B435" s="14"/>
      <c r="C435" s="735"/>
      <c r="AL435" s="728"/>
      <c r="AM435" s="568"/>
      <c r="AN435" s="595"/>
    </row>
    <row r="436" spans="1:60" s="549" customFormat="1" ht="12.75" customHeight="1">
      <c r="A436" s="536"/>
      <c r="B436" s="14"/>
      <c r="C436" s="2467" t="s">
        <v>590</v>
      </c>
      <c r="D436" s="2414"/>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3" t="s">
        <v>1464</v>
      </c>
      <c r="AG436" s="2393"/>
      <c r="AH436" s="2393"/>
      <c r="AI436" s="2393"/>
      <c r="AJ436" s="2393"/>
      <c r="AK436" s="2393"/>
      <c r="AL436" s="247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2" t="s">
        <v>1472</v>
      </c>
      <c r="G440" s="2442"/>
      <c r="H440" s="2442"/>
      <c r="I440" s="2442"/>
      <c r="J440" s="2442"/>
      <c r="K440" s="2442"/>
      <c r="L440" s="2442"/>
      <c r="M440" s="2442"/>
      <c r="N440" s="2442"/>
      <c r="O440" s="2442"/>
      <c r="P440" s="2442"/>
      <c r="Q440" s="2442"/>
      <c r="R440" s="2442"/>
      <c r="S440" s="2442"/>
      <c r="T440" s="2442"/>
      <c r="U440" s="2442"/>
      <c r="V440" s="2442"/>
      <c r="W440" s="2442"/>
      <c r="X440" s="2442"/>
      <c r="Y440" s="2442"/>
      <c r="Z440" s="2442"/>
      <c r="AA440" s="2442"/>
      <c r="AB440" s="2442"/>
      <c r="AC440" s="2442"/>
      <c r="AD440" s="2442"/>
      <c r="AE440" s="2442"/>
      <c r="AF440" s="710"/>
      <c r="AG440" s="710"/>
      <c r="AH440" s="710"/>
      <c r="AI440" s="710"/>
      <c r="AJ440" s="710"/>
      <c r="AK440" s="710"/>
      <c r="AL440" s="741"/>
      <c r="AM440" s="568"/>
      <c r="AN440" s="595"/>
    </row>
    <row r="441" spans="1:60" s="549" customFormat="1" ht="12.75" customHeight="1">
      <c r="A441" s="536"/>
      <c r="B441" s="14"/>
      <c r="C441" s="727"/>
      <c r="D441" s="14"/>
      <c r="E441" s="687"/>
      <c r="F441" s="2443"/>
      <c r="G441" s="2443"/>
      <c r="H441" s="2443"/>
      <c r="I441" s="2443"/>
      <c r="J441" s="2443"/>
      <c r="K441" s="2443"/>
      <c r="L441" s="2443"/>
      <c r="M441" s="2443"/>
      <c r="N441" s="2443"/>
      <c r="O441" s="2443"/>
      <c r="P441" s="2443"/>
      <c r="Q441" s="2443"/>
      <c r="R441" s="2443"/>
      <c r="S441" s="2443"/>
      <c r="T441" s="2443"/>
      <c r="U441" s="2443"/>
      <c r="V441" s="2443"/>
      <c r="W441" s="2443"/>
      <c r="X441" s="2443"/>
      <c r="Y441" s="2443"/>
      <c r="Z441" s="2443"/>
      <c r="AA441" s="2443"/>
      <c r="AB441" s="2443"/>
      <c r="AC441" s="2443"/>
      <c r="AD441" s="2443"/>
      <c r="AE441" s="2443"/>
      <c r="AF441" s="539"/>
      <c r="AG441" s="536"/>
      <c r="AL441" s="728"/>
      <c r="AM441" s="568"/>
      <c r="AN441" s="595"/>
    </row>
    <row r="442" spans="1:60" s="549" customFormat="1" ht="12.4" customHeight="1">
      <c r="A442" s="536"/>
      <c r="B442" s="14"/>
      <c r="C442" s="727"/>
      <c r="D442" s="14"/>
      <c r="E442" s="687"/>
      <c r="F442" s="2443"/>
      <c r="G442" s="2443"/>
      <c r="H442" s="2443"/>
      <c r="I442" s="2443"/>
      <c r="J442" s="2443"/>
      <c r="K442" s="2443"/>
      <c r="L442" s="2443"/>
      <c r="M442" s="2443"/>
      <c r="N442" s="2443"/>
      <c r="O442" s="2443"/>
      <c r="P442" s="2443"/>
      <c r="Q442" s="2443"/>
      <c r="R442" s="2443"/>
      <c r="S442" s="2443"/>
      <c r="T442" s="2443"/>
      <c r="U442" s="2443"/>
      <c r="V442" s="2443"/>
      <c r="W442" s="2443"/>
      <c r="X442" s="2443"/>
      <c r="Y442" s="2443"/>
      <c r="Z442" s="2443"/>
      <c r="AA442" s="2443"/>
      <c r="AB442" s="2443"/>
      <c r="AC442" s="2443"/>
      <c r="AD442" s="2443"/>
      <c r="AE442" s="2443"/>
      <c r="AL442" s="728"/>
      <c r="AM442" s="568"/>
      <c r="AN442" s="595"/>
    </row>
    <row r="443" spans="1:60" s="549" customFormat="1" ht="12.75" customHeight="1">
      <c r="A443" s="536"/>
      <c r="B443" s="14"/>
      <c r="C443" s="2467" t="s">
        <v>590</v>
      </c>
      <c r="D443" s="2414"/>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3" t="s">
        <v>1452</v>
      </c>
      <c r="AG443" s="2393"/>
      <c r="AH443" s="2393"/>
      <c r="AI443" s="2393"/>
      <c r="AJ443" s="2393"/>
      <c r="AK443" s="2393"/>
      <c r="AL443" s="247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42" t="s">
        <v>1475</v>
      </c>
      <c r="G446" s="2442"/>
      <c r="H446" s="2442"/>
      <c r="I446" s="2442"/>
      <c r="J446" s="2442"/>
      <c r="K446" s="2442"/>
      <c r="L446" s="2442"/>
      <c r="M446" s="2442"/>
      <c r="N446" s="2442"/>
      <c r="O446" s="2442"/>
      <c r="P446" s="2442"/>
      <c r="Q446" s="2442"/>
      <c r="R446" s="2442"/>
      <c r="S446" s="2442"/>
      <c r="T446" s="2442"/>
      <c r="U446" s="2442"/>
      <c r="V446" s="2442"/>
      <c r="W446" s="2442"/>
      <c r="X446" s="2442"/>
      <c r="Y446" s="2442"/>
      <c r="Z446" s="2442"/>
      <c r="AA446" s="2442"/>
      <c r="AB446" s="2442"/>
      <c r="AC446" s="2442"/>
      <c r="AD446" s="2442"/>
      <c r="AE446" s="2442"/>
      <c r="AF446" s="743"/>
      <c r="AG446" s="743"/>
      <c r="AH446" s="743"/>
      <c r="AI446" s="743"/>
      <c r="AJ446" s="743"/>
      <c r="AK446" s="743"/>
      <c r="AL446" s="744"/>
      <c r="AM446" s="568"/>
      <c r="AO446" s="549"/>
      <c r="AP446" s="549"/>
      <c r="BD446" s="14"/>
      <c r="BE446" s="14"/>
      <c r="BF446" s="14"/>
      <c r="BG446" s="14"/>
      <c r="BH446" s="14"/>
    </row>
    <row r="447" spans="1:60">
      <c r="A447" s="536"/>
      <c r="C447" s="727"/>
      <c r="E447" s="687"/>
      <c r="F447" s="2443"/>
      <c r="G447" s="2443"/>
      <c r="H447" s="2443"/>
      <c r="I447" s="2443"/>
      <c r="J447" s="2443"/>
      <c r="K447" s="2443"/>
      <c r="L447" s="2443"/>
      <c r="M447" s="2443"/>
      <c r="N447" s="2443"/>
      <c r="O447" s="2443"/>
      <c r="P447" s="2443"/>
      <c r="Q447" s="2443"/>
      <c r="R447" s="2443"/>
      <c r="S447" s="2443"/>
      <c r="T447" s="2443"/>
      <c r="U447" s="2443"/>
      <c r="V447" s="2443"/>
      <c r="W447" s="2443"/>
      <c r="X447" s="2443"/>
      <c r="Y447" s="2443"/>
      <c r="Z447" s="2443"/>
      <c r="AA447" s="2443"/>
      <c r="AB447" s="2443"/>
      <c r="AC447" s="2443"/>
      <c r="AD447" s="2443"/>
      <c r="AE447" s="2443"/>
      <c r="AF447" s="592"/>
      <c r="AG447" s="592"/>
      <c r="AH447" s="592"/>
      <c r="AI447" s="592"/>
      <c r="AJ447" s="592"/>
      <c r="AK447" s="592"/>
      <c r="AL447" s="746"/>
      <c r="AM447" s="568"/>
      <c r="AO447" s="549"/>
      <c r="AP447" s="549"/>
    </row>
    <row r="448" spans="1:60" s="549" customFormat="1" ht="12.75" customHeight="1">
      <c r="A448" s="536"/>
      <c r="B448" s="14"/>
      <c r="C448" s="727"/>
      <c r="D448" s="14"/>
      <c r="E448" s="687"/>
      <c r="F448" s="2443"/>
      <c r="G448" s="2443"/>
      <c r="H448" s="2443"/>
      <c r="I448" s="2443"/>
      <c r="J448" s="2443"/>
      <c r="K448" s="2443"/>
      <c r="L448" s="2443"/>
      <c r="M448" s="2443"/>
      <c r="N448" s="2443"/>
      <c r="O448" s="2443"/>
      <c r="P448" s="2443"/>
      <c r="Q448" s="2443"/>
      <c r="R448" s="2443"/>
      <c r="S448" s="2443"/>
      <c r="T448" s="2443"/>
      <c r="U448" s="2443"/>
      <c r="V448" s="2443"/>
      <c r="W448" s="2443"/>
      <c r="X448" s="2443"/>
      <c r="Y448" s="2443"/>
      <c r="Z448" s="2443"/>
      <c r="AA448" s="2443"/>
      <c r="AB448" s="2443"/>
      <c r="AC448" s="2443"/>
      <c r="AD448" s="2443"/>
      <c r="AE448" s="2443"/>
      <c r="AF448" s="592"/>
      <c r="AG448" s="592"/>
      <c r="AH448" s="592"/>
      <c r="AI448" s="592"/>
      <c r="AJ448" s="592"/>
      <c r="AK448" s="592"/>
      <c r="AL448" s="746"/>
      <c r="AM448" s="568"/>
      <c r="AN448" s="595"/>
    </row>
    <row r="449" spans="1:42" s="549" customFormat="1" ht="12.75" customHeight="1">
      <c r="A449" s="536"/>
      <c r="B449" s="14"/>
      <c r="C449" s="747"/>
      <c r="D449" s="726"/>
      <c r="E449" s="715"/>
      <c r="F449" s="2443"/>
      <c r="G449" s="2443"/>
      <c r="H449" s="2443"/>
      <c r="I449" s="2443"/>
      <c r="J449" s="2443"/>
      <c r="K449" s="2443"/>
      <c r="L449" s="2443"/>
      <c r="M449" s="2443"/>
      <c r="N449" s="2443"/>
      <c r="O449" s="2443"/>
      <c r="P449" s="2443"/>
      <c r="Q449" s="2443"/>
      <c r="R449" s="2443"/>
      <c r="S449" s="2443"/>
      <c r="T449" s="2443"/>
      <c r="U449" s="2443"/>
      <c r="V449" s="2443"/>
      <c r="W449" s="2443"/>
      <c r="X449" s="2443"/>
      <c r="Y449" s="2443"/>
      <c r="Z449" s="2443"/>
      <c r="AA449" s="2443"/>
      <c r="AB449" s="2443"/>
      <c r="AC449" s="2443"/>
      <c r="AD449" s="2443"/>
      <c r="AE449" s="244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3"/>
      <c r="G450" s="2443"/>
      <c r="H450" s="2443"/>
      <c r="I450" s="2443"/>
      <c r="J450" s="2443"/>
      <c r="K450" s="2443"/>
      <c r="L450" s="2443"/>
      <c r="M450" s="2443"/>
      <c r="N450" s="2443"/>
      <c r="O450" s="2443"/>
      <c r="P450" s="2443"/>
      <c r="Q450" s="2443"/>
      <c r="R450" s="2443"/>
      <c r="S450" s="2443"/>
      <c r="T450" s="2443"/>
      <c r="U450" s="2443"/>
      <c r="V450" s="2443"/>
      <c r="W450" s="2443"/>
      <c r="X450" s="2443"/>
      <c r="Y450" s="2443"/>
      <c r="Z450" s="2443"/>
      <c r="AA450" s="2443"/>
      <c r="AB450" s="2443"/>
      <c r="AC450" s="2443"/>
      <c r="AD450" s="2443"/>
      <c r="AE450" s="2443"/>
      <c r="AF450" s="592"/>
      <c r="AG450" s="592"/>
      <c r="AH450" s="592"/>
      <c r="AI450" s="592"/>
      <c r="AJ450" s="592"/>
      <c r="AK450" s="592"/>
      <c r="AL450" s="746"/>
      <c r="AM450" s="568"/>
      <c r="AN450" s="595"/>
    </row>
    <row r="451" spans="1:42" s="549" customFormat="1" ht="12.75" customHeight="1">
      <c r="A451" s="536"/>
      <c r="B451" s="14"/>
      <c r="C451" s="747"/>
      <c r="D451" s="726"/>
      <c r="E451" s="715"/>
      <c r="F451" s="2443"/>
      <c r="G451" s="2443"/>
      <c r="H451" s="2443"/>
      <c r="I451" s="2443"/>
      <c r="J451" s="2443"/>
      <c r="K451" s="2443"/>
      <c r="L451" s="2443"/>
      <c r="M451" s="2443"/>
      <c r="N451" s="2443"/>
      <c r="O451" s="2443"/>
      <c r="P451" s="2443"/>
      <c r="Q451" s="2443"/>
      <c r="R451" s="2443"/>
      <c r="S451" s="2443"/>
      <c r="T451" s="2443"/>
      <c r="U451" s="2443"/>
      <c r="V451" s="2443"/>
      <c r="W451" s="2443"/>
      <c r="X451" s="2443"/>
      <c r="Y451" s="2443"/>
      <c r="Z451" s="2443"/>
      <c r="AA451" s="2443"/>
      <c r="AB451" s="2443"/>
      <c r="AC451" s="2443"/>
      <c r="AD451" s="2443"/>
      <c r="AE451" s="2443"/>
      <c r="AF451" s="592"/>
      <c r="AG451" s="592"/>
      <c r="AH451" s="592"/>
      <c r="AI451" s="592"/>
      <c r="AJ451" s="592"/>
      <c r="AK451" s="592"/>
      <c r="AL451" s="746"/>
      <c r="AM451" s="568"/>
      <c r="AN451" s="595"/>
    </row>
    <row r="452" spans="1:42" s="549" customFormat="1" ht="12.75" customHeight="1">
      <c r="A452" s="536"/>
      <c r="B452" s="14"/>
      <c r="C452" s="747"/>
      <c r="D452" s="726"/>
      <c r="E452" s="715"/>
      <c r="F452" s="2443"/>
      <c r="G452" s="2443"/>
      <c r="H452" s="2443"/>
      <c r="I452" s="2443"/>
      <c r="J452" s="2443"/>
      <c r="K452" s="2443"/>
      <c r="L452" s="2443"/>
      <c r="M452" s="2443"/>
      <c r="N452" s="2443"/>
      <c r="O452" s="2443"/>
      <c r="P452" s="2443"/>
      <c r="Q452" s="2443"/>
      <c r="R452" s="2443"/>
      <c r="S452" s="2443"/>
      <c r="T452" s="2443"/>
      <c r="U452" s="2443"/>
      <c r="V452" s="2443"/>
      <c r="W452" s="2443"/>
      <c r="X452" s="2443"/>
      <c r="Y452" s="2443"/>
      <c r="Z452" s="2443"/>
      <c r="AA452" s="2443"/>
      <c r="AB452" s="2443"/>
      <c r="AC452" s="2443"/>
      <c r="AD452" s="2443"/>
      <c r="AE452" s="2443"/>
      <c r="AF452" s="592"/>
      <c r="AG452" s="592"/>
      <c r="AH452" s="592"/>
      <c r="AI452" s="592"/>
      <c r="AJ452" s="592"/>
      <c r="AK452" s="592"/>
      <c r="AL452" s="746"/>
      <c r="AM452" s="568"/>
      <c r="AN452" s="595"/>
    </row>
    <row r="453" spans="1:42" s="549" customFormat="1" ht="12.75" customHeight="1">
      <c r="A453" s="536"/>
      <c r="B453" s="14"/>
      <c r="C453" s="747"/>
      <c r="D453" s="726"/>
      <c r="E453" s="715"/>
      <c r="F453" s="2443"/>
      <c r="G453" s="2443"/>
      <c r="H453" s="2443"/>
      <c r="I453" s="2443"/>
      <c r="J453" s="2443"/>
      <c r="K453" s="2443"/>
      <c r="L453" s="2443"/>
      <c r="M453" s="2443"/>
      <c r="N453" s="2443"/>
      <c r="O453" s="2443"/>
      <c r="P453" s="2443"/>
      <c r="Q453" s="2443"/>
      <c r="R453" s="2443"/>
      <c r="S453" s="2443"/>
      <c r="T453" s="2443"/>
      <c r="U453" s="2443"/>
      <c r="V453" s="2443"/>
      <c r="W453" s="2443"/>
      <c r="X453" s="2443"/>
      <c r="Y453" s="2443"/>
      <c r="Z453" s="2443"/>
      <c r="AA453" s="2443"/>
      <c r="AB453" s="2443"/>
      <c r="AC453" s="2443"/>
      <c r="AD453" s="2443"/>
      <c r="AE453" s="2443"/>
      <c r="AF453" s="592"/>
      <c r="AG453" s="592"/>
      <c r="AH453" s="592"/>
      <c r="AI453" s="592"/>
      <c r="AJ453" s="592"/>
      <c r="AK453" s="592"/>
      <c r="AL453" s="746"/>
      <c r="AM453" s="568"/>
      <c r="AN453" s="595"/>
    </row>
    <row r="454" spans="1:42" s="549" customFormat="1" ht="17.25" customHeight="1">
      <c r="A454" s="536"/>
      <c r="B454" s="14"/>
      <c r="C454" s="747"/>
      <c r="D454" s="726"/>
      <c r="E454" s="715"/>
      <c r="F454" s="2443"/>
      <c r="G454" s="2443"/>
      <c r="H454" s="2443"/>
      <c r="I454" s="2443"/>
      <c r="J454" s="2443"/>
      <c r="K454" s="2443"/>
      <c r="L454" s="2443"/>
      <c r="M454" s="2443"/>
      <c r="N454" s="2443"/>
      <c r="O454" s="2443"/>
      <c r="P454" s="2443"/>
      <c r="Q454" s="2443"/>
      <c r="R454" s="2443"/>
      <c r="S454" s="2443"/>
      <c r="T454" s="2443"/>
      <c r="U454" s="2443"/>
      <c r="V454" s="2443"/>
      <c r="W454" s="2443"/>
      <c r="X454" s="2443"/>
      <c r="Y454" s="2443"/>
      <c r="Z454" s="2443"/>
      <c r="AA454" s="2443"/>
      <c r="AB454" s="2443"/>
      <c r="AC454" s="2443"/>
      <c r="AD454" s="2443"/>
      <c r="AE454" s="2443"/>
      <c r="AL454" s="728"/>
      <c r="AM454" s="568"/>
      <c r="AN454" s="595"/>
    </row>
    <row r="455" spans="1:42" s="549" customFormat="1" ht="12.75" customHeight="1">
      <c r="A455" s="536"/>
      <c r="B455" s="14"/>
      <c r="C455" s="2467" t="s">
        <v>590</v>
      </c>
      <c r="D455" s="2414"/>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3" t="s">
        <v>1452</v>
      </c>
      <c r="AG455" s="2393"/>
      <c r="AH455" s="2393"/>
      <c r="AI455" s="2393"/>
      <c r="AJ455" s="2393"/>
      <c r="AK455" s="2393"/>
      <c r="AL455" s="247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2" t="s">
        <v>1478</v>
      </c>
      <c r="G458" s="2442"/>
      <c r="H458" s="2442"/>
      <c r="I458" s="2442"/>
      <c r="J458" s="2442"/>
      <c r="K458" s="2442"/>
      <c r="L458" s="2442"/>
      <c r="M458" s="2442"/>
      <c r="N458" s="2442"/>
      <c r="O458" s="2442"/>
      <c r="P458" s="2442"/>
      <c r="Q458" s="2442"/>
      <c r="R458" s="2442"/>
      <c r="S458" s="2442"/>
      <c r="T458" s="2442"/>
      <c r="U458" s="2442"/>
      <c r="V458" s="2442"/>
      <c r="W458" s="2442"/>
      <c r="X458" s="2442"/>
      <c r="Y458" s="2442"/>
      <c r="Z458" s="2442"/>
      <c r="AA458" s="2442"/>
      <c r="AB458" s="2442"/>
      <c r="AC458" s="2442"/>
      <c r="AD458" s="2442"/>
      <c r="AE458" s="2442"/>
      <c r="AF458" s="710"/>
      <c r="AG458" s="710"/>
      <c r="AH458" s="710"/>
      <c r="AI458" s="710"/>
      <c r="AJ458" s="710"/>
      <c r="AK458" s="710"/>
      <c r="AL458" s="741"/>
      <c r="AM458" s="568"/>
      <c r="AN458" s="595"/>
    </row>
    <row r="459" spans="1:42" s="549" customFormat="1" ht="12.75" customHeight="1">
      <c r="A459" s="536"/>
      <c r="B459" s="14"/>
      <c r="C459" s="747"/>
      <c r="D459" s="726"/>
      <c r="E459" s="715"/>
      <c r="F459" s="2443"/>
      <c r="G459" s="2443"/>
      <c r="H459" s="2443"/>
      <c r="I459" s="2443"/>
      <c r="J459" s="2443"/>
      <c r="K459" s="2443"/>
      <c r="L459" s="2443"/>
      <c r="M459" s="2443"/>
      <c r="N459" s="2443"/>
      <c r="O459" s="2443"/>
      <c r="P459" s="2443"/>
      <c r="Q459" s="2443"/>
      <c r="R459" s="2443"/>
      <c r="S459" s="2443"/>
      <c r="T459" s="2443"/>
      <c r="U459" s="2443"/>
      <c r="V459" s="2443"/>
      <c r="W459" s="2443"/>
      <c r="X459" s="2443"/>
      <c r="Y459" s="2443"/>
      <c r="Z459" s="2443"/>
      <c r="AA459" s="2443"/>
      <c r="AB459" s="2443"/>
      <c r="AC459" s="2443"/>
      <c r="AD459" s="2443"/>
      <c r="AE459" s="2443"/>
      <c r="AF459" s="589"/>
      <c r="AG459" s="589"/>
      <c r="AH459" s="589"/>
      <c r="AI459" s="589"/>
      <c r="AJ459" s="589"/>
      <c r="AK459" s="589"/>
      <c r="AL459" s="716"/>
      <c r="AM459" s="568"/>
      <c r="AN459" s="595"/>
    </row>
    <row r="460" spans="1:42" s="549" customFormat="1" ht="12.75" customHeight="1">
      <c r="A460" s="536"/>
      <c r="B460" s="14"/>
      <c r="C460" s="747"/>
      <c r="D460" s="726"/>
      <c r="E460" s="715"/>
      <c r="F460" s="2443"/>
      <c r="G460" s="2443"/>
      <c r="H460" s="2443"/>
      <c r="I460" s="2443"/>
      <c r="J460" s="2443"/>
      <c r="K460" s="2443"/>
      <c r="L460" s="2443"/>
      <c r="M460" s="2443"/>
      <c r="N460" s="2443"/>
      <c r="O460" s="2443"/>
      <c r="P460" s="2443"/>
      <c r="Q460" s="2443"/>
      <c r="R460" s="2443"/>
      <c r="S460" s="2443"/>
      <c r="T460" s="2443"/>
      <c r="U460" s="2443"/>
      <c r="V460" s="2443"/>
      <c r="W460" s="2443"/>
      <c r="X460" s="2443"/>
      <c r="Y460" s="2443"/>
      <c r="Z460" s="2443"/>
      <c r="AA460" s="2443"/>
      <c r="AB460" s="2443"/>
      <c r="AC460" s="2443"/>
      <c r="AD460" s="2443"/>
      <c r="AE460" s="2443"/>
      <c r="AF460" s="589"/>
      <c r="AG460" s="589"/>
      <c r="AH460" s="589"/>
      <c r="AI460" s="589"/>
      <c r="AJ460" s="589"/>
      <c r="AK460" s="589"/>
      <c r="AL460" s="716"/>
      <c r="AM460" s="568"/>
      <c r="AN460" s="595"/>
    </row>
    <row r="461" spans="1:42" s="549" customFormat="1" ht="12.75" customHeight="1">
      <c r="A461" s="536"/>
      <c r="B461" s="14"/>
      <c r="C461" s="747"/>
      <c r="D461" s="726"/>
      <c r="E461" s="715"/>
      <c r="F461" s="2443"/>
      <c r="G461" s="2443"/>
      <c r="H461" s="2443"/>
      <c r="I461" s="2443"/>
      <c r="J461" s="2443"/>
      <c r="K461" s="2443"/>
      <c r="L461" s="2443"/>
      <c r="M461" s="2443"/>
      <c r="N461" s="2443"/>
      <c r="O461" s="2443"/>
      <c r="P461" s="2443"/>
      <c r="Q461" s="2443"/>
      <c r="R461" s="2443"/>
      <c r="S461" s="2443"/>
      <c r="T461" s="2443"/>
      <c r="U461" s="2443"/>
      <c r="V461" s="2443"/>
      <c r="W461" s="2443"/>
      <c r="X461" s="2443"/>
      <c r="Y461" s="2443"/>
      <c r="Z461" s="2443"/>
      <c r="AA461" s="2443"/>
      <c r="AB461" s="2443"/>
      <c r="AC461" s="2443"/>
      <c r="AD461" s="2443"/>
      <c r="AE461" s="2443"/>
      <c r="AL461" s="728"/>
      <c r="AM461" s="568"/>
      <c r="AN461" s="595"/>
    </row>
    <row r="462" spans="1:42" s="549" customFormat="1" ht="12.75" customHeight="1">
      <c r="A462" s="536"/>
      <c r="B462" s="14"/>
      <c r="C462" s="2467" t="s">
        <v>590</v>
      </c>
      <c r="D462" s="2414"/>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3" t="s">
        <v>1452</v>
      </c>
      <c r="AG462" s="2393"/>
      <c r="AH462" s="2393"/>
      <c r="AI462" s="2393"/>
      <c r="AJ462" s="2393"/>
      <c r="AK462" s="2393"/>
      <c r="AL462" s="247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2" t="s">
        <v>590</v>
      </c>
      <c r="D466" s="2553"/>
      <c r="E466" s="711" t="s">
        <v>1487</v>
      </c>
      <c r="F466" s="2442" t="s">
        <v>1488</v>
      </c>
      <c r="G466" s="2442"/>
      <c r="H466" s="2442"/>
      <c r="I466" s="2442"/>
      <c r="J466" s="2442"/>
      <c r="K466" s="2442"/>
      <c r="L466" s="2442"/>
      <c r="M466" s="2442"/>
      <c r="N466" s="2442"/>
      <c r="O466" s="2442"/>
      <c r="P466" s="2442"/>
      <c r="Q466" s="2442"/>
      <c r="R466" s="2442"/>
      <c r="S466" s="2442"/>
      <c r="T466" s="2442"/>
      <c r="U466" s="2442"/>
      <c r="V466" s="2442"/>
      <c r="W466" s="2442"/>
      <c r="X466" s="2442"/>
      <c r="Y466" s="2442"/>
      <c r="Z466" s="2442"/>
      <c r="AA466" s="2442"/>
      <c r="AB466" s="2442"/>
      <c r="AC466" s="2442"/>
      <c r="AD466" s="2442"/>
      <c r="AE466" s="2442"/>
      <c r="AF466" s="2470" t="s">
        <v>1452</v>
      </c>
      <c r="AG466" s="2470"/>
      <c r="AH466" s="2470"/>
      <c r="AI466" s="2470"/>
      <c r="AJ466" s="2470"/>
      <c r="AK466" s="2470"/>
      <c r="AL466" s="2471"/>
      <c r="AM466" s="568"/>
      <c r="AN466" s="749"/>
    </row>
    <row r="467" spans="1:40" s="549" customFormat="1" ht="12.75" customHeight="1">
      <c r="A467" s="536"/>
      <c r="B467" s="14"/>
      <c r="C467" s="747"/>
      <c r="D467" s="726"/>
      <c r="E467" s="715"/>
      <c r="F467" s="2443"/>
      <c r="G467" s="2443"/>
      <c r="H467" s="2443"/>
      <c r="I467" s="2443"/>
      <c r="J467" s="2443"/>
      <c r="K467" s="2443"/>
      <c r="L467" s="2443"/>
      <c r="M467" s="2443"/>
      <c r="N467" s="2443"/>
      <c r="O467" s="2443"/>
      <c r="P467" s="2443"/>
      <c r="Q467" s="2443"/>
      <c r="R467" s="2443"/>
      <c r="S467" s="2443"/>
      <c r="T467" s="2443"/>
      <c r="U467" s="2443"/>
      <c r="V467" s="2443"/>
      <c r="W467" s="2443"/>
      <c r="X467" s="2443"/>
      <c r="Y467" s="2443"/>
      <c r="Z467" s="2443"/>
      <c r="AA467" s="2443"/>
      <c r="AB467" s="2443"/>
      <c r="AC467" s="2443"/>
      <c r="AD467" s="2443"/>
      <c r="AE467" s="2443"/>
      <c r="AF467" s="589"/>
      <c r="AG467" s="589"/>
      <c r="AH467" s="589"/>
      <c r="AI467" s="589"/>
      <c r="AJ467" s="589"/>
      <c r="AK467" s="589"/>
      <c r="AL467" s="716"/>
      <c r="AM467" s="568"/>
      <c r="AN467" s="750"/>
    </row>
    <row r="468" spans="1:40" s="549" customFormat="1" ht="17.649999999999999" customHeight="1">
      <c r="A468" s="536"/>
      <c r="B468" s="14"/>
      <c r="C468" s="752"/>
      <c r="D468" s="719"/>
      <c r="E468" s="720"/>
      <c r="F468" s="2444"/>
      <c r="G468" s="2444"/>
      <c r="H468" s="2444"/>
      <c r="I468" s="2444"/>
      <c r="J468" s="2444"/>
      <c r="K468" s="2444"/>
      <c r="L468" s="2444"/>
      <c r="M468" s="2444"/>
      <c r="N468" s="2444"/>
      <c r="O468" s="2444"/>
      <c r="P468" s="2444"/>
      <c r="Q468" s="2444"/>
      <c r="R468" s="2444"/>
      <c r="S468" s="2444"/>
      <c r="T468" s="2444"/>
      <c r="U468" s="2444"/>
      <c r="V468" s="2444"/>
      <c r="W468" s="2444"/>
      <c r="X468" s="2444"/>
      <c r="Y468" s="2444"/>
      <c r="Z468" s="2444"/>
      <c r="AA468" s="2444"/>
      <c r="AB468" s="2444"/>
      <c r="AC468" s="2444"/>
      <c r="AD468" s="2444"/>
      <c r="AE468" s="24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7" t="s">
        <v>590</v>
      </c>
      <c r="D470" s="2414"/>
      <c r="E470" s="711" t="s">
        <v>1493</v>
      </c>
      <c r="F470" s="2442" t="s">
        <v>1494</v>
      </c>
      <c r="G470" s="2442"/>
      <c r="H470" s="2442"/>
      <c r="I470" s="2442"/>
      <c r="J470" s="2442"/>
      <c r="K470" s="2442"/>
      <c r="L470" s="2442"/>
      <c r="M470" s="2442"/>
      <c r="N470" s="2442"/>
      <c r="O470" s="2442"/>
      <c r="P470" s="2442"/>
      <c r="Q470" s="2442"/>
      <c r="R470" s="2442"/>
      <c r="S470" s="2442"/>
      <c r="T470" s="2442"/>
      <c r="U470" s="2442"/>
      <c r="V470" s="2442"/>
      <c r="W470" s="2442"/>
      <c r="X470" s="2442"/>
      <c r="Y470" s="2442"/>
      <c r="Z470" s="2442"/>
      <c r="AA470" s="2442"/>
      <c r="AB470" s="2442"/>
      <c r="AC470" s="2442"/>
      <c r="AD470" s="2442"/>
      <c r="AE470" s="2442"/>
      <c r="AF470" s="2470" t="s">
        <v>1452</v>
      </c>
      <c r="AG470" s="2470"/>
      <c r="AH470" s="2470"/>
      <c r="AI470" s="2470"/>
      <c r="AJ470" s="2470"/>
      <c r="AK470" s="2470"/>
      <c r="AL470" s="2471"/>
      <c r="AM470" s="568"/>
      <c r="AN470" s="535"/>
    </row>
    <row r="471" spans="1:40" s="549" customFormat="1" ht="12.75" customHeight="1">
      <c r="A471" s="536"/>
      <c r="B471" s="14"/>
      <c r="C471" s="727"/>
      <c r="D471" s="14"/>
      <c r="E471" s="687"/>
      <c r="F471" s="2443"/>
      <c r="G471" s="2443"/>
      <c r="H471" s="2443"/>
      <c r="I471" s="2443"/>
      <c r="J471" s="2443"/>
      <c r="K471" s="2443"/>
      <c r="L471" s="2443"/>
      <c r="M471" s="2443"/>
      <c r="N471" s="2443"/>
      <c r="O471" s="2443"/>
      <c r="P471" s="2443"/>
      <c r="Q471" s="2443"/>
      <c r="R471" s="2443"/>
      <c r="S471" s="2443"/>
      <c r="T471" s="2443"/>
      <c r="U471" s="2443"/>
      <c r="V471" s="2443"/>
      <c r="W471" s="2443"/>
      <c r="X471" s="2443"/>
      <c r="Y471" s="2443"/>
      <c r="Z471" s="2443"/>
      <c r="AA471" s="2443"/>
      <c r="AB471" s="2443"/>
      <c r="AC471" s="2443"/>
      <c r="AD471" s="2443"/>
      <c r="AE471" s="2443"/>
      <c r="AF471" s="539"/>
      <c r="AG471" s="536"/>
      <c r="AL471" s="728"/>
      <c r="AM471" s="568"/>
      <c r="AN471" s="535"/>
    </row>
    <row r="472" spans="1:40" s="549" customFormat="1" ht="12.75" customHeight="1">
      <c r="A472" s="536"/>
      <c r="B472" s="14"/>
      <c r="C472" s="727"/>
      <c r="D472" s="14"/>
      <c r="E472" s="687"/>
      <c r="F472" s="2443"/>
      <c r="G472" s="2443"/>
      <c r="H472" s="2443"/>
      <c r="I472" s="2443"/>
      <c r="J472" s="2443"/>
      <c r="K472" s="2443"/>
      <c r="L472" s="2443"/>
      <c r="M472" s="2443"/>
      <c r="N472" s="2443"/>
      <c r="O472" s="2443"/>
      <c r="P472" s="2443"/>
      <c r="Q472" s="2443"/>
      <c r="R472" s="2443"/>
      <c r="S472" s="2443"/>
      <c r="T472" s="2443"/>
      <c r="U472" s="2443"/>
      <c r="V472" s="2443"/>
      <c r="W472" s="2443"/>
      <c r="X472" s="2443"/>
      <c r="Y472" s="2443"/>
      <c r="Z472" s="2443"/>
      <c r="AA472" s="2443"/>
      <c r="AB472" s="2443"/>
      <c r="AC472" s="2443"/>
      <c r="AD472" s="2443"/>
      <c r="AE472" s="2443"/>
      <c r="AF472" s="539"/>
      <c r="AG472" s="536"/>
      <c r="AL472" s="728"/>
      <c r="AM472" s="568"/>
      <c r="AN472" s="535"/>
    </row>
    <row r="473" spans="1:40" s="549" customFormat="1" ht="12.75" customHeight="1">
      <c r="A473" s="536"/>
      <c r="B473" s="14"/>
      <c r="C473" s="752"/>
      <c r="D473" s="719"/>
      <c r="E473" s="720"/>
      <c r="F473" s="2444"/>
      <c r="G473" s="2444"/>
      <c r="H473" s="2444"/>
      <c r="I473" s="2444"/>
      <c r="J473" s="2444"/>
      <c r="K473" s="2444"/>
      <c r="L473" s="2444"/>
      <c r="M473" s="2444"/>
      <c r="N473" s="2444"/>
      <c r="O473" s="2444"/>
      <c r="P473" s="2444"/>
      <c r="Q473" s="2444"/>
      <c r="R473" s="2444"/>
      <c r="S473" s="2444"/>
      <c r="T473" s="2444"/>
      <c r="U473" s="2444"/>
      <c r="V473" s="2444"/>
      <c r="W473" s="2444"/>
      <c r="X473" s="2444"/>
      <c r="Y473" s="2444"/>
      <c r="Z473" s="2444"/>
      <c r="AA473" s="2444"/>
      <c r="AB473" s="2444"/>
      <c r="AC473" s="2444"/>
      <c r="AD473" s="2444"/>
      <c r="AE473" s="24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2" t="s">
        <v>1497</v>
      </c>
      <c r="G475" s="2442"/>
      <c r="H475" s="2442"/>
      <c r="I475" s="2442"/>
      <c r="J475" s="2442"/>
      <c r="K475" s="2442"/>
      <c r="L475" s="2442"/>
      <c r="M475" s="2442"/>
      <c r="N475" s="2442"/>
      <c r="O475" s="2442"/>
      <c r="P475" s="2442"/>
      <c r="Q475" s="2442"/>
      <c r="R475" s="2442"/>
      <c r="S475" s="2442"/>
      <c r="T475" s="2442"/>
      <c r="U475" s="2442"/>
      <c r="V475" s="2442"/>
      <c r="W475" s="2442"/>
      <c r="X475" s="2442"/>
      <c r="Y475" s="2442"/>
      <c r="Z475" s="2442"/>
      <c r="AA475" s="2442"/>
      <c r="AB475" s="2442"/>
      <c r="AC475" s="2442"/>
      <c r="AD475" s="2442"/>
      <c r="AE475" s="2442"/>
      <c r="AF475" s="2442"/>
      <c r="AG475" s="740"/>
      <c r="AH475" s="710"/>
      <c r="AI475" s="710"/>
      <c r="AJ475" s="710"/>
      <c r="AK475" s="710"/>
      <c r="AL475" s="741"/>
      <c r="AM475" s="568"/>
      <c r="AN475" s="595"/>
    </row>
    <row r="476" spans="1:40" s="549" customFormat="1" ht="12.75" customHeight="1">
      <c r="A476" s="536"/>
      <c r="B476" s="14"/>
      <c r="C476" s="727"/>
      <c r="D476" s="14"/>
      <c r="E476" s="687"/>
      <c r="F476" s="2443"/>
      <c r="G476" s="2443"/>
      <c r="H476" s="2443"/>
      <c r="I476" s="2443"/>
      <c r="J476" s="2443"/>
      <c r="K476" s="2443"/>
      <c r="L476" s="2443"/>
      <c r="M476" s="2443"/>
      <c r="N476" s="2443"/>
      <c r="O476" s="2443"/>
      <c r="P476" s="2443"/>
      <c r="Q476" s="2443"/>
      <c r="R476" s="2443"/>
      <c r="S476" s="2443"/>
      <c r="T476" s="2443"/>
      <c r="U476" s="2443"/>
      <c r="V476" s="2443"/>
      <c r="W476" s="2443"/>
      <c r="X476" s="2443"/>
      <c r="Y476" s="2443"/>
      <c r="Z476" s="2443"/>
      <c r="AA476" s="2443"/>
      <c r="AB476" s="2443"/>
      <c r="AC476" s="2443"/>
      <c r="AD476" s="2443"/>
      <c r="AE476" s="2443"/>
      <c r="AF476" s="2443"/>
      <c r="AL476" s="728"/>
      <c r="AM476" s="568"/>
      <c r="AN476" s="595"/>
    </row>
    <row r="477" spans="1:40" s="549" customFormat="1" ht="12.75" customHeight="1">
      <c r="A477" s="536"/>
      <c r="B477" s="14"/>
      <c r="C477" s="735"/>
      <c r="F477" s="2443"/>
      <c r="G477" s="2443"/>
      <c r="H477" s="2443"/>
      <c r="I477" s="2443"/>
      <c r="J477" s="2443"/>
      <c r="K477" s="2443"/>
      <c r="L477" s="2443"/>
      <c r="M477" s="2443"/>
      <c r="N477" s="2443"/>
      <c r="O477" s="2443"/>
      <c r="P477" s="2443"/>
      <c r="Q477" s="2443"/>
      <c r="R477" s="2443"/>
      <c r="S477" s="2443"/>
      <c r="T477" s="2443"/>
      <c r="U477" s="2443"/>
      <c r="V477" s="2443"/>
      <c r="W477" s="2443"/>
      <c r="X477" s="2443"/>
      <c r="Y477" s="2443"/>
      <c r="Z477" s="2443"/>
      <c r="AA477" s="2443"/>
      <c r="AB477" s="2443"/>
      <c r="AC477" s="2443"/>
      <c r="AD477" s="2443"/>
      <c r="AE477" s="2443"/>
      <c r="AF477" s="2443"/>
      <c r="AL477" s="728"/>
      <c r="AM477" s="568"/>
      <c r="AN477" s="595"/>
    </row>
    <row r="478" spans="1:40" s="549" customFormat="1" ht="12.75" customHeight="1">
      <c r="A478" s="536"/>
      <c r="B478" s="14"/>
      <c r="C478" s="735"/>
      <c r="F478" s="2443"/>
      <c r="G478" s="2443"/>
      <c r="H478" s="2443"/>
      <c r="I478" s="2443"/>
      <c r="J478" s="2443"/>
      <c r="K478" s="2443"/>
      <c r="L478" s="2443"/>
      <c r="M478" s="2443"/>
      <c r="N478" s="2443"/>
      <c r="O478" s="2443"/>
      <c r="P478" s="2443"/>
      <c r="Q478" s="2443"/>
      <c r="R478" s="2443"/>
      <c r="S478" s="2443"/>
      <c r="T478" s="2443"/>
      <c r="U478" s="2443"/>
      <c r="V478" s="2443"/>
      <c r="W478" s="2443"/>
      <c r="X478" s="2443"/>
      <c r="Y478" s="2443"/>
      <c r="Z478" s="2443"/>
      <c r="AA478" s="2443"/>
      <c r="AB478" s="2443"/>
      <c r="AC478" s="2443"/>
      <c r="AD478" s="2443"/>
      <c r="AE478" s="2443"/>
      <c r="AF478" s="2443"/>
      <c r="AL478" s="728"/>
      <c r="AM478" s="568"/>
      <c r="AN478" s="595"/>
    </row>
    <row r="479" spans="1:40" s="549" customFormat="1" ht="12.75" customHeight="1">
      <c r="A479" s="536"/>
      <c r="B479" s="14"/>
      <c r="C479" s="2467" t="s">
        <v>590</v>
      </c>
      <c r="D479" s="2414"/>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8" t="s">
        <v>1452</v>
      </c>
      <c r="AG479" s="2468"/>
      <c r="AH479" s="2468"/>
      <c r="AI479" s="2468"/>
      <c r="AJ479" s="2468"/>
      <c r="AK479" s="2468"/>
      <c r="AL479" s="246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5">
        <f>IF(Application!D214="N/A",AS371,AS373)</f>
        <v>10</v>
      </c>
      <c r="AL482" s="2441"/>
      <c r="AM482" s="239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8" t="s">
        <v>1501</v>
      </c>
      <c r="AF485" s="2468"/>
      <c r="AG485" s="2468"/>
      <c r="AH485" s="2468"/>
      <c r="AI485" s="2468"/>
      <c r="AJ485" s="2468"/>
      <c r="AK485" s="2468"/>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7" t="s">
        <v>590</v>
      </c>
      <c r="D491" s="2418"/>
      <c r="E491" s="757" t="s">
        <v>506</v>
      </c>
      <c r="F491" s="2453" t="s">
        <v>1507</v>
      </c>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4"/>
      <c r="G492" s="2454"/>
      <c r="H492" s="2454"/>
      <c r="I492" s="2454"/>
      <c r="J492" s="2454"/>
      <c r="K492" s="2454"/>
      <c r="L492" s="2454"/>
      <c r="M492" s="2454"/>
      <c r="N492" s="2454"/>
      <c r="O492" s="2454"/>
      <c r="P492" s="2454"/>
      <c r="Q492" s="2454"/>
      <c r="R492" s="2454"/>
      <c r="S492" s="2454"/>
      <c r="T492" s="2454"/>
      <c r="U492" s="2454"/>
      <c r="V492" s="2454"/>
      <c r="W492" s="2454"/>
      <c r="X492" s="2454"/>
      <c r="Y492" s="2454"/>
      <c r="Z492" s="2454"/>
      <c r="AA492" s="2454"/>
      <c r="AB492" s="2454"/>
      <c r="AC492" s="2454"/>
      <c r="AD492" s="2454"/>
      <c r="AE492" s="2454"/>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1" t="s">
        <v>590</v>
      </c>
      <c r="G493" s="2451"/>
      <c r="H493" s="2451"/>
      <c r="I493" s="2451"/>
      <c r="J493" s="2451"/>
      <c r="K493" s="2451"/>
      <c r="L493" s="2451"/>
      <c r="M493" s="2451"/>
      <c r="N493" s="2451"/>
      <c r="O493" s="2451"/>
      <c r="P493" s="2451"/>
      <c r="Q493" s="2451"/>
      <c r="R493" s="2451"/>
      <c r="S493" s="2451"/>
      <c r="T493" s="2451"/>
      <c r="U493" s="2451"/>
      <c r="V493" s="2451"/>
      <c r="W493" s="2451"/>
      <c r="X493" s="2451"/>
      <c r="Y493" s="2451"/>
      <c r="Z493" s="2451"/>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0" t="s">
        <v>544</v>
      </c>
      <c r="D495" s="2421"/>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50" t="s">
        <v>590</v>
      </c>
      <c r="W498" s="2450"/>
      <c r="X498" s="2450"/>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50" t="s">
        <v>590</v>
      </c>
      <c r="W500" s="2450"/>
      <c r="X500" s="2450"/>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50" t="s">
        <v>590</v>
      </c>
      <c r="W505" s="2450"/>
      <c r="X505" s="2450"/>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9"/>
      <c r="E508" s="2419"/>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50" t="s">
        <v>590</v>
      </c>
      <c r="W509" s="2450"/>
      <c r="X509" s="2450"/>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50" t="s">
        <v>590</v>
      </c>
      <c r="W511" s="2450"/>
      <c r="X511" s="2450"/>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7" t="s">
        <v>590</v>
      </c>
      <c r="D514" s="2418"/>
      <c r="E514" s="757" t="s">
        <v>506</v>
      </c>
      <c r="F514" s="2453" t="s">
        <v>1507</v>
      </c>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4"/>
      <c r="G515" s="2454"/>
      <c r="H515" s="2454"/>
      <c r="I515" s="2454"/>
      <c r="J515" s="2454"/>
      <c r="K515" s="2454"/>
      <c r="L515" s="2454"/>
      <c r="M515" s="2454"/>
      <c r="N515" s="2454"/>
      <c r="O515" s="2454"/>
      <c r="P515" s="2454"/>
      <c r="Q515" s="2454"/>
      <c r="R515" s="2454"/>
      <c r="S515" s="2454"/>
      <c r="T515" s="2454"/>
      <c r="U515" s="2454"/>
      <c r="V515" s="2454"/>
      <c r="W515" s="2454"/>
      <c r="X515" s="2454"/>
      <c r="Y515" s="2454"/>
      <c r="Z515" s="2454"/>
      <c r="AA515" s="2454"/>
      <c r="AB515" s="2454"/>
      <c r="AC515" s="2454"/>
      <c r="AD515" s="2454"/>
      <c r="AE515" s="245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6" t="s">
        <v>590</v>
      </c>
      <c r="G516" s="2446"/>
      <c r="H516" s="2446"/>
      <c r="I516" s="2446"/>
      <c r="J516" s="2446"/>
      <c r="K516" s="2446"/>
      <c r="L516" s="2446"/>
      <c r="M516" s="2446"/>
      <c r="N516" s="2446"/>
      <c r="O516" s="2446"/>
      <c r="P516" s="2446"/>
      <c r="Q516" s="2446"/>
      <c r="R516" s="2446"/>
      <c r="S516" s="2446"/>
      <c r="T516" s="2446"/>
      <c r="U516" s="2446"/>
      <c r="V516" s="2446"/>
      <c r="W516" s="2446"/>
      <c r="X516" s="2446"/>
      <c r="Y516" s="2446"/>
      <c r="Z516" s="2446"/>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7" t="s">
        <v>590</v>
      </c>
      <c r="D518" s="2418"/>
      <c r="E518" s="757" t="s">
        <v>756</v>
      </c>
      <c r="F518" s="2447" t="s">
        <v>1529</v>
      </c>
      <c r="G518" s="2447"/>
      <c r="H518" s="2447"/>
      <c r="I518" s="2447"/>
      <c r="J518" s="2447"/>
      <c r="K518" s="2447"/>
      <c r="L518" s="2447"/>
      <c r="M518" s="2447"/>
      <c r="N518" s="2447"/>
      <c r="O518" s="2447"/>
      <c r="P518" s="2447"/>
      <c r="Q518" s="2447"/>
      <c r="R518" s="2447"/>
      <c r="S518" s="2447"/>
      <c r="T518" s="2447"/>
      <c r="U518" s="2447"/>
      <c r="V518" s="2447"/>
      <c r="W518" s="2447"/>
      <c r="X518" s="2447"/>
      <c r="Y518" s="2447"/>
      <c r="Z518" s="2447"/>
      <c r="AA518" s="2447"/>
      <c r="AB518" s="2447"/>
      <c r="AC518" s="2447"/>
      <c r="AD518" s="2447"/>
      <c r="AE518" s="244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8"/>
      <c r="G519" s="2448"/>
      <c r="H519" s="2448"/>
      <c r="I519" s="2448"/>
      <c r="J519" s="2448"/>
      <c r="K519" s="2448"/>
      <c r="L519" s="2448"/>
      <c r="M519" s="2448"/>
      <c r="N519" s="2448"/>
      <c r="O519" s="2448"/>
      <c r="P519" s="2448"/>
      <c r="Q519" s="2448"/>
      <c r="R519" s="2448"/>
      <c r="S519" s="2448"/>
      <c r="T519" s="2448"/>
      <c r="U519" s="2448"/>
      <c r="V519" s="2448"/>
      <c r="W519" s="2448"/>
      <c r="X519" s="2448"/>
      <c r="Y519" s="2448"/>
      <c r="Z519" s="2448"/>
      <c r="AA519" s="2448"/>
      <c r="AB519" s="2448"/>
      <c r="AC519" s="2448"/>
      <c r="AD519" s="2448"/>
      <c r="AE519" s="244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9" t="s">
        <v>590</v>
      </c>
      <c r="G521" s="2449"/>
      <c r="H521" s="244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7" t="s">
        <v>590</v>
      </c>
      <c r="D523" s="2418"/>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5"/>
      <c r="D525" s="2419"/>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6" t="s">
        <v>590</v>
      </c>
      <c r="H526" s="2476"/>
      <c r="I526" s="2476"/>
      <c r="J526" s="2476"/>
      <c r="K526" s="2476"/>
      <c r="L526" s="2476"/>
      <c r="M526" s="2476"/>
      <c r="N526" s="2476"/>
      <c r="O526" s="2476"/>
      <c r="P526" s="2476"/>
      <c r="Q526" s="2476"/>
      <c r="R526" s="2476"/>
      <c r="S526" s="2476"/>
      <c r="T526" s="2476"/>
      <c r="U526" s="2476"/>
      <c r="V526" s="2476"/>
      <c r="W526" s="2476"/>
      <c r="X526" s="2476"/>
      <c r="Y526" s="2476"/>
      <c r="Z526" s="2476"/>
      <c r="AA526" s="2476"/>
      <c r="AB526" s="2476"/>
      <c r="AC526" s="2476"/>
      <c r="AD526" s="2476"/>
      <c r="AE526" s="2476"/>
      <c r="AF526" s="247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7" t="s">
        <v>590</v>
      </c>
      <c r="D528" s="2478"/>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7" t="s">
        <v>590</v>
      </c>
      <c r="D532" s="2478"/>
      <c r="F532" s="791" t="s">
        <v>1537</v>
      </c>
      <c r="G532" s="2443" t="s">
        <v>1538</v>
      </c>
      <c r="H532" s="2443"/>
      <c r="I532" s="2443"/>
      <c r="J532" s="2443"/>
      <c r="K532" s="2443"/>
      <c r="L532" s="2443"/>
      <c r="M532" s="2443"/>
      <c r="N532" s="2443"/>
      <c r="O532" s="2443"/>
      <c r="P532" s="2443"/>
      <c r="Q532" s="2443"/>
      <c r="R532" s="2443"/>
      <c r="S532" s="2443"/>
      <c r="T532" s="2443"/>
      <c r="U532" s="2443"/>
      <c r="V532" s="2443"/>
      <c r="W532" s="2443"/>
      <c r="X532" s="2443"/>
      <c r="Y532" s="2443"/>
      <c r="Z532" s="2443"/>
      <c r="AA532" s="2443"/>
      <c r="AB532" s="2443"/>
      <c r="AC532" s="2443"/>
      <c r="AD532" s="2443"/>
      <c r="AE532" s="2443"/>
      <c r="AF532" s="2443"/>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4"/>
      <c r="H533" s="2444"/>
      <c r="I533" s="2444"/>
      <c r="J533" s="2444"/>
      <c r="K533" s="2444"/>
      <c r="L533" s="2444"/>
      <c r="M533" s="2444"/>
      <c r="N533" s="2444"/>
      <c r="O533" s="2444"/>
      <c r="P533" s="2444"/>
      <c r="Q533" s="2444"/>
      <c r="R533" s="2444"/>
      <c r="S533" s="2444"/>
      <c r="T533" s="2444"/>
      <c r="U533" s="2444"/>
      <c r="V533" s="2444"/>
      <c r="W533" s="2444"/>
      <c r="X533" s="2444"/>
      <c r="Y533" s="2444"/>
      <c r="Z533" s="2444"/>
      <c r="AA533" s="2444"/>
      <c r="AB533" s="2444"/>
      <c r="AC533" s="2444"/>
      <c r="AD533" s="2444"/>
      <c r="AE533" s="2444"/>
      <c r="AF533" s="24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9" t="s">
        <v>590</v>
      </c>
      <c r="D536" s="2480"/>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1" t="s">
        <v>590</v>
      </c>
      <c r="G537" s="2481"/>
      <c r="H537" s="2481"/>
      <c r="I537" s="2481"/>
      <c r="J537" s="2481"/>
      <c r="K537" s="2481"/>
      <c r="L537" s="2481"/>
      <c r="M537" s="2481"/>
      <c r="N537" s="2481"/>
      <c r="O537" s="2481"/>
      <c r="P537" s="2481"/>
      <c r="Q537" s="2481"/>
      <c r="R537" s="2481"/>
      <c r="S537" s="2481"/>
      <c r="T537" s="2481"/>
      <c r="U537" s="2481"/>
      <c r="V537" s="2481"/>
      <c r="W537" s="2481"/>
      <c r="X537" s="2481"/>
      <c r="Y537" s="2481"/>
      <c r="Z537" s="2481"/>
      <c r="AA537" s="2481"/>
      <c r="AB537" s="2481"/>
      <c r="AC537" s="2481"/>
      <c r="AD537" s="2481"/>
      <c r="AE537" s="2481"/>
      <c r="AF537" s="248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2"/>
      <c r="G538" s="2482"/>
      <c r="H538" s="2482"/>
      <c r="I538" s="2482"/>
      <c r="J538" s="2482"/>
      <c r="K538" s="2482"/>
      <c r="L538" s="2482"/>
      <c r="M538" s="2482"/>
      <c r="N538" s="2482"/>
      <c r="O538" s="2482"/>
      <c r="P538" s="2482"/>
      <c r="Q538" s="2482"/>
      <c r="R538" s="2482"/>
      <c r="S538" s="2482"/>
      <c r="T538" s="2482"/>
      <c r="U538" s="2482"/>
      <c r="V538" s="2482"/>
      <c r="W538" s="2482"/>
      <c r="X538" s="2482"/>
      <c r="Y538" s="2482"/>
      <c r="Z538" s="2482"/>
      <c r="AA538" s="2482"/>
      <c r="AB538" s="2482"/>
      <c r="AC538" s="2482"/>
      <c r="AD538" s="2482"/>
      <c r="AE538" s="2482"/>
      <c r="AF538" s="248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5">
        <f>SUM(AG492:AG537)</f>
        <v>0</v>
      </c>
      <c r="AL548" s="2441"/>
      <c r="AM548" s="239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2" t="s">
        <v>1550</v>
      </c>
      <c r="AF551" s="2452"/>
      <c r="AG551" s="2452"/>
      <c r="AH551" s="2452"/>
      <c r="AI551" s="2452"/>
      <c r="AJ551" s="2452"/>
      <c r="AK551" s="2452"/>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4" t="s">
        <v>590</v>
      </c>
      <c r="D554" s="2414"/>
      <c r="E554" s="550"/>
      <c r="F554" s="2554" t="s">
        <v>1551</v>
      </c>
      <c r="G554" s="2555"/>
      <c r="H554" s="2555"/>
      <c r="I554" s="2555"/>
      <c r="J554" s="2555"/>
      <c r="K554" s="2555"/>
      <c r="L554" s="2555"/>
      <c r="M554" s="2555"/>
      <c r="N554" s="2555"/>
      <c r="O554" s="2555"/>
      <c r="P554" s="2555"/>
      <c r="Q554" s="2555"/>
      <c r="R554" s="2555"/>
      <c r="S554" s="2555"/>
      <c r="T554" s="2555"/>
      <c r="U554" s="2555"/>
      <c r="V554" s="2555"/>
      <c r="W554" s="2555"/>
      <c r="X554" s="2555"/>
      <c r="Y554" s="2555"/>
      <c r="Z554" s="2555"/>
      <c r="AA554" s="2555"/>
      <c r="AB554" s="2555"/>
      <c r="AC554" s="2555"/>
      <c r="AD554" s="2555"/>
      <c r="AE554" s="2555"/>
      <c r="AF554" s="2555"/>
      <c r="AG554" s="2555"/>
      <c r="AH554" s="2555"/>
      <c r="AI554" s="2555"/>
      <c r="AJ554" s="2555"/>
      <c r="AK554" s="2555"/>
      <c r="AL554" s="2556"/>
      <c r="AM554" s="593"/>
      <c r="AN554" s="595"/>
    </row>
    <row r="555" spans="1:81" s="549" customFormat="1" ht="12.75" customHeight="1">
      <c r="B555" s="539"/>
      <c r="C555" s="550"/>
      <c r="D555" s="550"/>
      <c r="E555" s="550"/>
      <c r="F555" s="2557"/>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8"/>
      <c r="AK555" s="2558"/>
      <c r="AL555" s="255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4" t="s">
        <v>544</v>
      </c>
      <c r="D557" s="2414"/>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4" t="s">
        <v>2629</v>
      </c>
      <c r="G558" s="2392"/>
      <c r="H558" s="2392"/>
      <c r="I558" s="2392"/>
      <c r="J558" s="2392"/>
      <c r="K558" s="2392"/>
      <c r="L558" s="2392"/>
      <c r="M558" s="2392"/>
      <c r="N558" s="2392"/>
      <c r="O558" s="2392"/>
      <c r="P558" s="2392"/>
      <c r="Q558" s="2392"/>
      <c r="R558" s="2392"/>
      <c r="S558" s="2392"/>
      <c r="T558" s="2392"/>
      <c r="U558" s="2392"/>
      <c r="V558" s="2392"/>
      <c r="W558" s="2392"/>
      <c r="X558" s="2392"/>
      <c r="Y558" s="2392"/>
      <c r="Z558" s="2392"/>
      <c r="AA558" s="2392"/>
      <c r="AB558" s="2392"/>
      <c r="AC558" s="2392"/>
      <c r="AD558" s="2392"/>
      <c r="AE558" s="2392"/>
      <c r="AF558" s="2392"/>
      <c r="AG558" s="2392"/>
      <c r="AH558" s="2392"/>
      <c r="AI558" s="2392"/>
      <c r="AJ558" s="2392"/>
      <c r="AK558" s="2392"/>
      <c r="AL558" s="2435"/>
      <c r="AM558" s="593"/>
      <c r="AN558" s="595"/>
      <c r="AS558" s="866"/>
      <c r="AT558" s="866"/>
      <c r="AU558" s="866"/>
      <c r="AV558" s="866"/>
      <c r="AW558" s="866"/>
    </row>
    <row r="559" spans="1:81" s="549" customFormat="1" ht="12.75" customHeight="1">
      <c r="B559" s="802"/>
      <c r="C559" s="802"/>
      <c r="D559" s="802"/>
      <c r="E559" s="802"/>
      <c r="F559" s="2434"/>
      <c r="G559" s="2392"/>
      <c r="H559" s="2392"/>
      <c r="I559" s="2392"/>
      <c r="J559" s="2392"/>
      <c r="K559" s="2392"/>
      <c r="L559" s="2392"/>
      <c r="M559" s="2392"/>
      <c r="N559" s="2392"/>
      <c r="O559" s="2392"/>
      <c r="P559" s="2392"/>
      <c r="Q559" s="2392"/>
      <c r="R559" s="2392"/>
      <c r="S559" s="2392"/>
      <c r="T559" s="2392"/>
      <c r="U559" s="2392"/>
      <c r="V559" s="2392"/>
      <c r="W559" s="2392"/>
      <c r="X559" s="2392"/>
      <c r="Y559" s="2392"/>
      <c r="Z559" s="2392"/>
      <c r="AA559" s="2392"/>
      <c r="AB559" s="2392"/>
      <c r="AC559" s="2392"/>
      <c r="AD559" s="2392"/>
      <c r="AE559" s="2392"/>
      <c r="AF559" s="2392"/>
      <c r="AG559" s="2392"/>
      <c r="AH559" s="2392"/>
      <c r="AI559" s="2392"/>
      <c r="AJ559" s="2392"/>
      <c r="AK559" s="2392"/>
      <c r="AL559" s="2435"/>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4" t="s">
        <v>1553</v>
      </c>
      <c r="G561" s="2392"/>
      <c r="H561" s="2392"/>
      <c r="I561" s="2392"/>
      <c r="J561" s="2392"/>
      <c r="K561" s="2392"/>
      <c r="L561" s="2392"/>
      <c r="M561" s="2392"/>
      <c r="N561" s="2392"/>
      <c r="O561" s="2392"/>
      <c r="P561" s="2392"/>
      <c r="Q561" s="2392"/>
      <c r="R561" s="2392"/>
      <c r="S561" s="2392"/>
      <c r="T561" s="2392"/>
      <c r="U561" s="2392"/>
      <c r="V561" s="2392"/>
      <c r="W561" s="2392"/>
      <c r="X561" s="2392"/>
      <c r="Y561" s="2392"/>
      <c r="Z561" s="2392"/>
      <c r="AA561" s="2392"/>
      <c r="AB561" s="2392"/>
      <c r="AC561" s="2392"/>
      <c r="AD561" s="2392"/>
      <c r="AE561" s="2392"/>
      <c r="AF561" s="2392"/>
      <c r="AG561" s="2392"/>
      <c r="AH561" s="2392"/>
      <c r="AI561" s="2392"/>
      <c r="AJ561" s="2392"/>
      <c r="AK561" s="2392"/>
      <c r="AL561" s="809"/>
      <c r="AM561" s="593"/>
      <c r="AN561" s="595"/>
    </row>
    <row r="562" spans="1:45" s="549" customFormat="1" ht="12.75" customHeight="1">
      <c r="B562" s="802"/>
      <c r="C562" s="802"/>
      <c r="D562" s="802"/>
      <c r="E562" s="802"/>
      <c r="F562" s="2436"/>
      <c r="G562" s="2437"/>
      <c r="H562" s="2437"/>
      <c r="I562" s="2437"/>
      <c r="J562" s="2437"/>
      <c r="K562" s="2437"/>
      <c r="L562" s="2437"/>
      <c r="M562" s="2437"/>
      <c r="N562" s="2437"/>
      <c r="O562" s="2437"/>
      <c r="P562" s="2437"/>
      <c r="Q562" s="2437"/>
      <c r="R562" s="2437"/>
      <c r="S562" s="2437"/>
      <c r="T562" s="2437"/>
      <c r="U562" s="2437"/>
      <c r="V562" s="2437"/>
      <c r="W562" s="2437"/>
      <c r="X562" s="2437"/>
      <c r="Y562" s="2437"/>
      <c r="Z562" s="2437"/>
      <c r="AA562" s="2437"/>
      <c r="AB562" s="2437"/>
      <c r="AC562" s="2437"/>
      <c r="AD562" s="2437"/>
      <c r="AE562" s="2437"/>
      <c r="AF562" s="2437"/>
      <c r="AG562" s="2437"/>
      <c r="AH562" s="2437"/>
      <c r="AI562" s="2437"/>
      <c r="AJ562" s="2437"/>
      <c r="AK562" s="243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3">
        <f>Application!AJ1001</f>
        <v>17574480</v>
      </c>
      <c r="AQ563" s="2433"/>
      <c r="AR563" s="2433"/>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8">
        <f>'Sources and Uses Budget'!S107+'Sources and Uses Budget'!T107</f>
        <v>23362665</v>
      </c>
      <c r="AG564" s="2438"/>
      <c r="AH564" s="2438"/>
      <c r="AI564" s="2438"/>
      <c r="AJ564" s="2438"/>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9">
        <f>IFERROR(AP572,0)</f>
        <v>32234820</v>
      </c>
      <c r="AG565" s="2439"/>
      <c r="AH565" s="2439"/>
      <c r="AI565" s="2439"/>
      <c r="AJ565" s="2439"/>
      <c r="AK565" s="593"/>
      <c r="AL565" s="593"/>
      <c r="AM565" s="593"/>
      <c r="AN565" s="595"/>
      <c r="AP565" s="2433">
        <f>Application!AJ1054</f>
        <v>3690640.8</v>
      </c>
      <c r="AQ565" s="2433"/>
      <c r="AR565" s="2433"/>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0">
        <f>IFERROR(ROUNDDOWN(IF(C557="YES",((1-(AF564/AF565))*2),(1-(AF564/AF565))),2),0)</f>
        <v>0.55000000000000004</v>
      </c>
      <c r="AG566" s="2440"/>
      <c r="AH566" s="2440"/>
      <c r="AI566" s="2440"/>
      <c r="AJ566" s="2440"/>
      <c r="AK566" s="593"/>
      <c r="AL566" s="593"/>
      <c r="AM566" s="593"/>
      <c r="AN566" s="595"/>
      <c r="AP566" s="2431">
        <f>Application!AJ1058</f>
        <v>14762563.199999999</v>
      </c>
      <c r="AQ566" s="2431"/>
      <c r="AR566" s="2431"/>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1">
        <f>IF(((AP565+AP566)/AP563)&gt;0.8,0.8,((AP565+AP566)/AP563))</f>
        <v>0.8</v>
      </c>
      <c r="AQ567" s="2461"/>
      <c r="AR567" s="2461"/>
      <c r="AS567" s="549" t="s">
        <v>2126</v>
      </c>
    </row>
    <row r="568" spans="1:45" s="549" customFormat="1" ht="12.75" customHeight="1">
      <c r="A568" s="622"/>
      <c r="B568" s="2511" t="s">
        <v>1992</v>
      </c>
      <c r="C568" s="2512"/>
      <c r="D568" s="2512"/>
      <c r="E568" s="2512"/>
      <c r="F568" s="2512"/>
      <c r="G568" s="2512"/>
      <c r="H568" s="2512"/>
      <c r="I568" s="2512"/>
      <c r="J568" s="2512"/>
      <c r="K568" s="2512"/>
      <c r="L568" s="2512"/>
      <c r="M568" s="2512"/>
      <c r="N568" s="2512"/>
      <c r="O568" s="2512"/>
      <c r="P568" s="2512"/>
      <c r="Q568" s="2512"/>
      <c r="R568" s="2512"/>
      <c r="S568" s="2512"/>
      <c r="T568" s="2512"/>
      <c r="U568" s="2512"/>
      <c r="V568" s="2512"/>
      <c r="W568" s="2512"/>
      <c r="X568" s="2512"/>
      <c r="Y568" s="2512"/>
      <c r="Z568" s="2512"/>
      <c r="AA568" s="2512"/>
      <c r="AB568" s="2512"/>
      <c r="AC568" s="2512"/>
      <c r="AD568" s="2512"/>
      <c r="AE568" s="2512"/>
      <c r="AF568" s="2512"/>
      <c r="AG568" s="2512"/>
      <c r="AH568" s="2512"/>
      <c r="AI568" s="2512"/>
      <c r="AJ568" s="2513"/>
      <c r="AK568" s="593"/>
      <c r="AL568" s="593"/>
      <c r="AM568" s="593"/>
      <c r="AN568" s="595"/>
    </row>
    <row r="569" spans="1:45" s="549" customFormat="1" ht="12.75" customHeight="1">
      <c r="A569" s="622"/>
      <c r="B569" s="2514"/>
      <c r="C569" s="2515"/>
      <c r="D569" s="2515"/>
      <c r="E569" s="2515"/>
      <c r="F569" s="2515"/>
      <c r="G569" s="2515"/>
      <c r="H569" s="2515"/>
      <c r="I569" s="2515"/>
      <c r="J569" s="2515"/>
      <c r="K569" s="2515"/>
      <c r="L569" s="2515"/>
      <c r="M569" s="2515"/>
      <c r="N569" s="2515"/>
      <c r="O569" s="2515"/>
      <c r="P569" s="2515"/>
      <c r="Q569" s="2515"/>
      <c r="R569" s="2515"/>
      <c r="S569" s="2515"/>
      <c r="T569" s="2515"/>
      <c r="U569" s="2515"/>
      <c r="V569" s="2515"/>
      <c r="W569" s="2515"/>
      <c r="X569" s="2515"/>
      <c r="Y569" s="2515"/>
      <c r="Z569" s="2515"/>
      <c r="AA569" s="2515"/>
      <c r="AB569" s="2515"/>
      <c r="AC569" s="2515"/>
      <c r="AD569" s="2515"/>
      <c r="AE569" s="2515"/>
      <c r="AF569" s="2515"/>
      <c r="AG569" s="2515"/>
      <c r="AH569" s="2515"/>
      <c r="AI569" s="2515"/>
      <c r="AJ569" s="2516"/>
      <c r="AK569" s="593"/>
      <c r="AL569" s="593"/>
      <c r="AM569" s="593"/>
      <c r="AN569" s="595"/>
      <c r="AP569" s="2433">
        <f>AP570-AP565-AP566</f>
        <v>18175236</v>
      </c>
      <c r="AQ569" s="2462"/>
      <c r="AR569" s="2462"/>
      <c r="AS569" s="549" t="s">
        <v>2128</v>
      </c>
    </row>
    <row r="570" spans="1:45" s="549" customFormat="1" ht="12.75" customHeight="1">
      <c r="A570" s="622"/>
      <c r="B570" s="2517"/>
      <c r="C570" s="2518"/>
      <c r="D570" s="2518"/>
      <c r="E570" s="2518"/>
      <c r="F570" s="2518"/>
      <c r="G570" s="2518"/>
      <c r="H570" s="2518"/>
      <c r="I570" s="2518"/>
      <c r="J570" s="2518"/>
      <c r="K570" s="2518"/>
      <c r="L570" s="2518"/>
      <c r="M570" s="2518"/>
      <c r="N570" s="2518"/>
      <c r="O570" s="2518"/>
      <c r="P570" s="2518"/>
      <c r="Q570" s="2518"/>
      <c r="R570" s="2518"/>
      <c r="S570" s="2518"/>
      <c r="T570" s="2518"/>
      <c r="U570" s="2518"/>
      <c r="V570" s="2518"/>
      <c r="W570" s="2518"/>
      <c r="X570" s="2518"/>
      <c r="Y570" s="2518"/>
      <c r="Z570" s="2518"/>
      <c r="AA570" s="2518"/>
      <c r="AB570" s="2518"/>
      <c r="AC570" s="2518"/>
      <c r="AD570" s="2518"/>
      <c r="AE570" s="2518"/>
      <c r="AF570" s="2518"/>
      <c r="AG570" s="2518"/>
      <c r="AH570" s="2518"/>
      <c r="AI570" s="2518"/>
      <c r="AJ570" s="2519"/>
      <c r="AK570" s="593"/>
      <c r="AL570" s="593"/>
      <c r="AM570" s="593"/>
      <c r="AN570" s="595"/>
      <c r="AP570" s="2433">
        <f>Application!AJ1062</f>
        <v>36628440</v>
      </c>
      <c r="AQ570" s="2433"/>
      <c r="AR570" s="2433"/>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20">
        <f>IFERROR(IF(AND(C554="N/A",C557="N/A"),0,IF(AF566=0,0,IF((AF566*100)&gt;12,12,(AF566*100)))),0)</f>
        <v>12</v>
      </c>
      <c r="AL572" s="2520"/>
      <c r="AM572" s="2521"/>
      <c r="AN572" s="595"/>
      <c r="AP572" s="2422">
        <f>AP569+(AP563*AP567)</f>
        <v>32234820</v>
      </c>
      <c r="AQ572" s="2423"/>
      <c r="AR572" s="2424"/>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2" t="s">
        <v>1307</v>
      </c>
      <c r="AF575" s="2452"/>
      <c r="AG575" s="2452"/>
      <c r="AH575" s="2452"/>
      <c r="AI575" s="2452"/>
      <c r="AJ575" s="2452"/>
      <c r="AK575" s="245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2" t="s">
        <v>1984</v>
      </c>
      <c r="C577" s="2392"/>
      <c r="D577" s="2392"/>
      <c r="E577" s="2392"/>
      <c r="F577" s="2392"/>
      <c r="G577" s="2392"/>
      <c r="H577" s="2392"/>
      <c r="I577" s="2392"/>
      <c r="J577" s="2392"/>
      <c r="K577" s="2392"/>
      <c r="L577" s="2392"/>
      <c r="M577" s="2392"/>
      <c r="N577" s="2392"/>
      <c r="O577" s="2392"/>
      <c r="P577" s="2392"/>
      <c r="Q577" s="2392"/>
      <c r="R577" s="2392"/>
      <c r="S577" s="2392"/>
      <c r="T577" s="2392"/>
      <c r="U577" s="2392"/>
      <c r="V577" s="2392"/>
      <c r="W577" s="2392"/>
      <c r="X577" s="2392"/>
      <c r="Y577" s="2392"/>
      <c r="Z577" s="2392"/>
      <c r="AA577" s="2392"/>
      <c r="AB577" s="2392"/>
      <c r="AC577" s="2392"/>
      <c r="AD577" s="2392"/>
      <c r="AE577" s="2392"/>
      <c r="AF577" s="2392"/>
      <c r="AG577" s="2392"/>
      <c r="AH577" s="2392"/>
      <c r="AI577" s="2392"/>
      <c r="AJ577" s="2392"/>
      <c r="AK577" s="640"/>
      <c r="AL577" s="571"/>
      <c r="AM577" s="601"/>
      <c r="AN577" s="595"/>
    </row>
    <row r="578" spans="1:42" s="549" customFormat="1" ht="12.75" customHeight="1">
      <c r="A578" s="601"/>
      <c r="B578" s="2392"/>
      <c r="C578" s="2392"/>
      <c r="D578" s="2392"/>
      <c r="E578" s="2392"/>
      <c r="F578" s="2392"/>
      <c r="G578" s="2392"/>
      <c r="H578" s="2392"/>
      <c r="I578" s="2392"/>
      <c r="J578" s="2392"/>
      <c r="K578" s="2392"/>
      <c r="L578" s="2392"/>
      <c r="M578" s="2392"/>
      <c r="N578" s="2392"/>
      <c r="O578" s="2392"/>
      <c r="P578" s="2392"/>
      <c r="Q578" s="2392"/>
      <c r="R578" s="2392"/>
      <c r="S578" s="2392"/>
      <c r="T578" s="2392"/>
      <c r="U578" s="2392"/>
      <c r="V578" s="2392"/>
      <c r="W578" s="2392"/>
      <c r="X578" s="2392"/>
      <c r="Y578" s="2392"/>
      <c r="Z578" s="2392"/>
      <c r="AA578" s="2392"/>
      <c r="AB578" s="2392"/>
      <c r="AC578" s="2392"/>
      <c r="AD578" s="2392"/>
      <c r="AE578" s="2392"/>
      <c r="AF578" s="2392"/>
      <c r="AG578" s="2392"/>
      <c r="AH578" s="2392"/>
      <c r="AI578" s="2392"/>
      <c r="AJ578" s="2392"/>
      <c r="AK578" s="640"/>
      <c r="AL578" s="571"/>
      <c r="AM578" s="601"/>
      <c r="AN578" s="595"/>
    </row>
    <row r="579" spans="1:42" s="549" customFormat="1" ht="12.75" customHeight="1">
      <c r="A579" s="601"/>
      <c r="B579" s="2392"/>
      <c r="C579" s="2392"/>
      <c r="D579" s="2392"/>
      <c r="E579" s="2392"/>
      <c r="F579" s="2392"/>
      <c r="G579" s="2392"/>
      <c r="H579" s="2392"/>
      <c r="I579" s="2392"/>
      <c r="J579" s="2392"/>
      <c r="K579" s="2392"/>
      <c r="L579" s="2392"/>
      <c r="M579" s="2392"/>
      <c r="N579" s="2392"/>
      <c r="O579" s="2392"/>
      <c r="P579" s="2392"/>
      <c r="Q579" s="2392"/>
      <c r="R579" s="2392"/>
      <c r="S579" s="2392"/>
      <c r="T579" s="2392"/>
      <c r="U579" s="2392"/>
      <c r="V579" s="2392"/>
      <c r="W579" s="2392"/>
      <c r="X579" s="2392"/>
      <c r="Y579" s="2392"/>
      <c r="Z579" s="2392"/>
      <c r="AA579" s="2392"/>
      <c r="AB579" s="2392"/>
      <c r="AC579" s="2392"/>
      <c r="AD579" s="2392"/>
      <c r="AE579" s="2392"/>
      <c r="AF579" s="2392"/>
      <c r="AG579" s="2392"/>
      <c r="AH579" s="2392"/>
      <c r="AI579" s="2392"/>
      <c r="AJ579" s="2392"/>
      <c r="AK579" s="640"/>
      <c r="AL579" s="571"/>
      <c r="AM579" s="601"/>
      <c r="AN579" s="595"/>
    </row>
    <row r="580" spans="1:42" s="549" customFormat="1" ht="12.75" customHeight="1">
      <c r="A580" s="601"/>
      <c r="B580" s="2392"/>
      <c r="C580" s="2392"/>
      <c r="D580" s="2392"/>
      <c r="E580" s="2392"/>
      <c r="F580" s="2392"/>
      <c r="G580" s="2392"/>
      <c r="H580" s="2392"/>
      <c r="I580" s="2392"/>
      <c r="J580" s="2392"/>
      <c r="K580" s="2392"/>
      <c r="L580" s="2392"/>
      <c r="M580" s="2392"/>
      <c r="N580" s="2392"/>
      <c r="O580" s="2392"/>
      <c r="P580" s="2392"/>
      <c r="Q580" s="2392"/>
      <c r="R580" s="2392"/>
      <c r="S580" s="2392"/>
      <c r="T580" s="2392"/>
      <c r="U580" s="2392"/>
      <c r="V580" s="2392"/>
      <c r="W580" s="2392"/>
      <c r="X580" s="2392"/>
      <c r="Y580" s="2392"/>
      <c r="Z580" s="2392"/>
      <c r="AA580" s="2392"/>
      <c r="AB580" s="2392"/>
      <c r="AC580" s="2392"/>
      <c r="AD580" s="2392"/>
      <c r="AE580" s="2392"/>
      <c r="AF580" s="2392"/>
      <c r="AG580" s="2392"/>
      <c r="AH580" s="2392"/>
      <c r="AI580" s="2392"/>
      <c r="AJ580" s="2392"/>
      <c r="AK580" s="640"/>
      <c r="AL580" s="571"/>
      <c r="AM580" s="601"/>
      <c r="AN580" s="595"/>
    </row>
    <row r="581" spans="1:42" s="549" customFormat="1" ht="12.75" customHeight="1">
      <c r="A581" s="601"/>
      <c r="B581" s="2392"/>
      <c r="C581" s="2392"/>
      <c r="D581" s="2392"/>
      <c r="E581" s="2392"/>
      <c r="F581" s="2392"/>
      <c r="G581" s="2392"/>
      <c r="H581" s="2392"/>
      <c r="I581" s="2392"/>
      <c r="J581" s="2392"/>
      <c r="K581" s="2392"/>
      <c r="L581" s="2392"/>
      <c r="M581" s="2392"/>
      <c r="N581" s="2392"/>
      <c r="O581" s="2392"/>
      <c r="P581" s="2392"/>
      <c r="Q581" s="2392"/>
      <c r="R581" s="2392"/>
      <c r="S581" s="2392"/>
      <c r="T581" s="2392"/>
      <c r="U581" s="2392"/>
      <c r="V581" s="2392"/>
      <c r="W581" s="2392"/>
      <c r="X581" s="2392"/>
      <c r="Y581" s="2392"/>
      <c r="Z581" s="2392"/>
      <c r="AA581" s="2392"/>
      <c r="AB581" s="2392"/>
      <c r="AC581" s="2392"/>
      <c r="AD581" s="2392"/>
      <c r="AE581" s="2392"/>
      <c r="AF581" s="2392"/>
      <c r="AG581" s="2392"/>
      <c r="AH581" s="2392"/>
      <c r="AI581" s="2392"/>
      <c r="AJ581" s="2392"/>
      <c r="AK581" s="640"/>
      <c r="AL581" s="571"/>
      <c r="AM581" s="601"/>
      <c r="AN581" s="595"/>
    </row>
    <row r="582" spans="1:42" s="549" customFormat="1" ht="12.75" customHeight="1">
      <c r="A582" s="601"/>
      <c r="B582" s="2392"/>
      <c r="C582" s="2392"/>
      <c r="D582" s="2392"/>
      <c r="E582" s="2392"/>
      <c r="F582" s="2392"/>
      <c r="G582" s="2392"/>
      <c r="H582" s="2392"/>
      <c r="I582" s="2392"/>
      <c r="J582" s="2392"/>
      <c r="K582" s="2392"/>
      <c r="L582" s="2392"/>
      <c r="M582" s="2392"/>
      <c r="N582" s="2392"/>
      <c r="O582" s="2392"/>
      <c r="P582" s="2392"/>
      <c r="Q582" s="2392"/>
      <c r="R582" s="2392"/>
      <c r="S582" s="2392"/>
      <c r="T582" s="2392"/>
      <c r="U582" s="2392"/>
      <c r="V582" s="2392"/>
      <c r="W582" s="2392"/>
      <c r="X582" s="2392"/>
      <c r="Y582" s="2392"/>
      <c r="Z582" s="2392"/>
      <c r="AA582" s="2392"/>
      <c r="AB582" s="2392"/>
      <c r="AC582" s="2392"/>
      <c r="AD582" s="2392"/>
      <c r="AE582" s="2392"/>
      <c r="AF582" s="2392"/>
      <c r="AG582" s="2392"/>
      <c r="AH582" s="2392"/>
      <c r="AI582" s="2392"/>
      <c r="AJ582" s="2392"/>
      <c r="AK582" s="640"/>
      <c r="AL582" s="571"/>
      <c r="AM582" s="601"/>
      <c r="AN582" s="595"/>
    </row>
    <row r="583" spans="1:42" s="549" customFormat="1" ht="12.75" customHeight="1">
      <c r="A583" s="601"/>
      <c r="B583" s="2392"/>
      <c r="C583" s="2392"/>
      <c r="D583" s="2392"/>
      <c r="E583" s="2392"/>
      <c r="F583" s="2392"/>
      <c r="G583" s="2392"/>
      <c r="H583" s="2392"/>
      <c r="I583" s="2392"/>
      <c r="J583" s="2392"/>
      <c r="K583" s="2392"/>
      <c r="L583" s="2392"/>
      <c r="M583" s="2392"/>
      <c r="N583" s="2392"/>
      <c r="O583" s="2392"/>
      <c r="P583" s="2392"/>
      <c r="Q583" s="2392"/>
      <c r="R583" s="2392"/>
      <c r="S583" s="2392"/>
      <c r="T583" s="2392"/>
      <c r="U583" s="2392"/>
      <c r="V583" s="2392"/>
      <c r="W583" s="2392"/>
      <c r="X583" s="2392"/>
      <c r="Y583" s="2392"/>
      <c r="Z583" s="2392"/>
      <c r="AA583" s="2392"/>
      <c r="AB583" s="2392"/>
      <c r="AC583" s="2392"/>
      <c r="AD583" s="2392"/>
      <c r="AE583" s="2392"/>
      <c r="AF583" s="2392"/>
      <c r="AG583" s="2392"/>
      <c r="AH583" s="2392"/>
      <c r="AI583" s="2392"/>
      <c r="AJ583" s="2392"/>
      <c r="AK583" s="640"/>
      <c r="AL583" s="571"/>
      <c r="AM583" s="601"/>
      <c r="AN583" s="595"/>
    </row>
    <row r="584" spans="1:42" ht="12.75" customHeight="1">
      <c r="A584" s="601"/>
      <c r="B584" s="2392"/>
      <c r="C584" s="2392"/>
      <c r="D584" s="2392"/>
      <c r="E584" s="2392"/>
      <c r="F584" s="2392"/>
      <c r="G584" s="2392"/>
      <c r="H584" s="2392"/>
      <c r="I584" s="2392"/>
      <c r="J584" s="2392"/>
      <c r="K584" s="2392"/>
      <c r="L584" s="2392"/>
      <c r="M584" s="2392"/>
      <c r="N584" s="2392"/>
      <c r="O584" s="2392"/>
      <c r="P584" s="2392"/>
      <c r="Q584" s="2392"/>
      <c r="R584" s="2392"/>
      <c r="S584" s="2392"/>
      <c r="T584" s="2392"/>
      <c r="U584" s="2392"/>
      <c r="V584" s="2392"/>
      <c r="W584" s="2392"/>
      <c r="X584" s="2392"/>
      <c r="Y584" s="2392"/>
      <c r="Z584" s="2392"/>
      <c r="AA584" s="2392"/>
      <c r="AB584" s="2392"/>
      <c r="AC584" s="2392"/>
      <c r="AD584" s="2392"/>
      <c r="AE584" s="2392"/>
      <c r="AF584" s="2392"/>
      <c r="AG584" s="2392"/>
      <c r="AH584" s="2392"/>
      <c r="AI584" s="2392"/>
      <c r="AJ584" s="2392"/>
      <c r="AK584" s="640"/>
      <c r="AL584" s="571"/>
      <c r="AM584" s="601"/>
    </row>
    <row r="585" spans="1:42" s="549" customFormat="1" ht="12.75" customHeight="1">
      <c r="B585" s="2392"/>
      <c r="C585" s="2392"/>
      <c r="D585" s="2392"/>
      <c r="E585" s="2392"/>
      <c r="F585" s="2392"/>
      <c r="G585" s="2392"/>
      <c r="H585" s="2392"/>
      <c r="I585" s="2392"/>
      <c r="J585" s="2392"/>
      <c r="K585" s="2392"/>
      <c r="L585" s="2392"/>
      <c r="M585" s="2392"/>
      <c r="N585" s="2392"/>
      <c r="O585" s="2392"/>
      <c r="P585" s="2392"/>
      <c r="Q585" s="2392"/>
      <c r="R585" s="2392"/>
      <c r="S585" s="2392"/>
      <c r="T585" s="2392"/>
      <c r="U585" s="2392"/>
      <c r="V585" s="2392"/>
      <c r="W585" s="2392"/>
      <c r="X585" s="2392"/>
      <c r="Y585" s="2392"/>
      <c r="Z585" s="2392"/>
      <c r="AA585" s="2392"/>
      <c r="AB585" s="2392"/>
      <c r="AC585" s="2392"/>
      <c r="AD585" s="2392"/>
      <c r="AE585" s="2392"/>
      <c r="AF585" s="2392"/>
      <c r="AG585" s="2392"/>
      <c r="AH585" s="2392"/>
      <c r="AI585" s="2392"/>
      <c r="AJ585" s="239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3" t="s">
        <v>1331</v>
      </c>
      <c r="AG591" s="2393"/>
      <c r="AH591" s="2393"/>
      <c r="AI591" s="2393"/>
      <c r="AJ591" s="2393"/>
      <c r="AK591" s="2393"/>
      <c r="AL591" s="2393"/>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3" t="s">
        <v>1387</v>
      </c>
      <c r="AG598" s="2393"/>
      <c r="AH598" s="2393"/>
      <c r="AI598" s="2393"/>
      <c r="AJ598" s="2393"/>
      <c r="AK598" s="2393"/>
      <c r="AL598" s="2393"/>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3" t="s">
        <v>1370</v>
      </c>
      <c r="AG604" s="2393"/>
      <c r="AH604" s="2393"/>
      <c r="AI604" s="2393"/>
      <c r="AJ604" s="2393"/>
      <c r="AK604" s="2393"/>
      <c r="AL604" s="2393"/>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3" t="s">
        <v>1390</v>
      </c>
      <c r="AG610" s="2393"/>
      <c r="AH610" s="2393"/>
      <c r="AI610" s="2393"/>
      <c r="AJ610" s="2393"/>
      <c r="AK610" s="2393"/>
      <c r="AL610" s="2393"/>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8" t="s">
        <v>1183</v>
      </c>
      <c r="P614" s="2538"/>
      <c r="Q614" s="2538"/>
      <c r="R614" s="2538"/>
      <c r="S614" s="2538"/>
      <c r="T614" s="2538"/>
      <c r="U614" s="2538"/>
      <c r="V614" s="2538"/>
      <c r="W614" s="2538"/>
      <c r="X614" s="2538"/>
      <c r="Y614" s="2538"/>
      <c r="Z614" s="2538"/>
      <c r="AA614" s="2538"/>
      <c r="AB614" s="253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3" t="s">
        <v>1345</v>
      </c>
      <c r="AG616" s="2393"/>
      <c r="AH616" s="2393"/>
      <c r="AI616" s="2393"/>
      <c r="AJ616" s="2393"/>
      <c r="AK616" s="2393"/>
      <c r="AL616" s="2393"/>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4" t="s">
        <v>1388</v>
      </c>
      <c r="I619" s="2394"/>
      <c r="J619" s="932"/>
      <c r="K619" s="932"/>
      <c r="L619" s="932"/>
      <c r="N619" s="22"/>
      <c r="O619" s="22"/>
      <c r="P619" s="22"/>
      <c r="Q619" s="1145" t="s">
        <v>2131</v>
      </c>
      <c r="R619" s="2539" t="s">
        <v>2132</v>
      </c>
      <c r="S619" s="2539"/>
      <c r="T619" s="2539"/>
      <c r="U619" s="2539"/>
      <c r="V619" s="2539"/>
      <c r="W619" s="2539"/>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0" t="str">
        <f>IF(AND(H619="(i)",NOT(AP595)),AO612,IF(AND(H619="(iv)",OR(R619=AO608,R619=AO607),NOT(AP596)),AO613,""))</f>
        <v/>
      </c>
      <c r="Z620" s="2540"/>
      <c r="AA620" s="2540"/>
      <c r="AB620" s="2540"/>
      <c r="AC620" s="2540"/>
      <c r="AD620" s="2540"/>
      <c r="AE620" s="2540"/>
      <c r="AF620" s="2540"/>
      <c r="AG620" s="2540"/>
      <c r="AH620" s="2540"/>
      <c r="AI620" s="2540"/>
      <c r="AJ620" s="2540"/>
      <c r="AK620" s="2540"/>
      <c r="AL620" s="2540"/>
      <c r="AM620" s="2541"/>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0"/>
      <c r="Z621" s="2540"/>
      <c r="AA621" s="2540"/>
      <c r="AB621" s="2540"/>
      <c r="AC621" s="2540"/>
      <c r="AD621" s="2540"/>
      <c r="AE621" s="2540"/>
      <c r="AF621" s="2540"/>
      <c r="AG621" s="2540"/>
      <c r="AH621" s="2540"/>
      <c r="AI621" s="2540"/>
      <c r="AJ621" s="2540"/>
      <c r="AK621" s="2540"/>
      <c r="AL621" s="2540"/>
      <c r="AM621" s="2541"/>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7" t="s">
        <v>590</v>
      </c>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2537"/>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00" t="s">
        <v>590</v>
      </c>
      <c r="C629" s="2400"/>
      <c r="D629" s="640"/>
      <c r="E629" s="2392" t="s">
        <v>1394</v>
      </c>
      <c r="F629" s="2392"/>
      <c r="G629" s="2392"/>
      <c r="H629" s="2392"/>
      <c r="I629" s="2392"/>
      <c r="J629" s="2392"/>
      <c r="K629" s="2392"/>
      <c r="L629" s="2392"/>
      <c r="M629" s="2392"/>
      <c r="N629" s="2392"/>
      <c r="O629" s="2392"/>
      <c r="P629" s="2392"/>
      <c r="Q629" s="2392"/>
      <c r="R629" s="2392"/>
      <c r="S629" s="2392"/>
      <c r="T629" s="2392"/>
      <c r="U629" s="2392"/>
      <c r="V629" s="2392"/>
      <c r="W629" s="2392"/>
      <c r="X629" s="2392"/>
      <c r="Y629" s="2392"/>
      <c r="Z629" s="2392"/>
      <c r="AA629" s="2392"/>
      <c r="AB629" s="2392"/>
      <c r="AC629" s="2392"/>
      <c r="AD629" s="2392"/>
      <c r="AE629" s="2392"/>
      <c r="AF629" s="2392"/>
      <c r="AG629" s="2392"/>
      <c r="AH629" s="640"/>
      <c r="AI629" s="640"/>
      <c r="AJ629" s="640"/>
      <c r="AK629" s="640"/>
      <c r="AL629" s="640"/>
      <c r="AN629" s="595"/>
    </row>
    <row r="630" spans="1:42" s="549" customFormat="1" ht="12.75" customHeight="1">
      <c r="B630" s="536"/>
      <c r="C630" s="929"/>
      <c r="D630" s="640"/>
      <c r="E630" s="2392"/>
      <c r="F630" s="2392"/>
      <c r="G630" s="2392"/>
      <c r="H630" s="2392"/>
      <c r="I630" s="2392"/>
      <c r="J630" s="2392"/>
      <c r="K630" s="2392"/>
      <c r="L630" s="2392"/>
      <c r="M630" s="2392"/>
      <c r="N630" s="2392"/>
      <c r="O630" s="2392"/>
      <c r="P630" s="2392"/>
      <c r="Q630" s="2392"/>
      <c r="R630" s="2392"/>
      <c r="S630" s="2392"/>
      <c r="T630" s="2392"/>
      <c r="U630" s="2392"/>
      <c r="V630" s="2392"/>
      <c r="W630" s="2392"/>
      <c r="X630" s="2392"/>
      <c r="Y630" s="2392"/>
      <c r="Z630" s="2392"/>
      <c r="AA630" s="2392"/>
      <c r="AB630" s="2392"/>
      <c r="AC630" s="2392"/>
      <c r="AD630" s="2392"/>
      <c r="AE630" s="2392"/>
      <c r="AF630" s="2392"/>
      <c r="AG630" s="2392"/>
      <c r="AH630" s="640"/>
      <c r="AI630" s="640"/>
      <c r="AJ630" s="640"/>
      <c r="AK630" s="640"/>
      <c r="AL630" s="640"/>
      <c r="AN630" s="595"/>
    </row>
    <row r="631" spans="1:42" s="549" customFormat="1" ht="12.75" customHeight="1">
      <c r="B631" s="536"/>
      <c r="C631" s="929"/>
      <c r="D631" s="640"/>
      <c r="E631" s="2392"/>
      <c r="F631" s="2392"/>
      <c r="G631" s="2392"/>
      <c r="H631" s="2392"/>
      <c r="I631" s="2392"/>
      <c r="J631" s="2392"/>
      <c r="K631" s="2392"/>
      <c r="L631" s="2392"/>
      <c r="M631" s="2392"/>
      <c r="N631" s="2392"/>
      <c r="O631" s="2392"/>
      <c r="P631" s="2392"/>
      <c r="Q631" s="2392"/>
      <c r="R631" s="2392"/>
      <c r="S631" s="2392"/>
      <c r="T631" s="2392"/>
      <c r="U631" s="2392"/>
      <c r="V631" s="2392"/>
      <c r="W631" s="2392"/>
      <c r="X631" s="2392"/>
      <c r="Y631" s="2392"/>
      <c r="Z631" s="2392"/>
      <c r="AA631" s="2392"/>
      <c r="AB631" s="2392"/>
      <c r="AC631" s="2392"/>
      <c r="AD631" s="2392"/>
      <c r="AE631" s="2392"/>
      <c r="AF631" s="2392"/>
      <c r="AG631" s="2392"/>
      <c r="AH631" s="640"/>
      <c r="AI631" s="640"/>
      <c r="AJ631" s="640"/>
      <c r="AK631" s="640"/>
      <c r="AL631" s="640"/>
      <c r="AN631" s="595"/>
    </row>
    <row r="632" spans="1:42" s="549" customFormat="1" ht="12.75" customHeight="1">
      <c r="B632" s="536"/>
      <c r="C632" s="929"/>
      <c r="D632" s="640"/>
      <c r="E632" s="2392"/>
      <c r="F632" s="2392"/>
      <c r="G632" s="2392"/>
      <c r="H632" s="2392"/>
      <c r="I632" s="2392"/>
      <c r="J632" s="2392"/>
      <c r="K632" s="2392"/>
      <c r="L632" s="2392"/>
      <c r="M632" s="2392"/>
      <c r="N632" s="2392"/>
      <c r="O632" s="2392"/>
      <c r="P632" s="2392"/>
      <c r="Q632" s="2392"/>
      <c r="R632" s="2392"/>
      <c r="S632" s="2392"/>
      <c r="T632" s="2392"/>
      <c r="U632" s="2392"/>
      <c r="V632" s="2392"/>
      <c r="W632" s="2392"/>
      <c r="X632" s="2392"/>
      <c r="Y632" s="2392"/>
      <c r="Z632" s="2392"/>
      <c r="AA632" s="2392"/>
      <c r="AB632" s="2392"/>
      <c r="AC632" s="2392"/>
      <c r="AD632" s="2392"/>
      <c r="AE632" s="2392"/>
      <c r="AF632" s="2392"/>
      <c r="AG632" s="239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5">
        <f>VLOOKUP($H$619,$AO$599:$AP$604,2,FALSE)+IF(R619=AO607,0,VLOOKUP($I$627,$AO$626:$AP$628,2,FALSE))</f>
        <v>4</v>
      </c>
      <c r="AK634" s="239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6" t="s">
        <v>1682</v>
      </c>
      <c r="F638" s="2536"/>
      <c r="G638" s="2536"/>
      <c r="H638" s="2536"/>
      <c r="I638" s="2536"/>
      <c r="J638" s="2536"/>
      <c r="K638" s="2536"/>
      <c r="L638" s="2536"/>
      <c r="M638" s="2536"/>
      <c r="N638" s="2536"/>
      <c r="O638" s="2536"/>
      <c r="P638" s="2536"/>
      <c r="Q638" s="2536"/>
      <c r="R638" s="2536"/>
      <c r="S638" s="2536"/>
      <c r="T638" s="2536"/>
      <c r="U638" s="2536"/>
      <c r="V638" s="2536"/>
      <c r="W638" s="2536"/>
      <c r="X638" s="2536"/>
      <c r="Y638" s="2536"/>
      <c r="Z638" s="2536"/>
      <c r="AA638" s="2536"/>
      <c r="AB638" s="2536"/>
      <c r="AC638" s="2536"/>
      <c r="AD638" s="2536"/>
      <c r="AE638" s="539"/>
      <c r="AF638" s="2393" t="s">
        <v>1345</v>
      </c>
      <c r="AG638" s="2393"/>
      <c r="AH638" s="2393"/>
      <c r="AI638" s="2393"/>
      <c r="AJ638" s="2393"/>
      <c r="AK638" s="2393"/>
      <c r="AL638" s="2393"/>
      <c r="AM638" s="549"/>
      <c r="AN638" s="674"/>
    </row>
    <row r="639" spans="1:42" s="549" customFormat="1" ht="12.75" customHeight="1">
      <c r="A639" s="675"/>
      <c r="B639" s="536"/>
      <c r="C639" s="929"/>
      <c r="D639" s="659"/>
      <c r="E639" s="2536"/>
      <c r="F639" s="2536"/>
      <c r="G639" s="2536"/>
      <c r="H639" s="2536"/>
      <c r="I639" s="2536"/>
      <c r="J639" s="2536"/>
      <c r="K639" s="2536"/>
      <c r="L639" s="2536"/>
      <c r="M639" s="2536"/>
      <c r="N639" s="2536"/>
      <c r="O639" s="2536"/>
      <c r="P639" s="2536"/>
      <c r="Q639" s="2536"/>
      <c r="R639" s="2536"/>
      <c r="S639" s="2536"/>
      <c r="T639" s="2536"/>
      <c r="U639" s="2536"/>
      <c r="V639" s="2536"/>
      <c r="W639" s="2536"/>
      <c r="X639" s="2536"/>
      <c r="Y639" s="2536"/>
      <c r="Z639" s="2536"/>
      <c r="AA639" s="2536"/>
      <c r="AB639" s="2536"/>
      <c r="AC639" s="2536"/>
      <c r="AD639" s="2536"/>
      <c r="AE639" s="536"/>
      <c r="AF639" s="536"/>
      <c r="AG639" s="536"/>
      <c r="AH639" s="536"/>
      <c r="AI639" s="536"/>
      <c r="AJ639" s="536"/>
      <c r="AK639" s="536"/>
      <c r="AL639" s="536"/>
      <c r="AN639" s="595"/>
    </row>
    <row r="640" spans="1:42" s="549" customFormat="1" ht="12.75" customHeight="1">
      <c r="B640" s="536"/>
      <c r="C640" s="927"/>
      <c r="D640" s="659"/>
      <c r="E640" s="2536"/>
      <c r="F640" s="2536"/>
      <c r="G640" s="2536"/>
      <c r="H640" s="2536"/>
      <c r="I640" s="2536"/>
      <c r="J640" s="2536"/>
      <c r="K640" s="2536"/>
      <c r="L640" s="2536"/>
      <c r="M640" s="2536"/>
      <c r="N640" s="2536"/>
      <c r="O640" s="2536"/>
      <c r="P640" s="2536"/>
      <c r="Q640" s="2536"/>
      <c r="R640" s="2536"/>
      <c r="S640" s="2536"/>
      <c r="T640" s="2536"/>
      <c r="U640" s="2536"/>
      <c r="V640" s="2536"/>
      <c r="W640" s="2536"/>
      <c r="X640" s="2536"/>
      <c r="Y640" s="2536"/>
      <c r="Z640" s="2536"/>
      <c r="AA640" s="2536"/>
      <c r="AB640" s="2536"/>
      <c r="AC640" s="2536"/>
      <c r="AD640" s="2536"/>
      <c r="AE640" s="536"/>
      <c r="AF640" s="536"/>
      <c r="AG640" s="536"/>
      <c r="AH640" s="536"/>
      <c r="AI640" s="536"/>
      <c r="AJ640" s="536"/>
      <c r="AK640" s="536"/>
      <c r="AL640" s="536"/>
      <c r="AN640" s="595"/>
    </row>
    <row r="641" spans="1:42" s="549" customFormat="1" ht="12.75" customHeight="1">
      <c r="B641" s="536"/>
      <c r="C641" s="927"/>
      <c r="D641" s="659"/>
      <c r="E641" s="2536"/>
      <c r="F641" s="2536"/>
      <c r="G641" s="2536"/>
      <c r="H641" s="2536"/>
      <c r="I641" s="2536"/>
      <c r="J641" s="2536"/>
      <c r="K641" s="2536"/>
      <c r="L641" s="2536"/>
      <c r="M641" s="2536"/>
      <c r="N641" s="2536"/>
      <c r="O641" s="2536"/>
      <c r="P641" s="2536"/>
      <c r="Q641" s="2536"/>
      <c r="R641" s="2536"/>
      <c r="S641" s="2536"/>
      <c r="T641" s="2536"/>
      <c r="U641" s="2536"/>
      <c r="V641" s="2536"/>
      <c r="W641" s="2536"/>
      <c r="X641" s="2536"/>
      <c r="Y641" s="2536"/>
      <c r="Z641" s="2536"/>
      <c r="AA641" s="2536"/>
      <c r="AB641" s="2536"/>
      <c r="AC641" s="2536"/>
      <c r="AD641" s="2536"/>
      <c r="AE641" s="536"/>
      <c r="AF641" s="536"/>
      <c r="AG641" s="536"/>
      <c r="AH641" s="536"/>
      <c r="AI641" s="536"/>
      <c r="AJ641" s="536"/>
      <c r="AK641" s="536"/>
      <c r="AL641" s="536"/>
      <c r="AN641" s="595"/>
    </row>
    <row r="642" spans="1:42" s="549" customFormat="1" ht="12.75" customHeight="1">
      <c r="B642" s="536"/>
      <c r="C642" s="927"/>
      <c r="D642" s="659"/>
      <c r="E642" s="2536"/>
      <c r="F642" s="2536"/>
      <c r="G642" s="2536"/>
      <c r="H642" s="2536"/>
      <c r="I642" s="2536"/>
      <c r="J642" s="2536"/>
      <c r="K642" s="2536"/>
      <c r="L642" s="2536"/>
      <c r="M642" s="2536"/>
      <c r="N642" s="2536"/>
      <c r="O642" s="2536"/>
      <c r="P642" s="2536"/>
      <c r="Q642" s="2536"/>
      <c r="R642" s="2536"/>
      <c r="S642" s="2536"/>
      <c r="T642" s="2536"/>
      <c r="U642" s="2536"/>
      <c r="V642" s="2536"/>
      <c r="W642" s="2536"/>
      <c r="X642" s="2536"/>
      <c r="Y642" s="2536"/>
      <c r="Z642" s="2536"/>
      <c r="AA642" s="2536"/>
      <c r="AB642" s="2536"/>
      <c r="AC642" s="2536"/>
      <c r="AD642" s="2536"/>
      <c r="AE642" s="536"/>
      <c r="AF642" s="536"/>
      <c r="AG642" s="536"/>
      <c r="AH642" s="536"/>
      <c r="AI642" s="536"/>
      <c r="AJ642" s="536"/>
      <c r="AK642" s="536"/>
      <c r="AL642" s="536"/>
      <c r="AN642" s="595"/>
    </row>
    <row r="643" spans="1:42" s="549" customFormat="1" ht="12.75" customHeight="1">
      <c r="B643" s="536"/>
      <c r="C643" s="927"/>
      <c r="D643" s="659"/>
      <c r="E643" s="2536"/>
      <c r="F643" s="2536"/>
      <c r="G643" s="2536"/>
      <c r="H643" s="2536"/>
      <c r="I643" s="2536"/>
      <c r="J643" s="2536"/>
      <c r="K643" s="2536"/>
      <c r="L643" s="2536"/>
      <c r="M643" s="2536"/>
      <c r="N643" s="2536"/>
      <c r="O643" s="2536"/>
      <c r="P643" s="2536"/>
      <c r="Q643" s="2536"/>
      <c r="R643" s="2536"/>
      <c r="S643" s="2536"/>
      <c r="T643" s="2536"/>
      <c r="U643" s="2536"/>
      <c r="V643" s="2536"/>
      <c r="W643" s="2536"/>
      <c r="X643" s="2536"/>
      <c r="Y643" s="2536"/>
      <c r="Z643" s="2536"/>
      <c r="AA643" s="2536"/>
      <c r="AB643" s="2536"/>
      <c r="AC643" s="2536"/>
      <c r="AD643" s="2536"/>
      <c r="AE643" s="536"/>
      <c r="AF643" s="536"/>
      <c r="AG643" s="536"/>
      <c r="AH643" s="536"/>
      <c r="AI643" s="536"/>
      <c r="AJ643" s="536"/>
      <c r="AK643" s="536"/>
      <c r="AL643" s="536"/>
      <c r="AN643" s="595"/>
    </row>
    <row r="644" spans="1:42" s="549" customFormat="1" ht="12.75" customHeight="1">
      <c r="A644" s="635"/>
      <c r="B644" s="614"/>
      <c r="C644" s="936"/>
      <c r="D644" s="659"/>
      <c r="E644" s="2536"/>
      <c r="F644" s="2536"/>
      <c r="G644" s="2536"/>
      <c r="H644" s="2536"/>
      <c r="I644" s="2536"/>
      <c r="J644" s="2536"/>
      <c r="K644" s="2536"/>
      <c r="L644" s="2536"/>
      <c r="M644" s="2536"/>
      <c r="N644" s="2536"/>
      <c r="O644" s="2536"/>
      <c r="P644" s="2536"/>
      <c r="Q644" s="2536"/>
      <c r="R644" s="2536"/>
      <c r="S644" s="2536"/>
      <c r="T644" s="2536"/>
      <c r="U644" s="2536"/>
      <c r="V644" s="2536"/>
      <c r="W644" s="2536"/>
      <c r="X644" s="2536"/>
      <c r="Y644" s="2536"/>
      <c r="Z644" s="2536"/>
      <c r="AA644" s="2536"/>
      <c r="AB644" s="2536"/>
      <c r="AC644" s="2536"/>
      <c r="AD644" s="2536"/>
      <c r="AE644" s="614"/>
      <c r="AF644" s="614"/>
      <c r="AG644" s="614"/>
      <c r="AH644" s="614"/>
      <c r="AI644" s="614"/>
      <c r="AJ644" s="614"/>
      <c r="AK644" s="536"/>
      <c r="AL644" s="536"/>
      <c r="AN644" s="595"/>
    </row>
    <row r="645" spans="1:42" s="549" customFormat="1" ht="12.75" customHeight="1">
      <c r="B645" s="614"/>
      <c r="C645" s="936"/>
      <c r="D645" s="659"/>
      <c r="E645" s="2536"/>
      <c r="F645" s="2536"/>
      <c r="G645" s="2536"/>
      <c r="H645" s="2536"/>
      <c r="I645" s="2536"/>
      <c r="J645" s="2536"/>
      <c r="K645" s="2536"/>
      <c r="L645" s="2536"/>
      <c r="M645" s="2536"/>
      <c r="N645" s="2536"/>
      <c r="O645" s="2536"/>
      <c r="P645" s="2536"/>
      <c r="Q645" s="2536"/>
      <c r="R645" s="2536"/>
      <c r="S645" s="2536"/>
      <c r="T645" s="2536"/>
      <c r="U645" s="2536"/>
      <c r="V645" s="2536"/>
      <c r="W645" s="2536"/>
      <c r="X645" s="2536"/>
      <c r="Y645" s="2536"/>
      <c r="Z645" s="2536"/>
      <c r="AA645" s="2536"/>
      <c r="AB645" s="2536"/>
      <c r="AC645" s="2536"/>
      <c r="AD645" s="253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00" t="s">
        <v>590</v>
      </c>
      <c r="Y647" s="2400"/>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3" t="s">
        <v>1399</v>
      </c>
      <c r="AG649" s="2393"/>
      <c r="AH649" s="2393"/>
      <c r="AI649" s="2393"/>
      <c r="AJ649" s="2393"/>
      <c r="AK649" s="2393"/>
      <c r="AL649" s="2393"/>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4" t="s">
        <v>686</v>
      </c>
      <c r="I651" s="2394"/>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5">
        <f>VLOOKUP($H$651,$AO$618:$AP$620,2,FALSE)</f>
        <v>3</v>
      </c>
      <c r="AK653" s="2396"/>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2" t="s">
        <v>2053</v>
      </c>
      <c r="F657" s="2392"/>
      <c r="G657" s="2392"/>
      <c r="H657" s="2392"/>
      <c r="I657" s="2392"/>
      <c r="J657" s="2392"/>
      <c r="K657" s="2392"/>
      <c r="L657" s="2392"/>
      <c r="M657" s="2392"/>
      <c r="N657" s="2392"/>
      <c r="O657" s="2392"/>
      <c r="P657" s="2392"/>
      <c r="Q657" s="2392"/>
      <c r="R657" s="2392"/>
      <c r="S657" s="2392"/>
      <c r="T657" s="2392"/>
      <c r="U657" s="2392"/>
      <c r="V657" s="2392"/>
      <c r="W657" s="2392"/>
      <c r="X657" s="2392"/>
      <c r="Y657" s="2392"/>
      <c r="Z657" s="2392"/>
      <c r="AA657" s="2392"/>
      <c r="AB657" s="2392"/>
      <c r="AC657" s="2392"/>
      <c r="AD657" s="2392"/>
      <c r="AE657" s="536"/>
      <c r="AF657" s="2393" t="s">
        <v>1345</v>
      </c>
      <c r="AG657" s="2393"/>
      <c r="AH657" s="2393"/>
      <c r="AI657" s="2393"/>
      <c r="AJ657" s="2393"/>
      <c r="AK657" s="2393"/>
      <c r="AL657" s="2393"/>
      <c r="AN657" s="595"/>
    </row>
    <row r="658" spans="1:42" s="549" customFormat="1" ht="12.75" customHeight="1">
      <c r="B658" s="536"/>
      <c r="C658" s="536"/>
      <c r="D658" s="659"/>
      <c r="E658" s="2392"/>
      <c r="F658" s="2392"/>
      <c r="G658" s="2392"/>
      <c r="H658" s="2392"/>
      <c r="I658" s="2392"/>
      <c r="J658" s="2392"/>
      <c r="K658" s="2392"/>
      <c r="L658" s="2392"/>
      <c r="M658" s="2392"/>
      <c r="N658" s="2392"/>
      <c r="O658" s="2392"/>
      <c r="P658" s="2392"/>
      <c r="Q658" s="2392"/>
      <c r="R658" s="2392"/>
      <c r="S658" s="2392"/>
      <c r="T658" s="2392"/>
      <c r="U658" s="2392"/>
      <c r="V658" s="2392"/>
      <c r="W658" s="2392"/>
      <c r="X658" s="2392"/>
      <c r="Y658" s="2392"/>
      <c r="Z658" s="2392"/>
      <c r="AA658" s="2392"/>
      <c r="AB658" s="2392"/>
      <c r="AC658" s="2392"/>
      <c r="AD658" s="239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3" t="s">
        <v>1399</v>
      </c>
      <c r="AG660" s="2393"/>
      <c r="AH660" s="2393"/>
      <c r="AI660" s="2393"/>
      <c r="AJ660" s="2393"/>
      <c r="AK660" s="2393"/>
      <c r="AL660" s="2393"/>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4" t="s">
        <v>590</v>
      </c>
      <c r="I663" s="2394"/>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5">
        <f>VLOOKUP(H663,AT618:AU620,2,FALSE)</f>
        <v>0</v>
      </c>
      <c r="AK665" s="239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2" t="s">
        <v>1409</v>
      </c>
      <c r="F670" s="2392"/>
      <c r="G670" s="2392"/>
      <c r="H670" s="2392"/>
      <c r="I670" s="2392"/>
      <c r="J670" s="2392"/>
      <c r="K670" s="2392"/>
      <c r="L670" s="2392"/>
      <c r="M670" s="2392"/>
      <c r="N670" s="2392"/>
      <c r="O670" s="2392"/>
      <c r="P670" s="2392"/>
      <c r="Q670" s="2392"/>
      <c r="R670" s="2392"/>
      <c r="S670" s="2392"/>
      <c r="T670" s="2392"/>
      <c r="U670" s="2392"/>
      <c r="V670" s="2392"/>
      <c r="W670" s="2392"/>
      <c r="X670" s="2392"/>
      <c r="Y670" s="2392"/>
      <c r="Z670" s="2392"/>
      <c r="AA670" s="2392"/>
      <c r="AB670" s="2392"/>
      <c r="AC670" s="2392"/>
      <c r="AD670" s="536"/>
      <c r="AE670" s="536"/>
      <c r="AF670" s="2393" t="s">
        <v>1370</v>
      </c>
      <c r="AG670" s="2393"/>
      <c r="AH670" s="2393"/>
      <c r="AI670" s="2393"/>
      <c r="AJ670" s="2393"/>
      <c r="AK670" s="2393"/>
      <c r="AL670" s="2393"/>
      <c r="AN670" s="595"/>
    </row>
    <row r="671" spans="1:42" s="549" customFormat="1" ht="12.75" customHeight="1">
      <c r="B671" s="536"/>
      <c r="C671" s="539"/>
      <c r="D671" s="536"/>
      <c r="E671" s="2392"/>
      <c r="F671" s="2392"/>
      <c r="G671" s="2392"/>
      <c r="H671" s="2392"/>
      <c r="I671" s="2392"/>
      <c r="J671" s="2392"/>
      <c r="K671" s="2392"/>
      <c r="L671" s="2392"/>
      <c r="M671" s="2392"/>
      <c r="N671" s="2392"/>
      <c r="O671" s="2392"/>
      <c r="P671" s="2392"/>
      <c r="Q671" s="2392"/>
      <c r="R671" s="2392"/>
      <c r="S671" s="2392"/>
      <c r="T671" s="2392"/>
      <c r="U671" s="2392"/>
      <c r="V671" s="2392"/>
      <c r="W671" s="2392"/>
      <c r="X671" s="2392"/>
      <c r="Y671" s="2392"/>
      <c r="Z671" s="2392"/>
      <c r="AA671" s="2392"/>
      <c r="AB671" s="2392"/>
      <c r="AC671" s="2392"/>
      <c r="AD671" s="536"/>
      <c r="AE671" s="536"/>
      <c r="AF671" s="536"/>
      <c r="AG671" s="536"/>
      <c r="AH671" s="536"/>
      <c r="AI671" s="536"/>
      <c r="AJ671" s="536"/>
      <c r="AK671" s="536"/>
      <c r="AL671" s="536"/>
      <c r="AN671" s="595"/>
    </row>
    <row r="672" spans="1:42" s="549" customFormat="1" ht="12.75" customHeight="1">
      <c r="B672" s="536"/>
      <c r="C672" s="539"/>
      <c r="D672" s="659"/>
      <c r="E672" s="2392"/>
      <c r="F672" s="2392"/>
      <c r="G672" s="2392"/>
      <c r="H672" s="2392"/>
      <c r="I672" s="2392"/>
      <c r="J672" s="2392"/>
      <c r="K672" s="2392"/>
      <c r="L672" s="2392"/>
      <c r="M672" s="2392"/>
      <c r="N672" s="2392"/>
      <c r="O672" s="2392"/>
      <c r="P672" s="2392"/>
      <c r="Q672" s="2392"/>
      <c r="R672" s="2392"/>
      <c r="S672" s="2392"/>
      <c r="T672" s="2392"/>
      <c r="U672" s="2392"/>
      <c r="V672" s="2392"/>
      <c r="W672" s="2392"/>
      <c r="X672" s="2392"/>
      <c r="Y672" s="2392"/>
      <c r="Z672" s="2392"/>
      <c r="AA672" s="2392"/>
      <c r="AB672" s="2392"/>
      <c r="AC672" s="239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2" t="s">
        <v>1410</v>
      </c>
      <c r="F674" s="2392"/>
      <c r="G674" s="2392"/>
      <c r="H674" s="2392"/>
      <c r="I674" s="2392"/>
      <c r="J674" s="2392"/>
      <c r="K674" s="2392"/>
      <c r="L674" s="2392"/>
      <c r="M674" s="2392"/>
      <c r="N674" s="2392"/>
      <c r="O674" s="2392"/>
      <c r="P674" s="2392"/>
      <c r="Q674" s="2392"/>
      <c r="R674" s="2392"/>
      <c r="S674" s="2392"/>
      <c r="T674" s="2392"/>
      <c r="U674" s="2392"/>
      <c r="V674" s="2392"/>
      <c r="W674" s="2392"/>
      <c r="X674" s="2392"/>
      <c r="Y674" s="2392"/>
      <c r="Z674" s="2392"/>
      <c r="AA674" s="2392"/>
      <c r="AB674" s="2392"/>
      <c r="AC674" s="2392"/>
      <c r="AD674" s="536"/>
      <c r="AE674" s="536"/>
      <c r="AF674" s="2393" t="s">
        <v>1390</v>
      </c>
      <c r="AG674" s="2393"/>
      <c r="AH674" s="2393"/>
      <c r="AI674" s="2393"/>
      <c r="AJ674" s="2393"/>
      <c r="AK674" s="2393"/>
      <c r="AL674" s="2393"/>
      <c r="AN674" s="595"/>
    </row>
    <row r="675" spans="1:42" s="549" customFormat="1" ht="12.75" customHeight="1">
      <c r="B675" s="536"/>
      <c r="C675" s="539"/>
      <c r="D675" s="536"/>
      <c r="E675" s="2392"/>
      <c r="F675" s="2392"/>
      <c r="G675" s="2392"/>
      <c r="H675" s="2392"/>
      <c r="I675" s="2392"/>
      <c r="J675" s="2392"/>
      <c r="K675" s="2392"/>
      <c r="L675" s="2392"/>
      <c r="M675" s="2392"/>
      <c r="N675" s="2392"/>
      <c r="O675" s="2392"/>
      <c r="P675" s="2392"/>
      <c r="Q675" s="2392"/>
      <c r="R675" s="2392"/>
      <c r="S675" s="2392"/>
      <c r="T675" s="2392"/>
      <c r="U675" s="2392"/>
      <c r="V675" s="2392"/>
      <c r="W675" s="2392"/>
      <c r="X675" s="2392"/>
      <c r="Y675" s="2392"/>
      <c r="Z675" s="2392"/>
      <c r="AA675" s="2392"/>
      <c r="AB675" s="2392"/>
      <c r="AC675" s="2392"/>
      <c r="AD675" s="536"/>
      <c r="AE675" s="536"/>
      <c r="AF675" s="536"/>
      <c r="AG675" s="536"/>
      <c r="AH675" s="536"/>
      <c r="AI675" s="536"/>
      <c r="AJ675" s="536"/>
      <c r="AK675" s="536"/>
      <c r="AL675" s="536"/>
      <c r="AN675" s="595"/>
    </row>
    <row r="676" spans="1:42" s="549" customFormat="1" ht="15" customHeight="1">
      <c r="B676" s="536"/>
      <c r="C676" s="539"/>
      <c r="D676" s="659"/>
      <c r="E676" s="2392"/>
      <c r="F676" s="2392"/>
      <c r="G676" s="2392"/>
      <c r="H676" s="2392"/>
      <c r="I676" s="2392"/>
      <c r="J676" s="2392"/>
      <c r="K676" s="2392"/>
      <c r="L676" s="2392"/>
      <c r="M676" s="2392"/>
      <c r="N676" s="2392"/>
      <c r="O676" s="2392"/>
      <c r="P676" s="2392"/>
      <c r="Q676" s="2392"/>
      <c r="R676" s="2392"/>
      <c r="S676" s="2392"/>
      <c r="T676" s="2392"/>
      <c r="U676" s="2392"/>
      <c r="V676" s="2392"/>
      <c r="W676" s="2392"/>
      <c r="X676" s="2392"/>
      <c r="Y676" s="2392"/>
      <c r="Z676" s="2392"/>
      <c r="AA676" s="2392"/>
      <c r="AB676" s="2392"/>
      <c r="AC676" s="239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2" t="s">
        <v>1411</v>
      </c>
      <c r="F678" s="2392"/>
      <c r="G678" s="2392"/>
      <c r="H678" s="2392"/>
      <c r="I678" s="2392"/>
      <c r="J678" s="2392"/>
      <c r="K678" s="2392"/>
      <c r="L678" s="2392"/>
      <c r="M678" s="2392"/>
      <c r="N678" s="2392"/>
      <c r="O678" s="2392"/>
      <c r="P678" s="2392"/>
      <c r="Q678" s="2392"/>
      <c r="R678" s="2392"/>
      <c r="S678" s="2392"/>
      <c r="T678" s="2392"/>
      <c r="U678" s="2392"/>
      <c r="V678" s="2392"/>
      <c r="W678" s="2392"/>
      <c r="X678" s="2392"/>
      <c r="Y678" s="2392"/>
      <c r="Z678" s="2392"/>
      <c r="AA678" s="2392"/>
      <c r="AB678" s="2392"/>
      <c r="AC678" s="2392"/>
      <c r="AD678" s="536"/>
      <c r="AE678" s="536"/>
      <c r="AF678" s="2393" t="s">
        <v>1345</v>
      </c>
      <c r="AG678" s="2393"/>
      <c r="AH678" s="2393"/>
      <c r="AI678" s="2393"/>
      <c r="AJ678" s="2393"/>
      <c r="AK678" s="2393"/>
      <c r="AL678" s="2393"/>
      <c r="AN678" s="595"/>
    </row>
    <row r="679" spans="1:42" s="549" customFormat="1" ht="12.75" customHeight="1">
      <c r="B679" s="536"/>
      <c r="C679" s="927"/>
      <c r="D679" s="536"/>
      <c r="E679" s="2392"/>
      <c r="F679" s="2392"/>
      <c r="G679" s="2392"/>
      <c r="H679" s="2392"/>
      <c r="I679" s="2392"/>
      <c r="J679" s="2392"/>
      <c r="K679" s="2392"/>
      <c r="L679" s="2392"/>
      <c r="M679" s="2392"/>
      <c r="N679" s="2392"/>
      <c r="O679" s="2392"/>
      <c r="P679" s="2392"/>
      <c r="Q679" s="2392"/>
      <c r="R679" s="2392"/>
      <c r="S679" s="2392"/>
      <c r="T679" s="2392"/>
      <c r="U679" s="2392"/>
      <c r="V679" s="2392"/>
      <c r="W679" s="2392"/>
      <c r="X679" s="2392"/>
      <c r="Y679" s="2392"/>
      <c r="Z679" s="2392"/>
      <c r="AA679" s="2392"/>
      <c r="AB679" s="2392"/>
      <c r="AC679" s="2392"/>
      <c r="AD679" s="536"/>
      <c r="AE679" s="2393"/>
      <c r="AF679" s="2393"/>
      <c r="AG679" s="2393"/>
      <c r="AH679" s="2393"/>
      <c r="AI679" s="2393"/>
      <c r="AJ679" s="2393"/>
      <c r="AK679" s="2393"/>
      <c r="AL679" s="592"/>
      <c r="AN679" s="595"/>
      <c r="AO679" s="549" t="s">
        <v>590</v>
      </c>
      <c r="AP679" s="669">
        <v>0</v>
      </c>
    </row>
    <row r="680" spans="1:42" s="549" customFormat="1" ht="12.75" customHeight="1">
      <c r="A680" s="675"/>
      <c r="B680" s="536"/>
      <c r="C680" s="536"/>
      <c r="D680" s="659"/>
      <c r="E680" s="2392"/>
      <c r="F680" s="2392"/>
      <c r="G680" s="2392"/>
      <c r="H680" s="2392"/>
      <c r="I680" s="2392"/>
      <c r="J680" s="2392"/>
      <c r="K680" s="2392"/>
      <c r="L680" s="2392"/>
      <c r="M680" s="2392"/>
      <c r="N680" s="2392"/>
      <c r="O680" s="2392"/>
      <c r="P680" s="2392"/>
      <c r="Q680" s="2392"/>
      <c r="R680" s="2392"/>
      <c r="S680" s="2392"/>
      <c r="T680" s="2392"/>
      <c r="U680" s="2392"/>
      <c r="V680" s="2392"/>
      <c r="W680" s="2392"/>
      <c r="X680" s="2392"/>
      <c r="Y680" s="2392"/>
      <c r="Z680" s="2392"/>
      <c r="AA680" s="2392"/>
      <c r="AB680" s="2392"/>
      <c r="AC680" s="2392"/>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2" t="s">
        <v>1412</v>
      </c>
      <c r="F682" s="2392"/>
      <c r="G682" s="2392"/>
      <c r="H682" s="2392"/>
      <c r="I682" s="2392"/>
      <c r="J682" s="2392"/>
      <c r="K682" s="2392"/>
      <c r="L682" s="2392"/>
      <c r="M682" s="2392"/>
      <c r="N682" s="2392"/>
      <c r="O682" s="2392"/>
      <c r="P682" s="2392"/>
      <c r="Q682" s="2392"/>
      <c r="R682" s="2392"/>
      <c r="S682" s="2392"/>
      <c r="T682" s="2392"/>
      <c r="U682" s="2392"/>
      <c r="V682" s="2392"/>
      <c r="W682" s="2392"/>
      <c r="X682" s="2392"/>
      <c r="Y682" s="2392"/>
      <c r="Z682" s="2392"/>
      <c r="AA682" s="2392"/>
      <c r="AB682" s="2392"/>
      <c r="AC682" s="2392"/>
      <c r="AD682" s="536"/>
      <c r="AE682" s="536"/>
      <c r="AF682" s="2393" t="s">
        <v>1390</v>
      </c>
      <c r="AG682" s="2393"/>
      <c r="AH682" s="2393"/>
      <c r="AI682" s="2393"/>
      <c r="AJ682" s="2393"/>
      <c r="AK682" s="2393"/>
      <c r="AL682" s="2393"/>
      <c r="AN682" s="595"/>
    </row>
    <row r="683" spans="1:42" s="549" customFormat="1" ht="12.75" customHeight="1">
      <c r="A683" s="666"/>
      <c r="B683" s="536"/>
      <c r="C683" s="943"/>
      <c r="D683" s="659"/>
      <c r="E683" s="2392"/>
      <c r="F683" s="2392"/>
      <c r="G683" s="2392"/>
      <c r="H683" s="2392"/>
      <c r="I683" s="2392"/>
      <c r="J683" s="2392"/>
      <c r="K683" s="2392"/>
      <c r="L683" s="2392"/>
      <c r="M683" s="2392"/>
      <c r="N683" s="2392"/>
      <c r="O683" s="2392"/>
      <c r="P683" s="2392"/>
      <c r="Q683" s="2392"/>
      <c r="R683" s="2392"/>
      <c r="S683" s="2392"/>
      <c r="T683" s="2392"/>
      <c r="U683" s="2392"/>
      <c r="V683" s="2392"/>
      <c r="W683" s="2392"/>
      <c r="X683" s="2392"/>
      <c r="Y683" s="2392"/>
      <c r="Z683" s="2392"/>
      <c r="AA683" s="2392"/>
      <c r="AB683" s="2392"/>
      <c r="AC683" s="239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2"/>
      <c r="F684" s="2392"/>
      <c r="G684" s="2392"/>
      <c r="H684" s="2392"/>
      <c r="I684" s="2392"/>
      <c r="J684" s="2392"/>
      <c r="K684" s="2392"/>
      <c r="L684" s="2392"/>
      <c r="M684" s="2392"/>
      <c r="N684" s="2392"/>
      <c r="O684" s="2392"/>
      <c r="P684" s="2392"/>
      <c r="Q684" s="2392"/>
      <c r="R684" s="2392"/>
      <c r="S684" s="2392"/>
      <c r="T684" s="2392"/>
      <c r="U684" s="2392"/>
      <c r="V684" s="2392"/>
      <c r="W684" s="2392"/>
      <c r="X684" s="2392"/>
      <c r="Y684" s="2392"/>
      <c r="Z684" s="2392"/>
      <c r="AA684" s="2392"/>
      <c r="AB684" s="2392"/>
      <c r="AC684" s="239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2" t="s">
        <v>1413</v>
      </c>
      <c r="F686" s="2392"/>
      <c r="G686" s="2392"/>
      <c r="H686" s="2392"/>
      <c r="I686" s="2392"/>
      <c r="J686" s="2392"/>
      <c r="K686" s="2392"/>
      <c r="L686" s="2392"/>
      <c r="M686" s="2392"/>
      <c r="N686" s="2392"/>
      <c r="O686" s="2392"/>
      <c r="P686" s="2392"/>
      <c r="Q686" s="2392"/>
      <c r="R686" s="2392"/>
      <c r="S686" s="2392"/>
      <c r="T686" s="2392"/>
      <c r="U686" s="2392"/>
      <c r="V686" s="2392"/>
      <c r="W686" s="2392"/>
      <c r="X686" s="2392"/>
      <c r="Y686" s="2392"/>
      <c r="Z686" s="2392"/>
      <c r="AA686" s="2392"/>
      <c r="AB686" s="2392"/>
      <c r="AC686" s="2392"/>
      <c r="AD686" s="536"/>
      <c r="AE686" s="536"/>
      <c r="AF686" s="2393" t="s">
        <v>1345</v>
      </c>
      <c r="AG686" s="2393"/>
      <c r="AH686" s="2393"/>
      <c r="AI686" s="2393"/>
      <c r="AJ686" s="2393"/>
      <c r="AK686" s="2393"/>
      <c r="AL686" s="2393"/>
      <c r="AM686" s="594"/>
      <c r="AN686" s="595"/>
    </row>
    <row r="687" spans="1:42" s="549" customFormat="1" ht="12.75" customHeight="1">
      <c r="B687" s="536"/>
      <c r="C687" s="927"/>
      <c r="D687" s="659"/>
      <c r="E687" s="2392"/>
      <c r="F687" s="2392"/>
      <c r="G687" s="2392"/>
      <c r="H687" s="2392"/>
      <c r="I687" s="2392"/>
      <c r="J687" s="2392"/>
      <c r="K687" s="2392"/>
      <c r="L687" s="2392"/>
      <c r="M687" s="2392"/>
      <c r="N687" s="2392"/>
      <c r="O687" s="2392"/>
      <c r="P687" s="2392"/>
      <c r="Q687" s="2392"/>
      <c r="R687" s="2392"/>
      <c r="S687" s="2392"/>
      <c r="T687" s="2392"/>
      <c r="U687" s="2392"/>
      <c r="V687" s="2392"/>
      <c r="W687" s="2392"/>
      <c r="X687" s="2392"/>
      <c r="Y687" s="2392"/>
      <c r="Z687" s="2392"/>
      <c r="AA687" s="2392"/>
      <c r="AB687" s="2392"/>
      <c r="AC687" s="2392"/>
      <c r="AD687" s="536"/>
      <c r="AE687" s="536"/>
      <c r="AF687" s="536"/>
      <c r="AG687" s="536"/>
      <c r="AH687" s="536"/>
      <c r="AI687" s="536"/>
      <c r="AJ687" s="536"/>
      <c r="AK687" s="536"/>
      <c r="AL687" s="536"/>
      <c r="AM687" s="594"/>
      <c r="AN687" s="595"/>
    </row>
    <row r="688" spans="1:42" s="549" customFormat="1" ht="12.75" customHeight="1">
      <c r="B688" s="536"/>
      <c r="C688" s="927"/>
      <c r="D688" s="659"/>
      <c r="E688" s="2392"/>
      <c r="F688" s="2392"/>
      <c r="G688" s="2392"/>
      <c r="H688" s="2392"/>
      <c r="I688" s="2392"/>
      <c r="J688" s="2392"/>
      <c r="K688" s="2392"/>
      <c r="L688" s="2392"/>
      <c r="M688" s="2392"/>
      <c r="N688" s="2392"/>
      <c r="O688" s="2392"/>
      <c r="P688" s="2392"/>
      <c r="Q688" s="2392"/>
      <c r="R688" s="2392"/>
      <c r="S688" s="2392"/>
      <c r="T688" s="2392"/>
      <c r="U688" s="2392"/>
      <c r="V688" s="2392"/>
      <c r="W688" s="2392"/>
      <c r="X688" s="2392"/>
      <c r="Y688" s="2392"/>
      <c r="Z688" s="2392"/>
      <c r="AA688" s="2392"/>
      <c r="AB688" s="2392"/>
      <c r="AC688" s="239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2" t="s">
        <v>1414</v>
      </c>
      <c r="F690" s="2392"/>
      <c r="G690" s="2392"/>
      <c r="H690" s="2392"/>
      <c r="I690" s="2392"/>
      <c r="J690" s="2392"/>
      <c r="K690" s="2392"/>
      <c r="L690" s="2392"/>
      <c r="M690" s="2392"/>
      <c r="N690" s="2392"/>
      <c r="O690" s="2392"/>
      <c r="P690" s="2392"/>
      <c r="Q690" s="2392"/>
      <c r="R690" s="2392"/>
      <c r="S690" s="2392"/>
      <c r="T690" s="2392"/>
      <c r="U690" s="2392"/>
      <c r="V690" s="2392"/>
      <c r="W690" s="2392"/>
      <c r="X690" s="2392"/>
      <c r="Y690" s="2392"/>
      <c r="Z690" s="2392"/>
      <c r="AA690" s="2392"/>
      <c r="AB690" s="2392"/>
      <c r="AC690" s="2392"/>
      <c r="AD690" s="536"/>
      <c r="AE690" s="536"/>
      <c r="AF690" s="2393" t="s">
        <v>1399</v>
      </c>
      <c r="AG690" s="2393"/>
      <c r="AH690" s="2393"/>
      <c r="AI690" s="2393"/>
      <c r="AJ690" s="2393"/>
      <c r="AK690" s="2393"/>
      <c r="AL690" s="2393"/>
      <c r="AM690" s="594"/>
      <c r="AN690" s="595"/>
    </row>
    <row r="691" spans="1:50" s="549" customFormat="1" ht="12.75" customHeight="1">
      <c r="A691" s="675"/>
      <c r="B691" s="536"/>
      <c r="C691" s="927"/>
      <c r="D691" s="659"/>
      <c r="E691" s="2392"/>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239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239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2" t="s">
        <v>1415</v>
      </c>
      <c r="F694" s="2392"/>
      <c r="G694" s="2392"/>
      <c r="H694" s="2392"/>
      <c r="I694" s="2392"/>
      <c r="J694" s="2392"/>
      <c r="K694" s="2392"/>
      <c r="L694" s="2392"/>
      <c r="M694" s="2392"/>
      <c r="N694" s="2392"/>
      <c r="O694" s="2392"/>
      <c r="P694" s="2392"/>
      <c r="Q694" s="2392"/>
      <c r="R694" s="2392"/>
      <c r="S694" s="2392"/>
      <c r="T694" s="2392"/>
      <c r="U694" s="2392"/>
      <c r="V694" s="2392"/>
      <c r="W694" s="2392"/>
      <c r="X694" s="2392"/>
      <c r="Y694" s="2392"/>
      <c r="Z694" s="2392"/>
      <c r="AA694" s="2392"/>
      <c r="AB694" s="2392"/>
      <c r="AC694" s="2392"/>
      <c r="AD694" s="536"/>
      <c r="AE694" s="536"/>
      <c r="AF694" s="2393" t="s">
        <v>1416</v>
      </c>
      <c r="AG694" s="2393"/>
      <c r="AH694" s="2393"/>
      <c r="AI694" s="2393"/>
      <c r="AJ694" s="2393"/>
      <c r="AK694" s="2393"/>
      <c r="AL694" s="2393"/>
      <c r="AM694" s="594"/>
      <c r="AN694" s="595"/>
      <c r="AO694" s="609" t="s">
        <v>686</v>
      </c>
      <c r="AP694" s="549">
        <v>3</v>
      </c>
    </row>
    <row r="695" spans="1:50" s="549" customFormat="1" ht="12.75" customHeight="1">
      <c r="A695" s="675"/>
      <c r="B695" s="536"/>
      <c r="C695" s="927"/>
      <c r="D695" s="659"/>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c r="Z695" s="2392"/>
      <c r="AA695" s="2392"/>
      <c r="AB695" s="2392"/>
      <c r="AC695" s="2392"/>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4" t="s">
        <v>590</v>
      </c>
      <c r="I698" s="2394"/>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5">
        <f>VLOOKUP($H$698,$AO$646:$AP$653,2,FALSE)</f>
        <v>0</v>
      </c>
      <c r="AK700" s="239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28</v>
      </c>
    </row>
    <row r="704" spans="1:50" s="549" customFormat="1" ht="12.75" customHeight="1">
      <c r="A704" s="675"/>
      <c r="B704" s="536"/>
      <c r="C704" s="944"/>
      <c r="D704" s="659" t="s">
        <v>686</v>
      </c>
      <c r="E704" s="2398" t="s">
        <v>2144</v>
      </c>
      <c r="F704" s="2398"/>
      <c r="G704" s="2398"/>
      <c r="H704" s="2398"/>
      <c r="I704" s="2398"/>
      <c r="J704" s="2398"/>
      <c r="K704" s="2398"/>
      <c r="L704" s="2398"/>
      <c r="M704" s="2398"/>
      <c r="N704" s="2398"/>
      <c r="O704" s="2398"/>
      <c r="P704" s="2398"/>
      <c r="Q704" s="2398"/>
      <c r="R704" s="2398"/>
      <c r="S704" s="2398"/>
      <c r="T704" s="2398"/>
      <c r="U704" s="2398"/>
      <c r="V704" s="2398"/>
      <c r="W704" s="2398"/>
      <c r="X704" s="2398"/>
      <c r="Y704" s="2398"/>
      <c r="Z704" s="2398"/>
      <c r="AA704" s="2398"/>
      <c r="AB704" s="2398"/>
      <c r="AC704" s="536"/>
      <c r="AD704" s="536"/>
      <c r="AE704" s="536"/>
      <c r="AF704" s="2393" t="s">
        <v>1345</v>
      </c>
      <c r="AG704" s="2393"/>
      <c r="AH704" s="2393"/>
      <c r="AI704" s="2393"/>
      <c r="AJ704" s="2393"/>
      <c r="AK704" s="2393"/>
      <c r="AL704" s="2393"/>
      <c r="AN704" s="595"/>
      <c r="AW704" s="22" t="s">
        <v>2139</v>
      </c>
      <c r="AX704" s="549">
        <f>Application!DE761</f>
        <v>8</v>
      </c>
    </row>
    <row r="705" spans="1:51" s="549" customFormat="1" ht="12.75" customHeight="1">
      <c r="A705" s="675"/>
      <c r="B705" s="536"/>
      <c r="C705" s="944"/>
      <c r="D705" s="659"/>
      <c r="E705" s="2398"/>
      <c r="F705" s="2398"/>
      <c r="G705" s="2398"/>
      <c r="H705" s="2398"/>
      <c r="I705" s="2398"/>
      <c r="J705" s="2398"/>
      <c r="K705" s="2398"/>
      <c r="L705" s="2398"/>
      <c r="M705" s="2398"/>
      <c r="N705" s="2398"/>
      <c r="O705" s="2398"/>
      <c r="P705" s="2398"/>
      <c r="Q705" s="2398"/>
      <c r="R705" s="2398"/>
      <c r="S705" s="2398"/>
      <c r="T705" s="2398"/>
      <c r="U705" s="2398"/>
      <c r="V705" s="2398"/>
      <c r="W705" s="2398"/>
      <c r="X705" s="2398"/>
      <c r="Y705" s="2398"/>
      <c r="Z705" s="2398"/>
      <c r="AA705" s="2398"/>
      <c r="AB705" s="2398"/>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392" t="s">
        <v>2089</v>
      </c>
      <c r="F707" s="2392"/>
      <c r="G707" s="2392"/>
      <c r="H707" s="2392"/>
      <c r="I707" s="2392"/>
      <c r="J707" s="2392"/>
      <c r="K707" s="2392"/>
      <c r="L707" s="2392"/>
      <c r="M707" s="2392"/>
      <c r="N707" s="2392"/>
      <c r="O707" s="2392"/>
      <c r="P707" s="2392"/>
      <c r="Q707" s="2392"/>
      <c r="R707" s="2392"/>
      <c r="S707" s="2392"/>
      <c r="T707" s="2392"/>
      <c r="U707" s="2392"/>
      <c r="V707" s="2392"/>
      <c r="W707" s="2392"/>
      <c r="X707" s="2392"/>
      <c r="Y707" s="2392"/>
      <c r="Z707" s="2392"/>
      <c r="AA707" s="2392"/>
      <c r="AB707" s="2392"/>
      <c r="AC707" s="536"/>
      <c r="AD707" s="536"/>
      <c r="AE707" s="536"/>
      <c r="AF707" s="2393" t="s">
        <v>1345</v>
      </c>
      <c r="AG707" s="2393"/>
      <c r="AH707" s="2393"/>
      <c r="AI707" s="2393"/>
      <c r="AJ707" s="2393"/>
      <c r="AK707" s="2393"/>
      <c r="AL707" s="2393"/>
      <c r="AN707" s="595"/>
      <c r="AW707" s="22" t="s">
        <v>2142</v>
      </c>
      <c r="AX707" s="549">
        <f>AX704+AX705+AX706</f>
        <v>8</v>
      </c>
    </row>
    <row r="708" spans="1:51" s="549" customFormat="1" ht="12.75" customHeight="1">
      <c r="B708" s="536"/>
      <c r="C708" s="936"/>
      <c r="D708" s="659"/>
      <c r="E708" s="2392"/>
      <c r="F708" s="2392"/>
      <c r="G708" s="2392"/>
      <c r="H708" s="2392"/>
      <c r="I708" s="2392"/>
      <c r="J708" s="2392"/>
      <c r="K708" s="2392"/>
      <c r="L708" s="2392"/>
      <c r="M708" s="2392"/>
      <c r="N708" s="2392"/>
      <c r="O708" s="2392"/>
      <c r="P708" s="2392"/>
      <c r="Q708" s="2392"/>
      <c r="R708" s="2392"/>
      <c r="S708" s="2392"/>
      <c r="T708" s="2392"/>
      <c r="U708" s="2392"/>
      <c r="V708" s="2392"/>
      <c r="W708" s="2392"/>
      <c r="X708" s="2392"/>
      <c r="Y708" s="2392"/>
      <c r="Z708" s="2392"/>
      <c r="AA708" s="2392"/>
      <c r="AB708" s="2392"/>
      <c r="AC708" s="536"/>
      <c r="AD708" s="536"/>
      <c r="AE708" s="614"/>
      <c r="AF708" s="536"/>
      <c r="AG708" s="536"/>
      <c r="AH708" s="536"/>
      <c r="AI708" s="536"/>
      <c r="AJ708" s="536"/>
      <c r="AK708" s="536"/>
      <c r="AL708" s="536"/>
      <c r="AN708" s="595"/>
      <c r="AO708" s="2462" t="b">
        <f>IF(Application!D211="Special Needs",IF(AY708&gt;=0.25,TRUE,FALSE),IF(AX708&gt;=0.25,TRUE,FALSE))</f>
        <v>1</v>
      </c>
      <c r="AP708" s="2462"/>
      <c r="AW708" s="22" t="s">
        <v>2143</v>
      </c>
      <c r="AX708" s="549">
        <f>IFERROR(AX707/AX703,0)</f>
        <v>0.2857142857142857</v>
      </c>
      <c r="AY708" s="549">
        <f>IFERROR(AX707/(AX703-AX702),0)</f>
        <v>0.2857142857142857</v>
      </c>
    </row>
    <row r="709" spans="1:51" s="549" customFormat="1" ht="12.75" customHeight="1">
      <c r="B709" s="536"/>
      <c r="C709" s="936"/>
      <c r="E709" s="2392"/>
      <c r="F709" s="2392"/>
      <c r="G709" s="2392"/>
      <c r="H709" s="2392"/>
      <c r="I709" s="2392"/>
      <c r="J709" s="2392"/>
      <c r="K709" s="2392"/>
      <c r="L709" s="2392"/>
      <c r="M709" s="2392"/>
      <c r="N709" s="2392"/>
      <c r="O709" s="2392"/>
      <c r="P709" s="2392"/>
      <c r="Q709" s="2392"/>
      <c r="R709" s="2392"/>
      <c r="S709" s="2392"/>
      <c r="T709" s="2392"/>
      <c r="U709" s="2392"/>
      <c r="V709" s="2392"/>
      <c r="W709" s="2392"/>
      <c r="X709" s="2392"/>
      <c r="Y709" s="2392"/>
      <c r="Z709" s="2392"/>
      <c r="AA709" s="2392"/>
      <c r="AB709" s="2392"/>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2"/>
      <c r="F710" s="2392"/>
      <c r="G710" s="2392"/>
      <c r="H710" s="2392"/>
      <c r="I710" s="2392"/>
      <c r="J710" s="2392"/>
      <c r="K710" s="2392"/>
      <c r="L710" s="2392"/>
      <c r="M710" s="2392"/>
      <c r="N710" s="2392"/>
      <c r="O710" s="2392"/>
      <c r="P710" s="2392"/>
      <c r="Q710" s="2392"/>
      <c r="R710" s="2392"/>
      <c r="S710" s="2392"/>
      <c r="T710" s="2392"/>
      <c r="U710" s="2392"/>
      <c r="V710" s="2392"/>
      <c r="W710" s="2392"/>
      <c r="X710" s="2392"/>
      <c r="Y710" s="2392"/>
      <c r="Z710" s="2392"/>
      <c r="AA710" s="2392"/>
      <c r="AB710" s="2392"/>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92" t="s">
        <v>2090</v>
      </c>
      <c r="F712" s="2392"/>
      <c r="G712" s="2392"/>
      <c r="H712" s="2392"/>
      <c r="I712" s="2392"/>
      <c r="J712" s="2392"/>
      <c r="K712" s="2392"/>
      <c r="L712" s="2392"/>
      <c r="M712" s="2392"/>
      <c r="N712" s="2392"/>
      <c r="O712" s="2392"/>
      <c r="P712" s="2392"/>
      <c r="Q712" s="2392"/>
      <c r="R712" s="2392"/>
      <c r="S712" s="2392"/>
      <c r="T712" s="2392"/>
      <c r="U712" s="2392"/>
      <c r="V712" s="2392"/>
      <c r="W712" s="2392"/>
      <c r="X712" s="2392"/>
      <c r="Y712" s="2392"/>
      <c r="Z712" s="2392"/>
      <c r="AA712" s="2392"/>
      <c r="AB712" s="2392"/>
      <c r="AC712" s="536"/>
      <c r="AD712" s="536"/>
      <c r="AE712" s="536"/>
      <c r="AF712" s="2393" t="s">
        <v>1399</v>
      </c>
      <c r="AG712" s="2393"/>
      <c r="AH712" s="2393"/>
      <c r="AI712" s="2393"/>
      <c r="AJ712" s="2393"/>
      <c r="AK712" s="2393"/>
      <c r="AL712" s="2393"/>
      <c r="AN712" s="595"/>
      <c r="AO712" s="609" t="s">
        <v>508</v>
      </c>
      <c r="AP712" s="549">
        <v>1</v>
      </c>
    </row>
    <row r="713" spans="1:51" s="549" customFormat="1" ht="12" customHeight="1">
      <c r="B713" s="536"/>
      <c r="C713" s="927"/>
      <c r="E713" s="2392"/>
      <c r="F713" s="2392"/>
      <c r="G713" s="2392"/>
      <c r="H713" s="2392"/>
      <c r="I713" s="2392"/>
      <c r="J713" s="2392"/>
      <c r="K713" s="2392"/>
      <c r="L713" s="2392"/>
      <c r="M713" s="2392"/>
      <c r="N713" s="2392"/>
      <c r="O713" s="2392"/>
      <c r="P713" s="2392"/>
      <c r="Q713" s="2392"/>
      <c r="R713" s="2392"/>
      <c r="S713" s="2392"/>
      <c r="T713" s="2392"/>
      <c r="U713" s="2392"/>
      <c r="V713" s="2392"/>
      <c r="W713" s="2392"/>
      <c r="X713" s="2392"/>
      <c r="Y713" s="2392"/>
      <c r="Z713" s="2392"/>
      <c r="AA713" s="2392"/>
      <c r="AB713" s="2392"/>
      <c r="AC713" s="536"/>
      <c r="AD713" s="536"/>
      <c r="AE713" s="614"/>
      <c r="AF713" s="536"/>
      <c r="AG713" s="536"/>
      <c r="AH713" s="536"/>
      <c r="AI713" s="536"/>
      <c r="AJ713" s="536"/>
      <c r="AK713" s="536"/>
      <c r="AL713" s="536"/>
      <c r="AN713" s="595"/>
    </row>
    <row r="714" spans="1:51" s="549" customFormat="1" ht="12" customHeight="1">
      <c r="B714" s="536"/>
      <c r="C714" s="927"/>
      <c r="D714" s="536"/>
      <c r="E714" s="2392"/>
      <c r="F714" s="2392"/>
      <c r="G714" s="2392"/>
      <c r="H714" s="2392"/>
      <c r="I714" s="2392"/>
      <c r="J714" s="2392"/>
      <c r="K714" s="2392"/>
      <c r="L714" s="2392"/>
      <c r="M714" s="2392"/>
      <c r="N714" s="2392"/>
      <c r="O714" s="2392"/>
      <c r="P714" s="2392"/>
      <c r="Q714" s="2392"/>
      <c r="R714" s="2392"/>
      <c r="S714" s="2392"/>
      <c r="T714" s="2392"/>
      <c r="U714" s="2392"/>
      <c r="V714" s="2392"/>
      <c r="W714" s="2392"/>
      <c r="X714" s="2392"/>
      <c r="Y714" s="2392"/>
      <c r="Z714" s="2392"/>
      <c r="AA714" s="2392"/>
      <c r="AB714" s="2392"/>
      <c r="AC714" s="536"/>
      <c r="AD714" s="536"/>
      <c r="AE714" s="614"/>
      <c r="AF714" s="536"/>
      <c r="AG714" s="536"/>
      <c r="AH714" s="536"/>
      <c r="AI714" s="536"/>
      <c r="AJ714" s="536"/>
      <c r="AK714" s="536"/>
      <c r="AL714" s="536"/>
      <c r="AN714" s="595"/>
    </row>
    <row r="715" spans="1:51" s="549" customFormat="1" ht="12" customHeight="1">
      <c r="B715" s="536"/>
      <c r="C715" s="927"/>
      <c r="D715" s="536"/>
      <c r="E715" s="2392"/>
      <c r="F715" s="2392"/>
      <c r="G715" s="2392"/>
      <c r="H715" s="2392"/>
      <c r="I715" s="2392"/>
      <c r="J715" s="2392"/>
      <c r="K715" s="2392"/>
      <c r="L715" s="2392"/>
      <c r="M715" s="2392"/>
      <c r="N715" s="2392"/>
      <c r="O715" s="2392"/>
      <c r="P715" s="2392"/>
      <c r="Q715" s="2392"/>
      <c r="R715" s="2392"/>
      <c r="S715" s="2392"/>
      <c r="T715" s="2392"/>
      <c r="U715" s="2392"/>
      <c r="V715" s="2392"/>
      <c r="W715" s="2392"/>
      <c r="X715" s="2392"/>
      <c r="Y715" s="2392"/>
      <c r="Z715" s="2392"/>
      <c r="AA715" s="2392"/>
      <c r="AB715" s="2392"/>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2"/>
      <c r="F716" s="2392"/>
      <c r="G716" s="2392"/>
      <c r="H716" s="2392"/>
      <c r="I716" s="2392"/>
      <c r="J716" s="2392"/>
      <c r="K716" s="2392"/>
      <c r="L716" s="2392"/>
      <c r="M716" s="2392"/>
      <c r="N716" s="2392"/>
      <c r="O716" s="2392"/>
      <c r="P716" s="2392"/>
      <c r="Q716" s="2392"/>
      <c r="R716" s="2392"/>
      <c r="S716" s="2392"/>
      <c r="T716" s="2392"/>
      <c r="U716" s="2392"/>
      <c r="V716" s="2392"/>
      <c r="W716" s="2392"/>
      <c r="X716" s="2392"/>
      <c r="Y716" s="2392"/>
      <c r="Z716" s="2392"/>
      <c r="AA716" s="2392"/>
      <c r="AB716" s="2392"/>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2" t="s">
        <v>1681</v>
      </c>
      <c r="F718" s="2392"/>
      <c r="G718" s="2392"/>
      <c r="H718" s="2392"/>
      <c r="I718" s="2392"/>
      <c r="J718" s="2392"/>
      <c r="K718" s="2392"/>
      <c r="L718" s="2392"/>
      <c r="M718" s="2392"/>
      <c r="N718" s="2392"/>
      <c r="O718" s="2392"/>
      <c r="P718" s="2392"/>
      <c r="Q718" s="2392"/>
      <c r="R718" s="2392"/>
      <c r="S718" s="2392"/>
      <c r="T718" s="2392"/>
      <c r="U718" s="2392"/>
      <c r="V718" s="2392"/>
      <c r="W718" s="2392"/>
      <c r="X718" s="2392"/>
      <c r="Y718" s="2392"/>
      <c r="Z718" s="2392"/>
      <c r="AA718" s="2392"/>
      <c r="AB718" s="2392"/>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92"/>
      <c r="F719" s="2392"/>
      <c r="G719" s="2392"/>
      <c r="H719" s="2392"/>
      <c r="I719" s="2392"/>
      <c r="J719" s="2392"/>
      <c r="K719" s="2392"/>
      <c r="L719" s="2392"/>
      <c r="M719" s="2392"/>
      <c r="N719" s="2392"/>
      <c r="O719" s="2392"/>
      <c r="P719" s="2392"/>
      <c r="Q719" s="2392"/>
      <c r="R719" s="2392"/>
      <c r="S719" s="2392"/>
      <c r="T719" s="2392"/>
      <c r="U719" s="2392"/>
      <c r="V719" s="2392"/>
      <c r="W719" s="2392"/>
      <c r="X719" s="2392"/>
      <c r="Y719" s="2392"/>
      <c r="Z719" s="2392"/>
      <c r="AA719" s="2392"/>
      <c r="AB719" s="2392"/>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92"/>
      <c r="F720" s="2392"/>
      <c r="G720" s="2392"/>
      <c r="H720" s="2392"/>
      <c r="I720" s="2392"/>
      <c r="J720" s="2392"/>
      <c r="K720" s="2392"/>
      <c r="L720" s="2392"/>
      <c r="M720" s="2392"/>
      <c r="N720" s="2392"/>
      <c r="O720" s="2392"/>
      <c r="P720" s="2392"/>
      <c r="Q720" s="2392"/>
      <c r="R720" s="2392"/>
      <c r="S720" s="2392"/>
      <c r="T720" s="2392"/>
      <c r="U720" s="2392"/>
      <c r="V720" s="2392"/>
      <c r="W720" s="2392"/>
      <c r="X720" s="2392"/>
      <c r="Y720" s="2392"/>
      <c r="Z720" s="2392"/>
      <c r="AA720" s="2392"/>
      <c r="AB720" s="239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4" t="s">
        <v>508</v>
      </c>
      <c r="I722" s="2394"/>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5">
        <f>VLOOKUP($H$722,$AO$716:$AP$719,2,FALSE)</f>
        <v>3</v>
      </c>
      <c r="AK724" s="2396"/>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4" t="s">
        <v>1683</v>
      </c>
      <c r="F728" s="2534"/>
      <c r="G728" s="2534"/>
      <c r="H728" s="2534"/>
      <c r="I728" s="2534"/>
      <c r="J728" s="2534"/>
      <c r="K728" s="2534"/>
      <c r="L728" s="2534"/>
      <c r="M728" s="2534"/>
      <c r="N728" s="2534"/>
      <c r="O728" s="2534"/>
      <c r="P728" s="2534"/>
      <c r="Q728" s="2534"/>
      <c r="R728" s="2534"/>
      <c r="S728" s="2534"/>
      <c r="T728" s="2534"/>
      <c r="U728" s="2534"/>
      <c r="V728" s="2534"/>
      <c r="W728" s="2534"/>
      <c r="X728" s="2534"/>
      <c r="Y728" s="2534"/>
      <c r="Z728" s="2534"/>
      <c r="AA728" s="2534"/>
      <c r="AB728" s="2534"/>
      <c r="AC728" s="536"/>
      <c r="AD728" s="536"/>
      <c r="AE728" s="536"/>
      <c r="AF728" s="2393" t="s">
        <v>1345</v>
      </c>
      <c r="AG728" s="2393"/>
      <c r="AH728" s="2393"/>
      <c r="AI728" s="2393"/>
      <c r="AJ728" s="2393"/>
      <c r="AK728" s="2393"/>
      <c r="AL728" s="2393"/>
      <c r="AM728" s="549"/>
      <c r="AN728" s="680"/>
      <c r="AP728" s="568" t="s">
        <v>1423</v>
      </c>
    </row>
    <row r="729" spans="1:43" s="568" customFormat="1" ht="11.85" customHeight="1">
      <c r="A729" s="549"/>
      <c r="B729" s="536"/>
      <c r="C729" s="929"/>
      <c r="D729" s="659"/>
      <c r="E729" s="2534"/>
      <c r="F729" s="2534"/>
      <c r="G729" s="2534"/>
      <c r="H729" s="2534"/>
      <c r="I729" s="2534"/>
      <c r="J729" s="2534"/>
      <c r="K729" s="2534"/>
      <c r="L729" s="2534"/>
      <c r="M729" s="2534"/>
      <c r="N729" s="2534"/>
      <c r="O729" s="2534"/>
      <c r="P729" s="2534"/>
      <c r="Q729" s="2534"/>
      <c r="R729" s="2534"/>
      <c r="S729" s="2534"/>
      <c r="T729" s="2534"/>
      <c r="U729" s="2534"/>
      <c r="V729" s="2534"/>
      <c r="W729" s="2534"/>
      <c r="X729" s="2534"/>
      <c r="Y729" s="2534"/>
      <c r="Z729" s="2534"/>
      <c r="AA729" s="2534"/>
      <c r="AB729" s="2534"/>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4"/>
      <c r="F730" s="2534"/>
      <c r="G730" s="2534"/>
      <c r="H730" s="2534"/>
      <c r="I730" s="2534"/>
      <c r="J730" s="2534"/>
      <c r="K730" s="2534"/>
      <c r="L730" s="2534"/>
      <c r="M730" s="2534"/>
      <c r="N730" s="2534"/>
      <c r="O730" s="2534"/>
      <c r="P730" s="2534"/>
      <c r="Q730" s="2534"/>
      <c r="R730" s="2534"/>
      <c r="S730" s="2534"/>
      <c r="T730" s="2534"/>
      <c r="U730" s="2534"/>
      <c r="V730" s="2534"/>
      <c r="W730" s="2534"/>
      <c r="X730" s="2534"/>
      <c r="Y730" s="2534"/>
      <c r="Z730" s="2534"/>
      <c r="AA730" s="2534"/>
      <c r="AB730" s="2534"/>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5" t="s">
        <v>1426</v>
      </c>
      <c r="F732" s="2535"/>
      <c r="G732" s="2535"/>
      <c r="H732" s="2535"/>
      <c r="I732" s="2535"/>
      <c r="J732" s="2535"/>
      <c r="K732" s="2535"/>
      <c r="L732" s="2535"/>
      <c r="M732" s="2535"/>
      <c r="N732" s="2535"/>
      <c r="O732" s="2535"/>
      <c r="P732" s="2535"/>
      <c r="Q732" s="2535"/>
      <c r="R732" s="2535"/>
      <c r="S732" s="2535"/>
      <c r="T732" s="2535"/>
      <c r="U732" s="2535"/>
      <c r="V732" s="2535"/>
      <c r="W732" s="2535"/>
      <c r="X732" s="2535"/>
      <c r="Y732" s="2535"/>
      <c r="Z732" s="2535"/>
      <c r="AA732" s="2535"/>
      <c r="AB732" s="2535"/>
      <c r="AC732" s="536"/>
      <c r="AD732" s="536"/>
      <c r="AE732" s="536"/>
      <c r="AF732" s="2393" t="s">
        <v>1399</v>
      </c>
      <c r="AG732" s="2393"/>
      <c r="AH732" s="2393"/>
      <c r="AI732" s="2393"/>
      <c r="AJ732" s="2393"/>
      <c r="AK732" s="2393"/>
      <c r="AL732" s="2393"/>
      <c r="AM732" s="549"/>
      <c r="AN732" s="681"/>
    </row>
    <row r="733" spans="1:43" s="568" customFormat="1" ht="12.75" customHeight="1">
      <c r="A733" s="549"/>
      <c r="B733" s="536"/>
      <c r="C733" s="929"/>
      <c r="D733" s="536"/>
      <c r="E733" s="2535"/>
      <c r="F733" s="2535"/>
      <c r="G733" s="2535"/>
      <c r="H733" s="2535"/>
      <c r="I733" s="2535"/>
      <c r="J733" s="2535"/>
      <c r="K733" s="2535"/>
      <c r="L733" s="2535"/>
      <c r="M733" s="2535"/>
      <c r="N733" s="2535"/>
      <c r="O733" s="2535"/>
      <c r="P733" s="2535"/>
      <c r="Q733" s="2535"/>
      <c r="R733" s="2535"/>
      <c r="S733" s="2535"/>
      <c r="T733" s="2535"/>
      <c r="U733" s="2535"/>
      <c r="V733" s="2535"/>
      <c r="W733" s="2535"/>
      <c r="X733" s="2535"/>
      <c r="Y733" s="2535"/>
      <c r="Z733" s="2535"/>
      <c r="AA733" s="2535"/>
      <c r="AB733" s="2535"/>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5"/>
      <c r="F734" s="2535"/>
      <c r="G734" s="2535"/>
      <c r="H734" s="2535"/>
      <c r="I734" s="2535"/>
      <c r="J734" s="2535"/>
      <c r="K734" s="2535"/>
      <c r="L734" s="2535"/>
      <c r="M734" s="2535"/>
      <c r="N734" s="2535"/>
      <c r="O734" s="2535"/>
      <c r="P734" s="2535"/>
      <c r="Q734" s="2535"/>
      <c r="R734" s="2535"/>
      <c r="S734" s="2535"/>
      <c r="T734" s="2535"/>
      <c r="U734" s="2535"/>
      <c r="V734" s="2535"/>
      <c r="W734" s="2535"/>
      <c r="X734" s="2535"/>
      <c r="Y734" s="2535"/>
      <c r="Z734" s="2535"/>
      <c r="AA734" s="2535"/>
      <c r="AB734" s="2535"/>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94" t="s">
        <v>590</v>
      </c>
      <c r="I736" s="2394"/>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5">
        <f>VLOOKUP($H$736,$AP$733:$AQ$735,2,FALSE)</f>
        <v>0</v>
      </c>
      <c r="AK738" s="2396"/>
      <c r="AL738" s="593"/>
      <c r="AM738" s="549"/>
      <c r="AN738" s="680"/>
      <c r="AP738" s="2395"/>
      <c r="AQ738" s="239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2" t="s">
        <v>1684</v>
      </c>
      <c r="F742" s="2392"/>
      <c r="G742" s="2392"/>
      <c r="H742" s="2392"/>
      <c r="I742" s="2392"/>
      <c r="J742" s="2392"/>
      <c r="K742" s="2392"/>
      <c r="L742" s="2392"/>
      <c r="M742" s="2392"/>
      <c r="N742" s="2392"/>
      <c r="O742" s="2392"/>
      <c r="P742" s="2392"/>
      <c r="Q742" s="2392"/>
      <c r="R742" s="2392"/>
      <c r="S742" s="2392"/>
      <c r="T742" s="2392"/>
      <c r="U742" s="2392"/>
      <c r="V742" s="2392"/>
      <c r="W742" s="2392"/>
      <c r="X742" s="2392"/>
      <c r="Y742" s="2392"/>
      <c r="Z742" s="2392"/>
      <c r="AA742" s="2392"/>
      <c r="AB742" s="2392"/>
      <c r="AC742" s="536"/>
      <c r="AD742" s="536"/>
      <c r="AE742" s="536"/>
      <c r="AF742" s="2393" t="s">
        <v>1345</v>
      </c>
      <c r="AG742" s="2393"/>
      <c r="AH742" s="2393"/>
      <c r="AI742" s="2393"/>
      <c r="AJ742" s="2393"/>
      <c r="AK742" s="2393"/>
      <c r="AL742" s="2393"/>
      <c r="AM742" s="549"/>
      <c r="AN742" s="680"/>
      <c r="AT742" s="14"/>
      <c r="AU742" s="14"/>
      <c r="AV742" s="14"/>
      <c r="AW742" s="14"/>
      <c r="AX742" s="14"/>
      <c r="AY742" s="14"/>
      <c r="AZ742" s="14"/>
    </row>
    <row r="743" spans="1:81" s="568" customFormat="1">
      <c r="A743" s="549"/>
      <c r="B743" s="536"/>
      <c r="C743" s="929"/>
      <c r="D743" s="659"/>
      <c r="E743" s="2392"/>
      <c r="F743" s="2392"/>
      <c r="G743" s="2392"/>
      <c r="H743" s="2392"/>
      <c r="I743" s="2392"/>
      <c r="J743" s="2392"/>
      <c r="K743" s="2392"/>
      <c r="L743" s="2392"/>
      <c r="M743" s="2392"/>
      <c r="N743" s="2392"/>
      <c r="O743" s="2392"/>
      <c r="P743" s="2392"/>
      <c r="Q743" s="2392"/>
      <c r="R743" s="2392"/>
      <c r="S743" s="2392"/>
      <c r="T743" s="2392"/>
      <c r="U743" s="2392"/>
      <c r="V743" s="2392"/>
      <c r="W743" s="2392"/>
      <c r="X743" s="2392"/>
      <c r="Y743" s="2392"/>
      <c r="Z743" s="2392"/>
      <c r="AA743" s="2392"/>
      <c r="AB743" s="239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2" t="s">
        <v>1430</v>
      </c>
      <c r="F745" s="2392"/>
      <c r="G745" s="2392"/>
      <c r="H745" s="2392"/>
      <c r="I745" s="2392"/>
      <c r="J745" s="2392"/>
      <c r="K745" s="2392"/>
      <c r="L745" s="2392"/>
      <c r="M745" s="2392"/>
      <c r="N745" s="2392"/>
      <c r="O745" s="2392"/>
      <c r="P745" s="2392"/>
      <c r="Q745" s="2392"/>
      <c r="R745" s="2392"/>
      <c r="S745" s="2392"/>
      <c r="T745" s="2392"/>
      <c r="U745" s="2392"/>
      <c r="V745" s="2392"/>
      <c r="W745" s="2392"/>
      <c r="X745" s="2392"/>
      <c r="Y745" s="2392"/>
      <c r="Z745" s="2392"/>
      <c r="AA745" s="2392"/>
      <c r="AB745" s="2392"/>
      <c r="AC745" s="536"/>
      <c r="AD745" s="536"/>
      <c r="AE745" s="536"/>
      <c r="AF745" s="2393" t="s">
        <v>1399</v>
      </c>
      <c r="AG745" s="2393"/>
      <c r="AH745" s="2393"/>
      <c r="AI745" s="2393"/>
      <c r="AJ745" s="2393"/>
      <c r="AK745" s="2393"/>
      <c r="AL745" s="2393"/>
      <c r="AM745" s="549"/>
      <c r="AN745" s="680"/>
      <c r="AT745" s="14"/>
      <c r="AU745" s="14"/>
      <c r="AV745" s="14"/>
      <c r="AW745" s="14"/>
      <c r="AX745" s="14"/>
      <c r="AY745" s="14"/>
      <c r="AZ745" s="14"/>
    </row>
    <row r="746" spans="1:81" s="568" customFormat="1">
      <c r="A746" s="549"/>
      <c r="B746" s="536"/>
      <c r="C746" s="929"/>
      <c r="D746" s="536"/>
      <c r="E746" s="2392"/>
      <c r="F746" s="2392"/>
      <c r="G746" s="2392"/>
      <c r="H746" s="2392"/>
      <c r="I746" s="2392"/>
      <c r="J746" s="2392"/>
      <c r="K746" s="2392"/>
      <c r="L746" s="2392"/>
      <c r="M746" s="2392"/>
      <c r="N746" s="2392"/>
      <c r="O746" s="2392"/>
      <c r="P746" s="2392"/>
      <c r="Q746" s="2392"/>
      <c r="R746" s="2392"/>
      <c r="S746" s="2392"/>
      <c r="T746" s="2392"/>
      <c r="U746" s="2392"/>
      <c r="V746" s="2392"/>
      <c r="W746" s="2392"/>
      <c r="X746" s="2392"/>
      <c r="Y746" s="2392"/>
      <c r="Z746" s="2392"/>
      <c r="AA746" s="2392"/>
      <c r="AB746" s="239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4" t="s">
        <v>590</v>
      </c>
      <c r="I748" s="2394"/>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5">
        <f>VLOOKUP($H$748,$AO$679:$AP$681,2,FALSE)</f>
        <v>0</v>
      </c>
      <c r="AK750" s="239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2" t="s">
        <v>1433</v>
      </c>
      <c r="F754" s="2392"/>
      <c r="G754" s="2392"/>
      <c r="H754" s="2392"/>
      <c r="I754" s="2392"/>
      <c r="J754" s="2392"/>
      <c r="K754" s="2392"/>
      <c r="L754" s="2392"/>
      <c r="M754" s="2392"/>
      <c r="N754" s="2392"/>
      <c r="O754" s="2392"/>
      <c r="P754" s="2392"/>
      <c r="Q754" s="2392"/>
      <c r="R754" s="2392"/>
      <c r="S754" s="2392"/>
      <c r="T754" s="2392"/>
      <c r="U754" s="2392"/>
      <c r="V754" s="2392"/>
      <c r="W754" s="2392"/>
      <c r="X754" s="2392"/>
      <c r="Y754" s="2392"/>
      <c r="Z754" s="2392"/>
      <c r="AA754" s="2392"/>
      <c r="AB754" s="2392"/>
      <c r="AC754" s="536"/>
      <c r="AD754" s="536"/>
      <c r="AE754" s="536"/>
      <c r="AF754" s="2393" t="s">
        <v>1345</v>
      </c>
      <c r="AG754" s="2393"/>
      <c r="AH754" s="2393"/>
      <c r="AI754" s="2393"/>
      <c r="AJ754" s="2393"/>
      <c r="AK754" s="2393"/>
      <c r="AL754" s="2393"/>
      <c r="AM754" s="549"/>
      <c r="AN754" s="680"/>
      <c r="AT754" s="14"/>
      <c r="AU754" s="14"/>
      <c r="AV754" s="14"/>
      <c r="AW754" s="14"/>
      <c r="AX754" s="14"/>
      <c r="AY754" s="14"/>
      <c r="AZ754" s="14"/>
    </row>
    <row r="755" spans="1:81" s="568" customFormat="1">
      <c r="A755" s="549"/>
      <c r="B755" s="536"/>
      <c r="C755" s="927"/>
      <c r="D755" s="659"/>
      <c r="E755" s="2392"/>
      <c r="F755" s="2392"/>
      <c r="G755" s="2392"/>
      <c r="H755" s="2392"/>
      <c r="I755" s="2392"/>
      <c r="J755" s="2392"/>
      <c r="K755" s="2392"/>
      <c r="L755" s="2392"/>
      <c r="M755" s="2392"/>
      <c r="N755" s="2392"/>
      <c r="O755" s="2392"/>
      <c r="P755" s="2392"/>
      <c r="Q755" s="2392"/>
      <c r="R755" s="2392"/>
      <c r="S755" s="2392"/>
      <c r="T755" s="2392"/>
      <c r="U755" s="2392"/>
      <c r="V755" s="2392"/>
      <c r="W755" s="2392"/>
      <c r="X755" s="2392"/>
      <c r="Y755" s="2392"/>
      <c r="Z755" s="2392"/>
      <c r="AA755" s="2392"/>
      <c r="AB755" s="239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2"/>
      <c r="F756" s="2392"/>
      <c r="G756" s="2392"/>
      <c r="H756" s="2392"/>
      <c r="I756" s="2392"/>
      <c r="J756" s="2392"/>
      <c r="K756" s="2392"/>
      <c r="L756" s="2392"/>
      <c r="M756" s="2392"/>
      <c r="N756" s="2392"/>
      <c r="O756" s="2392"/>
      <c r="P756" s="2392"/>
      <c r="Q756" s="2392"/>
      <c r="R756" s="2392"/>
      <c r="S756" s="2392"/>
      <c r="T756" s="2392"/>
      <c r="U756" s="2392"/>
      <c r="V756" s="2392"/>
      <c r="W756" s="2392"/>
      <c r="X756" s="2392"/>
      <c r="Y756" s="2392"/>
      <c r="Z756" s="2392"/>
      <c r="AA756" s="2392"/>
      <c r="AB756" s="239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2"/>
      <c r="F757" s="2392"/>
      <c r="G757" s="2392"/>
      <c r="H757" s="2392"/>
      <c r="I757" s="2392"/>
      <c r="J757" s="2392"/>
      <c r="K757" s="2392"/>
      <c r="L757" s="2392"/>
      <c r="M757" s="2392"/>
      <c r="N757" s="2392"/>
      <c r="O757" s="2392"/>
      <c r="P757" s="2392"/>
      <c r="Q757" s="2392"/>
      <c r="R757" s="2392"/>
      <c r="S757" s="2392"/>
      <c r="T757" s="2392"/>
      <c r="U757" s="2392"/>
      <c r="V757" s="2392"/>
      <c r="W757" s="2392"/>
      <c r="X757" s="2392"/>
      <c r="Y757" s="2392"/>
      <c r="Z757" s="2392"/>
      <c r="AA757" s="2392"/>
      <c r="AB757" s="239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2" t="s">
        <v>1434</v>
      </c>
      <c r="F759" s="2392"/>
      <c r="G759" s="2392"/>
      <c r="H759" s="2392"/>
      <c r="I759" s="2392"/>
      <c r="J759" s="2392"/>
      <c r="K759" s="2392"/>
      <c r="L759" s="2392"/>
      <c r="M759" s="2392"/>
      <c r="N759" s="2392"/>
      <c r="O759" s="2392"/>
      <c r="P759" s="2392"/>
      <c r="Q759" s="2392"/>
      <c r="R759" s="2392"/>
      <c r="S759" s="2392"/>
      <c r="T759" s="2392"/>
      <c r="U759" s="2392"/>
      <c r="V759" s="2392"/>
      <c r="W759" s="2392"/>
      <c r="X759" s="2392"/>
      <c r="Y759" s="2392"/>
      <c r="Z759" s="2392"/>
      <c r="AA759" s="2392"/>
      <c r="AB759" s="573"/>
      <c r="AC759" s="536"/>
      <c r="AD759" s="536"/>
      <c r="AE759" s="536"/>
      <c r="AF759" s="2393" t="s">
        <v>1399</v>
      </c>
      <c r="AG759" s="2393"/>
      <c r="AH759" s="2393"/>
      <c r="AI759" s="2393"/>
      <c r="AJ759" s="2393"/>
      <c r="AK759" s="2393"/>
      <c r="AL759" s="2393"/>
      <c r="AM759" s="549"/>
      <c r="AN759" s="680"/>
      <c r="AO759" s="30"/>
      <c r="AP759" s="14"/>
    </row>
    <row r="760" spans="1:81" s="568" customFormat="1">
      <c r="A760" s="549"/>
      <c r="B760" s="536"/>
      <c r="C760" s="927"/>
      <c r="D760" s="659"/>
      <c r="E760" s="2392"/>
      <c r="F760" s="2392"/>
      <c r="G760" s="2392"/>
      <c r="H760" s="2392"/>
      <c r="I760" s="2392"/>
      <c r="J760" s="2392"/>
      <c r="K760" s="2392"/>
      <c r="L760" s="2392"/>
      <c r="M760" s="2392"/>
      <c r="N760" s="2392"/>
      <c r="O760" s="2392"/>
      <c r="P760" s="2392"/>
      <c r="Q760" s="2392"/>
      <c r="R760" s="2392"/>
      <c r="S760" s="2392"/>
      <c r="T760" s="2392"/>
      <c r="U760" s="2392"/>
      <c r="V760" s="2392"/>
      <c r="W760" s="2392"/>
      <c r="X760" s="2392"/>
      <c r="Y760" s="2392"/>
      <c r="Z760" s="2392"/>
      <c r="AA760" s="239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2"/>
      <c r="F761" s="2392"/>
      <c r="G761" s="2392"/>
      <c r="H761" s="2392"/>
      <c r="I761" s="2392"/>
      <c r="J761" s="2392"/>
      <c r="K761" s="2392"/>
      <c r="L761" s="2392"/>
      <c r="M761" s="2392"/>
      <c r="N761" s="2392"/>
      <c r="O761" s="2392"/>
      <c r="P761" s="2392"/>
      <c r="Q761" s="2392"/>
      <c r="R761" s="2392"/>
      <c r="S761" s="2392"/>
      <c r="T761" s="2392"/>
      <c r="U761" s="2392"/>
      <c r="V761" s="2392"/>
      <c r="W761" s="2392"/>
      <c r="X761" s="2392"/>
      <c r="Y761" s="2392"/>
      <c r="Z761" s="2392"/>
      <c r="AA761" s="239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2"/>
      <c r="F762" s="2392"/>
      <c r="G762" s="2392"/>
      <c r="H762" s="2392"/>
      <c r="I762" s="2392"/>
      <c r="J762" s="2392"/>
      <c r="K762" s="2392"/>
      <c r="L762" s="2392"/>
      <c r="M762" s="2392"/>
      <c r="N762" s="2392"/>
      <c r="O762" s="2392"/>
      <c r="P762" s="2392"/>
      <c r="Q762" s="2392"/>
      <c r="R762" s="2392"/>
      <c r="S762" s="2392"/>
      <c r="T762" s="2392"/>
      <c r="U762" s="2392"/>
      <c r="V762" s="2392"/>
      <c r="W762" s="2392"/>
      <c r="X762" s="2392"/>
      <c r="Y762" s="2392"/>
      <c r="Z762" s="2392"/>
      <c r="AA762" s="239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4" t="s">
        <v>686</v>
      </c>
      <c r="I764" s="2394"/>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5">
        <f>VLOOKUP($H$764,$AO$693:$AP$695,2,FALSE)</f>
        <v>3</v>
      </c>
      <c r="AK766" s="239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2" t="s">
        <v>1436</v>
      </c>
      <c r="F770" s="2392"/>
      <c r="G770" s="2392"/>
      <c r="H770" s="2392"/>
      <c r="I770" s="2392"/>
      <c r="J770" s="2392"/>
      <c r="K770" s="2392"/>
      <c r="L770" s="2392"/>
      <c r="M770" s="2392"/>
      <c r="N770" s="2392"/>
      <c r="O770" s="2392"/>
      <c r="P770" s="2392"/>
      <c r="Q770" s="2392"/>
      <c r="R770" s="2392"/>
      <c r="S770" s="2392"/>
      <c r="T770" s="2392"/>
      <c r="U770" s="2392"/>
      <c r="V770" s="2392"/>
      <c r="W770" s="2392"/>
      <c r="X770" s="2392"/>
      <c r="Y770" s="2392"/>
      <c r="Z770" s="2392"/>
      <c r="AA770" s="2392"/>
      <c r="AB770" s="2392"/>
      <c r="AC770" s="536"/>
      <c r="AD770" s="536"/>
      <c r="AE770" s="536"/>
      <c r="AF770" s="2393" t="s">
        <v>1399</v>
      </c>
      <c r="AG770" s="2393"/>
      <c r="AH770" s="2393"/>
      <c r="AI770" s="2393"/>
      <c r="AJ770" s="2393"/>
      <c r="AK770" s="2393"/>
      <c r="AL770" s="239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2"/>
      <c r="F771" s="2392"/>
      <c r="G771" s="2392"/>
      <c r="H771" s="2392"/>
      <c r="I771" s="2392"/>
      <c r="J771" s="2392"/>
      <c r="K771" s="2392"/>
      <c r="L771" s="2392"/>
      <c r="M771" s="2392"/>
      <c r="N771" s="2392"/>
      <c r="O771" s="2392"/>
      <c r="P771" s="2392"/>
      <c r="Q771" s="2392"/>
      <c r="R771" s="2392"/>
      <c r="S771" s="2392"/>
      <c r="T771" s="2392"/>
      <c r="U771" s="2392"/>
      <c r="V771" s="2392"/>
      <c r="W771" s="2392"/>
      <c r="X771" s="2392"/>
      <c r="Y771" s="2392"/>
      <c r="Z771" s="2392"/>
      <c r="AA771" s="2392"/>
      <c r="AB771" s="239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2" t="s">
        <v>1437</v>
      </c>
      <c r="F773" s="2392"/>
      <c r="G773" s="2392"/>
      <c r="H773" s="2392"/>
      <c r="I773" s="2392"/>
      <c r="J773" s="2392"/>
      <c r="K773" s="2392"/>
      <c r="L773" s="2392"/>
      <c r="M773" s="2392"/>
      <c r="N773" s="2392"/>
      <c r="O773" s="2392"/>
      <c r="P773" s="2392"/>
      <c r="Q773" s="2392"/>
      <c r="R773" s="2392"/>
      <c r="S773" s="2392"/>
      <c r="T773" s="2392"/>
      <c r="U773" s="2392"/>
      <c r="V773" s="2392"/>
      <c r="W773" s="2392"/>
      <c r="X773" s="2392"/>
      <c r="Y773" s="2392"/>
      <c r="Z773" s="2392"/>
      <c r="AA773" s="2392"/>
      <c r="AB773" s="2392"/>
      <c r="AC773" s="536"/>
      <c r="AD773" s="536"/>
      <c r="AE773" s="536"/>
      <c r="AF773" s="2393" t="s">
        <v>1416</v>
      </c>
      <c r="AG773" s="2393"/>
      <c r="AH773" s="2393"/>
      <c r="AI773" s="2393"/>
      <c r="AJ773" s="2393"/>
      <c r="AK773" s="2393"/>
      <c r="AL773" s="239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2"/>
      <c r="F774" s="2392"/>
      <c r="G774" s="2392"/>
      <c r="H774" s="2392"/>
      <c r="I774" s="2392"/>
      <c r="J774" s="2392"/>
      <c r="K774" s="2392"/>
      <c r="L774" s="2392"/>
      <c r="M774" s="2392"/>
      <c r="N774" s="2392"/>
      <c r="O774" s="2392"/>
      <c r="P774" s="2392"/>
      <c r="Q774" s="2392"/>
      <c r="R774" s="2392"/>
      <c r="S774" s="2392"/>
      <c r="T774" s="2392"/>
      <c r="U774" s="2392"/>
      <c r="V774" s="2392"/>
      <c r="W774" s="2392"/>
      <c r="X774" s="2392"/>
      <c r="Y774" s="2392"/>
      <c r="Z774" s="2392"/>
      <c r="AA774" s="2392"/>
      <c r="AB774" s="239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4" t="s">
        <v>686</v>
      </c>
      <c r="I776" s="2394"/>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5">
        <f>VLOOKUP($H$776,$AO$710:$AP$712,2,FALSE)</f>
        <v>2</v>
      </c>
      <c r="AK778" s="239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92" t="s">
        <v>1680</v>
      </c>
      <c r="F782" s="2392"/>
      <c r="G782" s="2392"/>
      <c r="H782" s="2392"/>
      <c r="I782" s="2392"/>
      <c r="J782" s="2392"/>
      <c r="K782" s="2392"/>
      <c r="L782" s="2392"/>
      <c r="M782" s="2392"/>
      <c r="N782" s="2392"/>
      <c r="O782" s="2392"/>
      <c r="P782" s="2392"/>
      <c r="Q782" s="2392"/>
      <c r="R782" s="2392"/>
      <c r="S782" s="2392"/>
      <c r="T782" s="2392"/>
      <c r="U782" s="2392"/>
      <c r="V782" s="2392"/>
      <c r="W782" s="2392"/>
      <c r="X782" s="2392"/>
      <c r="Y782" s="2392"/>
      <c r="Z782" s="2392"/>
      <c r="AA782" s="2392"/>
      <c r="AB782" s="2392"/>
      <c r="AC782" s="2392"/>
      <c r="AD782" s="2392"/>
      <c r="AE782" s="536"/>
      <c r="AF782" s="2393" t="s">
        <v>1399</v>
      </c>
      <c r="AG782" s="2393"/>
      <c r="AH782" s="2393"/>
      <c r="AI782" s="2393"/>
      <c r="AJ782" s="2393"/>
      <c r="AK782" s="2393"/>
      <c r="AL782" s="2393"/>
      <c r="AM782" s="611"/>
      <c r="AN782" s="680"/>
      <c r="AO782" s="549" t="s">
        <v>590</v>
      </c>
      <c r="AP782" s="669">
        <v>0</v>
      </c>
    </row>
    <row r="783" spans="1:74" s="568" customFormat="1" ht="13.7" customHeight="1">
      <c r="A783" s="549"/>
      <c r="B783" s="614"/>
      <c r="C783" s="936"/>
      <c r="D783" s="659"/>
      <c r="E783" s="2392"/>
      <c r="F783" s="2392"/>
      <c r="G783" s="2392"/>
      <c r="H783" s="2392"/>
      <c r="I783" s="2392"/>
      <c r="J783" s="2392"/>
      <c r="K783" s="2392"/>
      <c r="L783" s="2392"/>
      <c r="M783" s="2392"/>
      <c r="N783" s="2392"/>
      <c r="O783" s="2392"/>
      <c r="P783" s="2392"/>
      <c r="Q783" s="2392"/>
      <c r="R783" s="2392"/>
      <c r="S783" s="2392"/>
      <c r="T783" s="2392"/>
      <c r="U783" s="2392"/>
      <c r="V783" s="2392"/>
      <c r="W783" s="2392"/>
      <c r="X783" s="2392"/>
      <c r="Y783" s="2392"/>
      <c r="Z783" s="2392"/>
      <c r="AA783" s="2392"/>
      <c r="AB783" s="2392"/>
      <c r="AC783" s="2392"/>
      <c r="AD783" s="2392"/>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2"/>
      <c r="F784" s="2392"/>
      <c r="G784" s="2392"/>
      <c r="H784" s="2392"/>
      <c r="I784" s="2392"/>
      <c r="J784" s="2392"/>
      <c r="K784" s="2392"/>
      <c r="L784" s="2392"/>
      <c r="M784" s="2392"/>
      <c r="N784" s="2392"/>
      <c r="O784" s="2392"/>
      <c r="P784" s="2392"/>
      <c r="Q784" s="2392"/>
      <c r="R784" s="2392"/>
      <c r="S784" s="2392"/>
      <c r="T784" s="2392"/>
      <c r="U784" s="2392"/>
      <c r="V784" s="2392"/>
      <c r="W784" s="2392"/>
      <c r="X784" s="2392"/>
      <c r="Y784" s="2392"/>
      <c r="Z784" s="2392"/>
      <c r="AA784" s="2392"/>
      <c r="AB784" s="2392"/>
      <c r="AC784" s="2392"/>
      <c r="AD784" s="2392"/>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2"/>
      <c r="F785" s="2392"/>
      <c r="G785" s="2392"/>
      <c r="H785" s="2392"/>
      <c r="I785" s="2392"/>
      <c r="J785" s="2392"/>
      <c r="K785" s="2392"/>
      <c r="L785" s="2392"/>
      <c r="M785" s="2392"/>
      <c r="N785" s="2392"/>
      <c r="O785" s="2392"/>
      <c r="P785" s="2392"/>
      <c r="Q785" s="2392"/>
      <c r="R785" s="2392"/>
      <c r="S785" s="2392"/>
      <c r="T785" s="2392"/>
      <c r="U785" s="2392"/>
      <c r="V785" s="2392"/>
      <c r="W785" s="2392"/>
      <c r="X785" s="2392"/>
      <c r="Y785" s="2392"/>
      <c r="Z785" s="2392"/>
      <c r="AA785" s="2392"/>
      <c r="AB785" s="2392"/>
      <c r="AC785" s="2392"/>
      <c r="AD785" s="239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3" t="s">
        <v>1685</v>
      </c>
      <c r="F787" s="2533"/>
      <c r="G787" s="2533"/>
      <c r="H787" s="2533"/>
      <c r="I787" s="2533"/>
      <c r="J787" s="2533"/>
      <c r="K787" s="2533"/>
      <c r="L787" s="2533"/>
      <c r="M787" s="2533"/>
      <c r="N787" s="2533"/>
      <c r="O787" s="2533"/>
      <c r="P787" s="2533"/>
      <c r="Q787" s="2533"/>
      <c r="R787" s="2533"/>
      <c r="S787" s="2533"/>
      <c r="T787" s="2533"/>
      <c r="U787" s="2533"/>
      <c r="V787" s="2533"/>
      <c r="W787" s="2533"/>
      <c r="X787" s="2533"/>
      <c r="Y787" s="2533"/>
      <c r="Z787" s="2533"/>
      <c r="AA787" s="2533"/>
      <c r="AB787" s="2533"/>
      <c r="AC787" s="2533"/>
      <c r="AD787" s="2533"/>
      <c r="AE787" s="536"/>
      <c r="AF787" s="2393" t="s">
        <v>1345</v>
      </c>
      <c r="AG787" s="2393"/>
      <c r="AH787" s="2393"/>
      <c r="AI787" s="2393"/>
      <c r="AJ787" s="2393"/>
      <c r="AK787" s="2393"/>
      <c r="AL787" s="2393"/>
      <c r="AM787" s="611"/>
      <c r="AN787" s="595"/>
    </row>
    <row r="788" spans="1:81" s="549" customFormat="1" ht="12.75" customHeight="1">
      <c r="B788" s="614"/>
      <c r="C788" s="936"/>
      <c r="D788" s="659"/>
      <c r="E788" s="2533"/>
      <c r="F788" s="2533"/>
      <c r="G788" s="2533"/>
      <c r="H788" s="2533"/>
      <c r="I788" s="2533"/>
      <c r="J788" s="2533"/>
      <c r="K788" s="2533"/>
      <c r="L788" s="2533"/>
      <c r="M788" s="2533"/>
      <c r="N788" s="2533"/>
      <c r="O788" s="2533"/>
      <c r="P788" s="2533"/>
      <c r="Q788" s="2533"/>
      <c r="R788" s="2533"/>
      <c r="S788" s="2533"/>
      <c r="T788" s="2533"/>
      <c r="U788" s="2533"/>
      <c r="V788" s="2533"/>
      <c r="W788" s="2533"/>
      <c r="X788" s="2533"/>
      <c r="Y788" s="2533"/>
      <c r="Z788" s="2533"/>
      <c r="AA788" s="2533"/>
      <c r="AB788" s="2533"/>
      <c r="AC788" s="2533"/>
      <c r="AD788" s="2533"/>
      <c r="AE788" s="592"/>
      <c r="AF788" s="592"/>
      <c r="AG788" s="592"/>
      <c r="AH788" s="592"/>
      <c r="AI788" s="592"/>
      <c r="AJ788" s="592"/>
      <c r="AK788" s="592"/>
      <c r="AL788" s="592"/>
      <c r="AM788" s="611"/>
      <c r="AN788" s="595"/>
    </row>
    <row r="789" spans="1:81" s="549" customFormat="1" ht="12.75" customHeight="1">
      <c r="B789" s="614"/>
      <c r="C789" s="936"/>
      <c r="D789" s="659"/>
      <c r="E789" s="2533"/>
      <c r="F789" s="2533"/>
      <c r="G789" s="2533"/>
      <c r="H789" s="2533"/>
      <c r="I789" s="2533"/>
      <c r="J789" s="2533"/>
      <c r="K789" s="2533"/>
      <c r="L789" s="2533"/>
      <c r="M789" s="2533"/>
      <c r="N789" s="2533"/>
      <c r="O789" s="2533"/>
      <c r="P789" s="2533"/>
      <c r="Q789" s="2533"/>
      <c r="R789" s="2533"/>
      <c r="S789" s="2533"/>
      <c r="T789" s="2533"/>
      <c r="U789" s="2533"/>
      <c r="V789" s="2533"/>
      <c r="W789" s="2533"/>
      <c r="X789" s="2533"/>
      <c r="Y789" s="2533"/>
      <c r="Z789" s="2533"/>
      <c r="AA789" s="2533"/>
      <c r="AB789" s="2533"/>
      <c r="AC789" s="2533"/>
      <c r="AD789" s="2533"/>
      <c r="AE789" s="592"/>
      <c r="AF789" s="592"/>
      <c r="AG789" s="592"/>
      <c r="AH789" s="592"/>
      <c r="AI789" s="592"/>
      <c r="AJ789" s="592"/>
      <c r="AK789" s="592"/>
      <c r="AL789" s="592"/>
      <c r="AM789" s="611"/>
      <c r="AN789" s="595"/>
    </row>
    <row r="790" spans="1:81" s="549" customFormat="1" ht="12.75" customHeight="1">
      <c r="B790" s="614"/>
      <c r="C790" s="936"/>
      <c r="D790" s="659"/>
      <c r="E790" s="2533"/>
      <c r="F790" s="2533"/>
      <c r="G790" s="2533"/>
      <c r="H790" s="2533"/>
      <c r="I790" s="2533"/>
      <c r="J790" s="2533"/>
      <c r="K790" s="2533"/>
      <c r="L790" s="2533"/>
      <c r="M790" s="2533"/>
      <c r="N790" s="2533"/>
      <c r="O790" s="2533"/>
      <c r="P790" s="2533"/>
      <c r="Q790" s="2533"/>
      <c r="R790" s="2533"/>
      <c r="S790" s="2533"/>
      <c r="T790" s="2533"/>
      <c r="U790" s="2533"/>
      <c r="V790" s="2533"/>
      <c r="W790" s="2533"/>
      <c r="X790" s="2533"/>
      <c r="Y790" s="2533"/>
      <c r="Z790" s="2533"/>
      <c r="AA790" s="2533"/>
      <c r="AB790" s="2533"/>
      <c r="AC790" s="2533"/>
      <c r="AD790" s="2533"/>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4" t="s">
        <v>590</v>
      </c>
      <c r="I792" s="2394"/>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5">
        <f>VLOOKUP($H$792,$AO$782:$AP$784,2,FALSE)</f>
        <v>0</v>
      </c>
      <c r="AK794" s="239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92" t="s">
        <v>2639</v>
      </c>
      <c r="F798" s="2392"/>
      <c r="G798" s="2392"/>
      <c r="H798" s="2392"/>
      <c r="I798" s="2392"/>
      <c r="J798" s="2392"/>
      <c r="K798" s="2392"/>
      <c r="L798" s="2392"/>
      <c r="M798" s="2392"/>
      <c r="N798" s="2392"/>
      <c r="O798" s="2392"/>
      <c r="P798" s="2392"/>
      <c r="Q798" s="2392"/>
      <c r="R798" s="2392"/>
      <c r="S798" s="2392"/>
      <c r="T798" s="2392"/>
      <c r="U798" s="2392"/>
      <c r="V798" s="2392"/>
      <c r="W798" s="2392"/>
      <c r="X798" s="2392"/>
      <c r="Y798" s="2392"/>
      <c r="Z798" s="2392"/>
      <c r="AA798" s="2392"/>
      <c r="AB798" s="2392"/>
      <c r="AC798" s="2392"/>
      <c r="AD798" s="2392"/>
      <c r="AE798" s="536"/>
      <c r="AF798" s="2393" t="s">
        <v>1345</v>
      </c>
      <c r="AG798" s="2393"/>
      <c r="AH798" s="2393"/>
      <c r="AI798" s="2393"/>
      <c r="AJ798" s="2393"/>
      <c r="AK798" s="2393"/>
      <c r="AL798" s="2393"/>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92"/>
      <c r="F799" s="2392"/>
      <c r="G799" s="2392"/>
      <c r="H799" s="2392"/>
      <c r="I799" s="2392"/>
      <c r="J799" s="2392"/>
      <c r="K799" s="2392"/>
      <c r="L799" s="2392"/>
      <c r="M799" s="2392"/>
      <c r="N799" s="2392"/>
      <c r="O799" s="2392"/>
      <c r="P799" s="2392"/>
      <c r="Q799" s="2392"/>
      <c r="R799" s="2392"/>
      <c r="S799" s="2392"/>
      <c r="T799" s="2392"/>
      <c r="U799" s="2392"/>
      <c r="V799" s="2392"/>
      <c r="W799" s="2392"/>
      <c r="X799" s="2392"/>
      <c r="Y799" s="2392"/>
      <c r="Z799" s="2392"/>
      <c r="AA799" s="2392"/>
      <c r="AB799" s="2392"/>
      <c r="AC799" s="2392"/>
      <c r="AD799" s="239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2"/>
      <c r="F800" s="2392"/>
      <c r="G800" s="2392"/>
      <c r="H800" s="2392"/>
      <c r="I800" s="2392"/>
      <c r="J800" s="2392"/>
      <c r="K800" s="2392"/>
      <c r="L800" s="2392"/>
      <c r="M800" s="2392"/>
      <c r="N800" s="2392"/>
      <c r="O800" s="2392"/>
      <c r="P800" s="2392"/>
      <c r="Q800" s="2392"/>
      <c r="R800" s="2392"/>
      <c r="S800" s="2392"/>
      <c r="T800" s="2392"/>
      <c r="U800" s="2392"/>
      <c r="V800" s="2392"/>
      <c r="W800" s="2392"/>
      <c r="X800" s="2392"/>
      <c r="Y800" s="2392"/>
      <c r="Z800" s="2392"/>
      <c r="AA800" s="2392"/>
      <c r="AB800" s="2392"/>
      <c r="AC800" s="2392"/>
      <c r="AD800" s="239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2"/>
      <c r="F801" s="2392"/>
      <c r="G801" s="2392"/>
      <c r="H801" s="2392"/>
      <c r="I801" s="2392"/>
      <c r="J801" s="2392"/>
      <c r="K801" s="2392"/>
      <c r="L801" s="2392"/>
      <c r="M801" s="2392"/>
      <c r="N801" s="2392"/>
      <c r="O801" s="2392"/>
      <c r="P801" s="2392"/>
      <c r="Q801" s="2392"/>
      <c r="R801" s="2392"/>
      <c r="S801" s="2392"/>
      <c r="T801" s="2392"/>
      <c r="U801" s="2392"/>
      <c r="V801" s="2392"/>
      <c r="W801" s="2392"/>
      <c r="X801" s="2392"/>
      <c r="Y801" s="2392"/>
      <c r="Z801" s="2392"/>
      <c r="AA801" s="2392"/>
      <c r="AB801" s="2392"/>
      <c r="AC801" s="2392"/>
      <c r="AD801" s="239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4" t="s">
        <v>544</v>
      </c>
      <c r="I803" s="2394"/>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5">
        <f>VLOOKUP($H$803,$AO$797:$AP$798,2,FALSE)</f>
        <v>3</v>
      </c>
      <c r="AK805" s="239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2" t="s">
        <v>2601</v>
      </c>
      <c r="F809" s="2392"/>
      <c r="G809" s="2392"/>
      <c r="H809" s="2392"/>
      <c r="I809" s="2392"/>
      <c r="J809" s="2392"/>
      <c r="K809" s="2392"/>
      <c r="L809" s="2392"/>
      <c r="M809" s="2392"/>
      <c r="N809" s="2392"/>
      <c r="O809" s="2392"/>
      <c r="P809" s="2392"/>
      <c r="Q809" s="2392"/>
      <c r="R809" s="2392"/>
      <c r="S809" s="2392"/>
      <c r="T809" s="2392"/>
      <c r="U809" s="2392"/>
      <c r="V809" s="2392"/>
      <c r="W809" s="2392"/>
      <c r="X809" s="2392"/>
      <c r="Y809" s="2392"/>
      <c r="Z809" s="2392"/>
      <c r="AA809" s="2392"/>
      <c r="AB809" s="2392"/>
      <c r="AC809" s="2392"/>
      <c r="AD809" s="2392"/>
      <c r="AE809" s="550"/>
      <c r="AF809" s="2393" t="s">
        <v>1370</v>
      </c>
      <c r="AG809" s="2393"/>
      <c r="AH809" s="2393"/>
      <c r="AI809" s="2393"/>
      <c r="AJ809" s="2393"/>
      <c r="AK809" s="2393"/>
      <c r="AL809" s="2393"/>
      <c r="AN809" s="595"/>
    </row>
    <row r="810" spans="1:81" s="549" customFormat="1" ht="12.75" customHeight="1">
      <c r="B810" s="614"/>
      <c r="C810" s="684"/>
      <c r="D810" s="659"/>
      <c r="E810" s="2392"/>
      <c r="F810" s="2392"/>
      <c r="G810" s="2392"/>
      <c r="H810" s="2392"/>
      <c r="I810" s="2392"/>
      <c r="J810" s="2392"/>
      <c r="K810" s="2392"/>
      <c r="L810" s="2392"/>
      <c r="M810" s="2392"/>
      <c r="N810" s="2392"/>
      <c r="O810" s="2392"/>
      <c r="P810" s="2392"/>
      <c r="Q810" s="2392"/>
      <c r="R810" s="2392"/>
      <c r="S810" s="2392"/>
      <c r="T810" s="2392"/>
      <c r="U810" s="2392"/>
      <c r="V810" s="2392"/>
      <c r="W810" s="2392"/>
      <c r="X810" s="2392"/>
      <c r="Y810" s="2392"/>
      <c r="Z810" s="2392"/>
      <c r="AA810" s="2392"/>
      <c r="AB810" s="2392"/>
      <c r="AC810" s="2392"/>
      <c r="AD810" s="239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4" t="s">
        <v>544</v>
      </c>
      <c r="I812" s="2394"/>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5">
        <f>IF(H812="Yes",5,0)</f>
        <v>5</v>
      </c>
      <c r="AK814" s="239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5">
        <f>IF(($AJ$634+$AJ$653+$AJ$665+$AJ$700+$AJ$724+$AJ$738+$AJ$750+$AJ$766+$AJ$778+$AJ$794+AJ805+AJ814)&gt;10,10,($AJ$634+$AJ$653+$AJ$665+$AJ$700+$AJ$724+$AJ$738+$AJ$750+$AJ$766+$AJ$778+$AJ$794+AJ805+AJ814))</f>
        <v>10</v>
      </c>
      <c r="AL816" s="2441"/>
      <c r="AM816" s="239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2" t="s">
        <v>1557</v>
      </c>
      <c r="B819" s="2523"/>
      <c r="C819" s="2523"/>
      <c r="D819" s="2523"/>
      <c r="E819" s="2523"/>
      <c r="F819" s="2523"/>
      <c r="G819" s="2523"/>
      <c r="H819" s="2523"/>
      <c r="I819" s="2523"/>
      <c r="J819" s="2523"/>
      <c r="K819" s="2523"/>
      <c r="L819" s="2523"/>
      <c r="M819" s="2523"/>
      <c r="N819" s="2523"/>
      <c r="O819" s="2523"/>
      <c r="P819" s="2523"/>
      <c r="Q819" s="2523"/>
      <c r="R819" s="2523"/>
      <c r="S819" s="2523"/>
      <c r="T819" s="2523"/>
      <c r="U819" s="2523"/>
      <c r="V819" s="2523"/>
      <c r="W819" s="2523"/>
      <c r="X819" s="2523"/>
      <c r="Y819" s="2523"/>
      <c r="Z819" s="2523"/>
      <c r="AA819" s="2523"/>
      <c r="AB819" s="2523"/>
      <c r="AC819" s="2523"/>
      <c r="AD819" s="2523"/>
      <c r="AE819" s="2523"/>
      <c r="AF819" s="2523"/>
      <c r="AG819" s="2523"/>
      <c r="AH819" s="2523"/>
      <c r="AI819" s="2523"/>
      <c r="AJ819" s="2523"/>
      <c r="AK819" s="2523"/>
      <c r="AL819" s="2523"/>
      <c r="AM819" s="2523"/>
    </row>
    <row r="820" spans="1:43">
      <c r="A820" s="2524"/>
      <c r="B820" s="2524"/>
      <c r="C820" s="2524"/>
      <c r="D820" s="2524"/>
      <c r="E820" s="2524"/>
      <c r="F820" s="2524"/>
      <c r="G820" s="2524"/>
      <c r="H820" s="2524"/>
      <c r="I820" s="2524"/>
      <c r="J820" s="2524"/>
      <c r="K820" s="2524"/>
      <c r="L820" s="2524"/>
      <c r="M820" s="2524"/>
      <c r="N820" s="2524"/>
      <c r="O820" s="2524"/>
      <c r="P820" s="2524"/>
      <c r="Q820" s="2524"/>
      <c r="R820" s="2524"/>
      <c r="S820" s="2524"/>
      <c r="T820" s="2524"/>
      <c r="U820" s="2524"/>
      <c r="V820" s="2524"/>
      <c r="W820" s="2524"/>
      <c r="X820" s="2524"/>
      <c r="Y820" s="2524"/>
      <c r="Z820" s="2524"/>
      <c r="AA820" s="2524"/>
      <c r="AB820" s="2524"/>
      <c r="AC820" s="2524"/>
      <c r="AD820" s="2524"/>
      <c r="AE820" s="2524"/>
      <c r="AF820" s="2524"/>
      <c r="AG820" s="2524"/>
      <c r="AH820" s="2524"/>
      <c r="AI820" s="2524"/>
      <c r="AJ820" s="2524"/>
      <c r="AK820" s="2524"/>
      <c r="AL820" s="2524"/>
      <c r="AM820" s="252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8"/>
      <c r="B822" s="2468"/>
      <c r="C822" s="2468"/>
      <c r="D822" s="2468"/>
      <c r="E822" s="2468"/>
      <c r="F822" s="2468"/>
      <c r="G822" s="2468"/>
      <c r="H822" s="2468"/>
      <c r="I822" s="2468"/>
      <c r="J822" s="2468"/>
      <c r="K822" s="2468"/>
      <c r="L822" s="2468"/>
      <c r="M822" s="2468"/>
      <c r="N822" s="2468"/>
      <c r="O822" s="2468"/>
      <c r="P822" s="2468"/>
      <c r="Q822" s="2468"/>
      <c r="R822" s="2468"/>
      <c r="S822" s="2468"/>
      <c r="T822" s="2468"/>
      <c r="U822" s="2468"/>
      <c r="V822" s="2468"/>
      <c r="W822" s="2468"/>
      <c r="X822" s="2468"/>
      <c r="Y822" s="2468"/>
      <c r="Z822" s="2468"/>
      <c r="AA822" s="2468"/>
      <c r="AB822" s="2468"/>
      <c r="AC822" s="2468"/>
      <c r="AD822" s="2468"/>
      <c r="AE822" s="2468"/>
      <c r="AF822" s="2468"/>
      <c r="AG822" s="2468"/>
      <c r="AH822" s="2468"/>
      <c r="AI822" s="2468"/>
      <c r="AJ822" s="2468"/>
      <c r="AK822" s="2468"/>
      <c r="AL822" s="2468"/>
      <c r="AM822" s="2468"/>
      <c r="AP822" s="812"/>
      <c r="AQ822" s="812"/>
    </row>
    <row r="823" spans="1:43">
      <c r="A823" s="2468"/>
      <c r="B823" s="2468"/>
      <c r="C823" s="2468"/>
      <c r="D823" s="2468"/>
      <c r="E823" s="2468"/>
      <c r="F823" s="2468"/>
      <c r="G823" s="2468"/>
      <c r="H823" s="2468"/>
      <c r="I823" s="2468"/>
      <c r="J823" s="2468"/>
      <c r="K823" s="2468"/>
      <c r="L823" s="2468"/>
      <c r="M823" s="2468"/>
      <c r="N823" s="2468"/>
      <c r="O823" s="2468"/>
      <c r="P823" s="2468"/>
      <c r="Q823" s="2468"/>
      <c r="R823" s="2468"/>
      <c r="S823" s="2468"/>
      <c r="T823" s="2468"/>
      <c r="U823" s="2468"/>
      <c r="V823" s="2468"/>
      <c r="W823" s="2468"/>
      <c r="X823" s="2468"/>
      <c r="Y823" s="2468"/>
      <c r="Z823" s="2468"/>
      <c r="AA823" s="2468"/>
      <c r="AB823" s="2468"/>
      <c r="AC823" s="2468"/>
      <c r="AD823" s="2468"/>
      <c r="AE823" s="2468"/>
      <c r="AF823" s="2468"/>
      <c r="AG823" s="2468"/>
      <c r="AH823" s="2468"/>
      <c r="AI823" s="2468"/>
      <c r="AJ823" s="2468"/>
      <c r="AK823" s="2468"/>
      <c r="AL823" s="2468"/>
      <c r="AM823" s="246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5" t="s">
        <v>1558</v>
      </c>
      <c r="U824" s="2526"/>
      <c r="V824" s="2526"/>
      <c r="W824" s="2526"/>
      <c r="X824" s="2526"/>
      <c r="Y824" s="2527"/>
      <c r="Z824" s="2525" t="s">
        <v>1559</v>
      </c>
      <c r="AA824" s="2526"/>
      <c r="AB824" s="2526"/>
      <c r="AC824" s="2526"/>
      <c r="AD824" s="2526"/>
      <c r="AE824" s="2527"/>
      <c r="AF824" s="2525" t="s">
        <v>1560</v>
      </c>
      <c r="AG824" s="2526"/>
      <c r="AH824" s="2526"/>
      <c r="AI824" s="2526"/>
      <c r="AJ824" s="2526"/>
      <c r="AK824" s="252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8"/>
      <c r="U825" s="2529"/>
      <c r="V825" s="2529"/>
      <c r="W825" s="2529"/>
      <c r="X825" s="2529"/>
      <c r="Y825" s="2530"/>
      <c r="Z825" s="2528"/>
      <c r="AA825" s="2529"/>
      <c r="AB825" s="2529"/>
      <c r="AC825" s="2529"/>
      <c r="AD825" s="2529"/>
      <c r="AE825" s="2530"/>
      <c r="AF825" s="2528"/>
      <c r="AG825" s="2529"/>
      <c r="AH825" s="2529"/>
      <c r="AI825" s="2529"/>
      <c r="AJ825" s="2529"/>
      <c r="AK825" s="2530"/>
      <c r="AL825" s="814"/>
      <c r="AM825" s="594"/>
      <c r="AO825" s="812"/>
      <c r="AP825" s="812"/>
      <c r="AQ825" s="812"/>
    </row>
    <row r="826" spans="1:43">
      <c r="A826" s="815" t="s">
        <v>756</v>
      </c>
      <c r="B826" s="2483" t="str">
        <f>B7</f>
        <v xml:space="preserve">Acquisition/Rehabilitation Project Priorities </v>
      </c>
      <c r="C826" s="2483"/>
      <c r="D826" s="2483"/>
      <c r="E826" s="2483"/>
      <c r="F826" s="2483"/>
      <c r="G826" s="2483"/>
      <c r="H826" s="2483"/>
      <c r="I826" s="2483"/>
      <c r="J826" s="2483"/>
      <c r="K826" s="2483"/>
      <c r="L826" s="2483"/>
      <c r="M826" s="2483"/>
      <c r="N826" s="2483"/>
      <c r="O826" s="2483"/>
      <c r="P826" s="2483"/>
      <c r="Q826" s="2483"/>
      <c r="R826" s="2483"/>
      <c r="S826" s="2484"/>
      <c r="T826" s="2510">
        <f>AK61</f>
        <v>0</v>
      </c>
      <c r="U826" s="2487"/>
      <c r="V826" s="2487"/>
      <c r="W826" s="2487"/>
      <c r="X826" s="2487"/>
      <c r="Y826" s="2488"/>
      <c r="Z826" s="2486">
        <v>20</v>
      </c>
      <c r="AA826" s="2487"/>
      <c r="AB826" s="2487"/>
      <c r="AC826" s="2487"/>
      <c r="AD826" s="2487"/>
      <c r="AE826" s="2488"/>
      <c r="AF826" s="2466">
        <f>IF(T826&gt;Z826,Z826,T826)</f>
        <v>0</v>
      </c>
      <c r="AG826" s="2466"/>
      <c r="AH826" s="2466"/>
      <c r="AI826" s="2466"/>
      <c r="AJ826" s="2466"/>
      <c r="AK826" s="2466"/>
      <c r="AL826" s="814"/>
      <c r="AM826" s="594"/>
      <c r="AO826" s="812"/>
      <c r="AP826" s="812"/>
      <c r="AQ826" s="812"/>
    </row>
    <row r="827" spans="1:43">
      <c r="A827" s="815" t="s">
        <v>1531</v>
      </c>
      <c r="B827" s="2483" t="s">
        <v>1306</v>
      </c>
      <c r="C827" s="2483"/>
      <c r="D827" s="2483"/>
      <c r="E827" s="2483"/>
      <c r="F827" s="2483"/>
      <c r="G827" s="2483"/>
      <c r="H827" s="2483"/>
      <c r="I827" s="2483"/>
      <c r="J827" s="2483"/>
      <c r="K827" s="2483"/>
      <c r="L827" s="2483"/>
      <c r="M827" s="2483"/>
      <c r="N827" s="2483"/>
      <c r="O827" s="2483"/>
      <c r="P827" s="2483"/>
      <c r="Q827" s="2483"/>
      <c r="R827" s="2483"/>
      <c r="S827" s="2484"/>
      <c r="T827" s="2510">
        <f>AK83</f>
        <v>10</v>
      </c>
      <c r="U827" s="2487"/>
      <c r="V827" s="2487"/>
      <c r="W827" s="2487"/>
      <c r="X827" s="2487"/>
      <c r="Y827" s="2488"/>
      <c r="Z827" s="2486">
        <v>10</v>
      </c>
      <c r="AA827" s="2487"/>
      <c r="AB827" s="2487"/>
      <c r="AC827" s="2487"/>
      <c r="AD827" s="2487"/>
      <c r="AE827" s="2488"/>
      <c r="AF827" s="2466">
        <f>IF(T827&gt;Z827,Z827,T827)</f>
        <v>10</v>
      </c>
      <c r="AG827" s="2466"/>
      <c r="AH827" s="2466"/>
      <c r="AI827" s="2466"/>
      <c r="AJ827" s="2466"/>
      <c r="AK827" s="2466"/>
      <c r="AL827" s="814"/>
      <c r="AM827" s="594"/>
      <c r="AO827" s="812"/>
      <c r="AP827" s="812"/>
      <c r="AQ827" s="812"/>
    </row>
    <row r="828" spans="1:43">
      <c r="A828" s="815" t="s">
        <v>1540</v>
      </c>
      <c r="B828" s="2483" t="s">
        <v>1316</v>
      </c>
      <c r="C828" s="2483"/>
      <c r="D828" s="2483"/>
      <c r="E828" s="2483"/>
      <c r="F828" s="2483"/>
      <c r="G828" s="2483"/>
      <c r="H828" s="2483"/>
      <c r="I828" s="2483"/>
      <c r="J828" s="2483"/>
      <c r="K828" s="2483"/>
      <c r="L828" s="2483"/>
      <c r="M828" s="2483"/>
      <c r="N828" s="2483"/>
      <c r="O828" s="2483"/>
      <c r="P828" s="2483"/>
      <c r="Q828" s="2483"/>
      <c r="R828" s="2483"/>
      <c r="S828" s="2484"/>
      <c r="T828" s="2510">
        <f>AK108</f>
        <v>20</v>
      </c>
      <c r="U828" s="2487"/>
      <c r="V828" s="2487"/>
      <c r="W828" s="2487"/>
      <c r="X828" s="2487"/>
      <c r="Y828" s="2488"/>
      <c r="Z828" s="2486">
        <v>20</v>
      </c>
      <c r="AA828" s="2487"/>
      <c r="AB828" s="2487"/>
      <c r="AC828" s="2487"/>
      <c r="AD828" s="2487"/>
      <c r="AE828" s="2488"/>
      <c r="AF828" s="2466">
        <f>IF(T828&gt;Z828,Z828,T828)</f>
        <v>20</v>
      </c>
      <c r="AG828" s="2466"/>
      <c r="AH828" s="2466"/>
      <c r="AI828" s="2466"/>
      <c r="AJ828" s="2466"/>
      <c r="AK828" s="2466"/>
      <c r="AL828" s="814"/>
      <c r="AM828" s="594"/>
      <c r="AO828" s="812"/>
      <c r="AP828" s="812"/>
      <c r="AQ828" s="812"/>
    </row>
    <row r="829" spans="1:43">
      <c r="A829" s="815" t="s">
        <v>1561</v>
      </c>
      <c r="B829" s="2483" t="s">
        <v>1326</v>
      </c>
      <c r="C829" s="2483"/>
      <c r="D829" s="2483"/>
      <c r="E829" s="2483"/>
      <c r="F829" s="2483"/>
      <c r="G829" s="2483"/>
      <c r="H829" s="2483"/>
      <c r="I829" s="2483"/>
      <c r="J829" s="2483"/>
      <c r="K829" s="2483"/>
      <c r="L829" s="2483"/>
      <c r="M829" s="2483"/>
      <c r="N829" s="2483"/>
      <c r="O829" s="2483"/>
      <c r="P829" s="2483"/>
      <c r="Q829" s="2483"/>
      <c r="R829" s="2483"/>
      <c r="S829" s="2484"/>
      <c r="T829" s="2510">
        <f>AK142</f>
        <v>10</v>
      </c>
      <c r="U829" s="2487"/>
      <c r="V829" s="2487"/>
      <c r="W829" s="2487"/>
      <c r="X829" s="2487"/>
      <c r="Y829" s="2488"/>
      <c r="Z829" s="2486">
        <v>10</v>
      </c>
      <c r="AA829" s="2487"/>
      <c r="AB829" s="2487"/>
      <c r="AC829" s="2487"/>
      <c r="AD829" s="2487"/>
      <c r="AE829" s="2488"/>
      <c r="AF829" s="2466">
        <f>IF(T829&gt;Z829,Z829,T829)</f>
        <v>10</v>
      </c>
      <c r="AG829" s="2466"/>
      <c r="AH829" s="2466"/>
      <c r="AI829" s="2466"/>
      <c r="AJ829" s="2466"/>
      <c r="AK829" s="2466"/>
      <c r="AL829" s="814"/>
      <c r="AM829" s="594"/>
      <c r="AO829" s="812"/>
      <c r="AP829" s="812"/>
      <c r="AQ829" s="812"/>
    </row>
    <row r="830" spans="1:43">
      <c r="A830" s="816" t="s">
        <v>1562</v>
      </c>
      <c r="B830" s="2483" t="s">
        <v>1563</v>
      </c>
      <c r="C830" s="2483"/>
      <c r="D830" s="2483"/>
      <c r="E830" s="2483"/>
      <c r="F830" s="2483"/>
      <c r="G830" s="2483"/>
      <c r="H830" s="2483"/>
      <c r="I830" s="2483"/>
      <c r="J830" s="2483"/>
      <c r="K830" s="2483"/>
      <c r="L830" s="2483"/>
      <c r="M830" s="2483"/>
      <c r="N830" s="2483"/>
      <c r="O830" s="2483"/>
      <c r="P830" s="2483"/>
      <c r="Q830" s="2483"/>
      <c r="R830" s="2483"/>
      <c r="S830" s="2484"/>
      <c r="T830" s="2485">
        <f>SUM(T831:Y832)</f>
        <v>10</v>
      </c>
      <c r="U830" s="2485"/>
      <c r="V830" s="2485"/>
      <c r="W830" s="2485"/>
      <c r="X830" s="2485"/>
      <c r="Y830" s="2485"/>
      <c r="Z830" s="2466">
        <v>10</v>
      </c>
      <c r="AA830" s="2466"/>
      <c r="AB830" s="2466"/>
      <c r="AC830" s="2466"/>
      <c r="AD830" s="2466"/>
      <c r="AE830" s="2466"/>
      <c r="AF830" s="2466">
        <f>IF(T830&gt;Z830,Z830,T830)</f>
        <v>10</v>
      </c>
      <c r="AG830" s="2466"/>
      <c r="AH830" s="2466"/>
      <c r="AI830" s="2466"/>
      <c r="AJ830" s="2466"/>
      <c r="AK830" s="2466"/>
      <c r="AL830" s="814"/>
      <c r="AM830" s="594"/>
    </row>
    <row r="831" spans="1:43">
      <c r="A831" s="535"/>
      <c r="B831" s="599"/>
      <c r="C831" s="2489" t="s">
        <v>1564</v>
      </c>
      <c r="D831" s="2489"/>
      <c r="E831" s="2489"/>
      <c r="F831" s="2489"/>
      <c r="G831" s="2489"/>
      <c r="H831" s="2489"/>
      <c r="I831" s="2489"/>
      <c r="J831" s="2489"/>
      <c r="K831" s="2489"/>
      <c r="L831" s="2489"/>
      <c r="M831" s="2489"/>
      <c r="N831" s="2489"/>
      <c r="O831" s="2489"/>
      <c r="P831" s="2489"/>
      <c r="Q831" s="2489"/>
      <c r="R831" s="2489"/>
      <c r="S831" s="2490"/>
      <c r="T831" s="2491">
        <f>AJ165</f>
        <v>7</v>
      </c>
      <c r="U831" s="2491"/>
      <c r="V831" s="2491"/>
      <c r="W831" s="2491"/>
      <c r="X831" s="2491"/>
      <c r="Y831" s="2491"/>
      <c r="Z831" s="2492">
        <v>7</v>
      </c>
      <c r="AA831" s="2492"/>
      <c r="AB831" s="2492"/>
      <c r="AC831" s="2492"/>
      <c r="AD831" s="2492"/>
      <c r="AE831" s="2492"/>
      <c r="AF831" s="2493"/>
      <c r="AG831" s="2493"/>
      <c r="AH831" s="2493"/>
      <c r="AI831" s="2493"/>
      <c r="AJ831" s="2493"/>
      <c r="AK831" s="2493"/>
      <c r="AL831" s="814"/>
      <c r="AM831" s="594"/>
    </row>
    <row r="832" spans="1:43">
      <c r="A832" s="598"/>
      <c r="B832" s="599"/>
      <c r="C832" s="2489" t="s">
        <v>1565</v>
      </c>
      <c r="D832" s="2489"/>
      <c r="E832" s="2489"/>
      <c r="F832" s="2489"/>
      <c r="G832" s="2489"/>
      <c r="H832" s="2489"/>
      <c r="I832" s="2489"/>
      <c r="J832" s="2489"/>
      <c r="K832" s="2489"/>
      <c r="L832" s="2489"/>
      <c r="M832" s="2489"/>
      <c r="N832" s="2489"/>
      <c r="O832" s="2489"/>
      <c r="P832" s="2489"/>
      <c r="Q832" s="2489"/>
      <c r="R832" s="2489"/>
      <c r="S832" s="2490"/>
      <c r="T832" s="2491">
        <f>AJ179</f>
        <v>3</v>
      </c>
      <c r="U832" s="2491"/>
      <c r="V832" s="2491"/>
      <c r="W832" s="2491"/>
      <c r="X832" s="2491"/>
      <c r="Y832" s="2491"/>
      <c r="Z832" s="2492">
        <v>3</v>
      </c>
      <c r="AA832" s="2492"/>
      <c r="AB832" s="2492"/>
      <c r="AC832" s="2492"/>
      <c r="AD832" s="2492"/>
      <c r="AE832" s="2492"/>
      <c r="AF832" s="2493"/>
      <c r="AG832" s="2493"/>
      <c r="AH832" s="2493"/>
      <c r="AI832" s="2493"/>
      <c r="AJ832" s="2493"/>
      <c r="AK832" s="2493"/>
      <c r="AL832" s="814"/>
      <c r="AM832" s="594"/>
      <c r="AO832" s="549"/>
    </row>
    <row r="833" spans="1:81">
      <c r="A833" s="816" t="s">
        <v>1354</v>
      </c>
      <c r="B833" s="2483" t="s">
        <v>1566</v>
      </c>
      <c r="C833" s="2483"/>
      <c r="D833" s="2483"/>
      <c r="E833" s="2483"/>
      <c r="F833" s="2483"/>
      <c r="G833" s="2483"/>
      <c r="H833" s="2483"/>
      <c r="I833" s="2483"/>
      <c r="J833" s="2483"/>
      <c r="K833" s="2483"/>
      <c r="L833" s="2483"/>
      <c r="M833" s="2483"/>
      <c r="N833" s="2483"/>
      <c r="O833" s="2483"/>
      <c r="P833" s="2483"/>
      <c r="Q833" s="2483"/>
      <c r="R833" s="2483"/>
      <c r="S833" s="2484"/>
      <c r="T833" s="2485">
        <f>AK190</f>
        <v>10</v>
      </c>
      <c r="U833" s="2485"/>
      <c r="V833" s="2485"/>
      <c r="W833" s="2485"/>
      <c r="X833" s="2485"/>
      <c r="Y833" s="2485"/>
      <c r="Z833" s="2466">
        <v>10</v>
      </c>
      <c r="AA833" s="2466"/>
      <c r="AB833" s="2466"/>
      <c r="AC833" s="2466"/>
      <c r="AD833" s="2466"/>
      <c r="AE833" s="2466"/>
      <c r="AF833" s="2466">
        <f>IF(T833&gt;Z833,Z833,T833)</f>
        <v>10</v>
      </c>
      <c r="AG833" s="2466"/>
      <c r="AH833" s="2466"/>
      <c r="AI833" s="2466"/>
      <c r="AJ833" s="2466"/>
      <c r="AK833" s="2466"/>
      <c r="AL833" s="814"/>
      <c r="AM833" s="594"/>
    </row>
    <row r="834" spans="1:81" hidden="1">
      <c r="A834" s="815" t="s">
        <v>1362</v>
      </c>
      <c r="B834" s="2483" t="s">
        <v>1363</v>
      </c>
      <c r="C834" s="2483"/>
      <c r="D834" s="2483"/>
      <c r="E834" s="2483"/>
      <c r="F834" s="2483"/>
      <c r="G834" s="2483"/>
      <c r="H834" s="2483"/>
      <c r="I834" s="2483"/>
      <c r="J834" s="2483"/>
      <c r="K834" s="2483"/>
      <c r="L834" s="2483"/>
      <c r="M834" s="2483"/>
      <c r="N834" s="2483"/>
      <c r="O834" s="2483"/>
      <c r="P834" s="2483"/>
      <c r="Q834" s="2483"/>
      <c r="R834" s="2483"/>
      <c r="S834" s="2484"/>
      <c r="T834" s="2485">
        <f>AK272</f>
        <v>0</v>
      </c>
      <c r="U834" s="2485"/>
      <c r="V834" s="2485"/>
      <c r="W834" s="2485"/>
      <c r="X834" s="2485"/>
      <c r="Y834" s="2485"/>
      <c r="Z834" s="2486">
        <v>8</v>
      </c>
      <c r="AA834" s="2487"/>
      <c r="AB834" s="2487"/>
      <c r="AC834" s="2487"/>
      <c r="AD834" s="2487"/>
      <c r="AE834" s="2488"/>
      <c r="AF834" s="2466"/>
      <c r="AG834" s="2466"/>
      <c r="AH834" s="2466"/>
      <c r="AI834" s="2466"/>
      <c r="AJ834" s="2466"/>
      <c r="AK834" s="2466"/>
      <c r="AL834" s="814"/>
      <c r="AM834" s="594"/>
    </row>
    <row r="835" spans="1:81" s="534" customFormat="1" hidden="1">
      <c r="A835" s="816" t="s">
        <v>588</v>
      </c>
      <c r="B835" s="2483" t="s">
        <v>1567</v>
      </c>
      <c r="C835" s="2483"/>
      <c r="D835" s="2483"/>
      <c r="E835" s="2483"/>
      <c r="F835" s="2483"/>
      <c r="G835" s="2483"/>
      <c r="H835" s="2483"/>
      <c r="I835" s="2483"/>
      <c r="J835" s="2483"/>
      <c r="K835" s="2483"/>
      <c r="L835" s="2483"/>
      <c r="M835" s="2483"/>
      <c r="N835" s="2483"/>
      <c r="O835" s="2483"/>
      <c r="P835" s="2483"/>
      <c r="Q835" s="2483"/>
      <c r="R835" s="2483"/>
      <c r="S835" s="2484"/>
      <c r="T835" s="2485">
        <f>IF(AK548&gt;5,5,AK548)</f>
        <v>0</v>
      </c>
      <c r="U835" s="2485"/>
      <c r="V835" s="2485"/>
      <c r="W835" s="2485"/>
      <c r="X835" s="2485"/>
      <c r="Y835" s="2485"/>
      <c r="Z835" s="2466">
        <v>5</v>
      </c>
      <c r="AA835" s="2466"/>
      <c r="AB835" s="2466"/>
      <c r="AC835" s="2466"/>
      <c r="AD835" s="2466"/>
      <c r="AE835" s="2466"/>
      <c r="AF835" s="2466"/>
      <c r="AG835" s="2466"/>
      <c r="AH835" s="2466"/>
      <c r="AI835" s="2466"/>
      <c r="AJ835" s="2466"/>
      <c r="AK835" s="2466"/>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3" t="str">
        <f>B275</f>
        <v>Readiness to Proceed</v>
      </c>
      <c r="C836" s="2483"/>
      <c r="D836" s="2483"/>
      <c r="E836" s="2483"/>
      <c r="F836" s="2483"/>
      <c r="G836" s="2483"/>
      <c r="H836" s="2483"/>
      <c r="I836" s="2483"/>
      <c r="J836" s="2483"/>
      <c r="K836" s="2483"/>
      <c r="L836" s="2483"/>
      <c r="M836" s="2483"/>
      <c r="N836" s="2483"/>
      <c r="O836" s="2483"/>
      <c r="P836" s="2483"/>
      <c r="Q836" s="2483"/>
      <c r="R836" s="2483"/>
      <c r="S836" s="2484"/>
      <c r="T836" s="2485">
        <f>AK298</f>
        <v>10</v>
      </c>
      <c r="U836" s="2485"/>
      <c r="V836" s="2485"/>
      <c r="W836" s="2485"/>
      <c r="X836" s="2485"/>
      <c r="Y836" s="2485"/>
      <c r="Z836" s="2466">
        <v>10</v>
      </c>
      <c r="AA836" s="2466"/>
      <c r="AB836" s="2466"/>
      <c r="AC836" s="2466"/>
      <c r="AD836" s="2466"/>
      <c r="AE836" s="2466"/>
      <c r="AF836" s="2494">
        <f>IF(T836&gt;Z836,Z836,T836)</f>
        <v>10</v>
      </c>
      <c r="AG836" s="2495"/>
      <c r="AH836" s="2495"/>
      <c r="AI836" s="2495"/>
      <c r="AJ836" s="2495"/>
      <c r="AK836" s="249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3" t="str">
        <f>B301</f>
        <v>Access to Opportunity</v>
      </c>
      <c r="C837" s="2483"/>
      <c r="D837" s="2483"/>
      <c r="E837" s="2483"/>
      <c r="F837" s="2483"/>
      <c r="G837" s="2483"/>
      <c r="H837" s="2483"/>
      <c r="I837" s="2483"/>
      <c r="J837" s="2483"/>
      <c r="K837" s="2483"/>
      <c r="L837" s="2483"/>
      <c r="M837" s="2483"/>
      <c r="N837" s="2483"/>
      <c r="O837" s="2483"/>
      <c r="P837" s="2483"/>
      <c r="Q837" s="2483"/>
      <c r="R837" s="2483"/>
      <c r="S837" s="2484"/>
      <c r="T837" s="2485">
        <f>AK351</f>
        <v>10</v>
      </c>
      <c r="U837" s="2485"/>
      <c r="V837" s="2485"/>
      <c r="W837" s="2485"/>
      <c r="X837" s="2485"/>
      <c r="Y837" s="2485"/>
      <c r="Z837" s="2494">
        <v>10</v>
      </c>
      <c r="AA837" s="2495"/>
      <c r="AB837" s="2495"/>
      <c r="AC837" s="2495"/>
      <c r="AD837" s="2495"/>
      <c r="AE837" s="2496"/>
      <c r="AF837" s="2494">
        <f>IF(T837&gt;Z837,Z837,T837)</f>
        <v>10</v>
      </c>
      <c r="AG837" s="2495"/>
      <c r="AH837" s="2495"/>
      <c r="AI837" s="2495"/>
      <c r="AJ837" s="2495"/>
      <c r="AK837" s="249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1">
        <f>AK351</f>
        <v>10</v>
      </c>
      <c r="U838" s="2491"/>
      <c r="V838" s="2491"/>
      <c r="W838" s="2491"/>
      <c r="X838" s="2491"/>
      <c r="Y838" s="2491"/>
      <c r="Z838" s="2395">
        <v>20</v>
      </c>
      <c r="AA838" s="2441"/>
      <c r="AB838" s="2441"/>
      <c r="AC838" s="2441"/>
      <c r="AD838" s="2441"/>
      <c r="AE838" s="2396"/>
      <c r="AF838" s="2493"/>
      <c r="AG838" s="2493"/>
      <c r="AH838" s="2493"/>
      <c r="AI838" s="2493"/>
      <c r="AJ838" s="2493"/>
      <c r="AK838" s="249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3" t="s">
        <v>844</v>
      </c>
      <c r="C839" s="2483"/>
      <c r="D839" s="2483"/>
      <c r="E839" s="2483"/>
      <c r="F839" s="2483"/>
      <c r="G839" s="2483"/>
      <c r="H839" s="2483"/>
      <c r="I839" s="2483"/>
      <c r="J839" s="2483"/>
      <c r="K839" s="2483"/>
      <c r="L839" s="2483"/>
      <c r="M839" s="2483"/>
      <c r="N839" s="2483"/>
      <c r="O839" s="2483"/>
      <c r="P839" s="2483"/>
      <c r="Q839" s="2483"/>
      <c r="R839" s="2483"/>
      <c r="S839" s="2484"/>
      <c r="T839" s="2485">
        <f>AK482</f>
        <v>10</v>
      </c>
      <c r="U839" s="2485"/>
      <c r="V839" s="2485"/>
      <c r="W839" s="2485"/>
      <c r="X839" s="2485"/>
      <c r="Y839" s="2485"/>
      <c r="Z839" s="2494">
        <v>10</v>
      </c>
      <c r="AA839" s="2495"/>
      <c r="AB839" s="2495"/>
      <c r="AC839" s="2495"/>
      <c r="AD839" s="2495"/>
      <c r="AE839" s="2496"/>
      <c r="AF839" s="2466">
        <f>IF(T839&gt;Z839,Z839,T839)</f>
        <v>10</v>
      </c>
      <c r="AG839" s="2466"/>
      <c r="AH839" s="2466"/>
      <c r="AI839" s="2466"/>
      <c r="AJ839" s="2466"/>
      <c r="AK839" s="2466"/>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3" t="s">
        <v>1549</v>
      </c>
      <c r="C840" s="2483"/>
      <c r="D840" s="2483"/>
      <c r="E840" s="2483"/>
      <c r="F840" s="2483"/>
      <c r="G840" s="2483"/>
      <c r="H840" s="2483"/>
      <c r="I840" s="2483"/>
      <c r="J840" s="2483"/>
      <c r="K840" s="2483"/>
      <c r="L840" s="2483"/>
      <c r="M840" s="2483"/>
      <c r="N840" s="2483"/>
      <c r="O840" s="2483"/>
      <c r="P840" s="2483"/>
      <c r="Q840" s="2483"/>
      <c r="R840" s="2483"/>
      <c r="S840" s="2484"/>
      <c r="T840" s="2485">
        <f>AK572</f>
        <v>12</v>
      </c>
      <c r="U840" s="2485"/>
      <c r="V840" s="2485"/>
      <c r="W840" s="2485"/>
      <c r="X840" s="2485"/>
      <c r="Y840" s="2485"/>
      <c r="Z840" s="2494">
        <v>12</v>
      </c>
      <c r="AA840" s="2495"/>
      <c r="AB840" s="2495"/>
      <c r="AC840" s="2495"/>
      <c r="AD840" s="2495"/>
      <c r="AE840" s="2496"/>
      <c r="AF840" s="2466">
        <f>IF(T840&gt;Z840,Z840,T840)</f>
        <v>12</v>
      </c>
      <c r="AG840" s="2466"/>
      <c r="AH840" s="2466"/>
      <c r="AI840" s="2466"/>
      <c r="AJ840" s="2466"/>
      <c r="AK840" s="2466"/>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3" t="s">
        <v>1569</v>
      </c>
      <c r="C841" s="2483"/>
      <c r="D841" s="2483"/>
      <c r="E841" s="2483"/>
      <c r="F841" s="2483"/>
      <c r="G841" s="2483"/>
      <c r="H841" s="2483"/>
      <c r="I841" s="2483"/>
      <c r="J841" s="2483"/>
      <c r="K841" s="2483"/>
      <c r="L841" s="2483"/>
      <c r="M841" s="2483"/>
      <c r="N841" s="2483"/>
      <c r="O841" s="2483"/>
      <c r="P841" s="2483"/>
      <c r="Q841" s="2483"/>
      <c r="R841" s="2483"/>
      <c r="S841" s="2484"/>
      <c r="T841" s="2485">
        <f>AK816</f>
        <v>10</v>
      </c>
      <c r="U841" s="2485"/>
      <c r="V841" s="2485"/>
      <c r="W841" s="2485"/>
      <c r="X841" s="2485"/>
      <c r="Y841" s="2485"/>
      <c r="Z841" s="2494">
        <v>10</v>
      </c>
      <c r="AA841" s="2495"/>
      <c r="AB841" s="2495"/>
      <c r="AC841" s="2495"/>
      <c r="AD841" s="2495"/>
      <c r="AE841" s="2496"/>
      <c r="AF841" s="2466">
        <f>IF(T841&gt;Z841,Z841,T841)</f>
        <v>10</v>
      </c>
      <c r="AG841" s="2466"/>
      <c r="AH841" s="2466"/>
      <c r="AI841" s="2466"/>
      <c r="AJ841" s="2466"/>
      <c r="AK841" s="2466"/>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7"/>
      <c r="U842" s="2497"/>
      <c r="V842" s="2497"/>
      <c r="W842" s="2497"/>
      <c r="X842" s="2497"/>
      <c r="Y842" s="2497"/>
      <c r="Z842" s="2492" t="s">
        <v>1571</v>
      </c>
      <c r="AA842" s="2492"/>
      <c r="AB842" s="2492"/>
      <c r="AC842" s="2492"/>
      <c r="AD842" s="2492"/>
      <c r="AE842" s="2492"/>
      <c r="AF842" s="2494">
        <f>ABS(T842)</f>
        <v>0</v>
      </c>
      <c r="AG842" s="2495"/>
      <c r="AH842" s="2495"/>
      <c r="AI842" s="2495"/>
      <c r="AJ842" s="2495"/>
      <c r="AK842" s="249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8" t="s">
        <v>1572</v>
      </c>
      <c r="B843" s="2499"/>
      <c r="C843" s="2499"/>
      <c r="D843" s="2499"/>
      <c r="E843" s="2499"/>
      <c r="F843" s="2499"/>
      <c r="G843" s="2499"/>
      <c r="H843" s="2499"/>
      <c r="I843" s="2499"/>
      <c r="J843" s="2499"/>
      <c r="K843" s="2499"/>
      <c r="L843" s="2499"/>
      <c r="M843" s="2499"/>
      <c r="N843" s="2499"/>
      <c r="O843" s="2499"/>
      <c r="P843" s="2499"/>
      <c r="Q843" s="2499"/>
      <c r="R843" s="2499"/>
      <c r="S843" s="2499"/>
      <c r="T843" s="2499"/>
      <c r="U843" s="2499"/>
      <c r="V843" s="2499"/>
      <c r="W843" s="2499"/>
      <c r="X843" s="2499"/>
      <c r="Y843" s="2499"/>
      <c r="Z843" s="2499"/>
      <c r="AA843" s="2499"/>
      <c r="AB843" s="2499"/>
      <c r="AC843" s="2499"/>
      <c r="AD843" s="2499"/>
      <c r="AE843" s="2500"/>
      <c r="AF843" s="2504">
        <f>SUM(AF826:AK841)-AF842</f>
        <v>112</v>
      </c>
      <c r="AG843" s="2505"/>
      <c r="AH843" s="2505"/>
      <c r="AI843" s="2505"/>
      <c r="AJ843" s="2505"/>
      <c r="AK843" s="250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1"/>
      <c r="B844" s="2502"/>
      <c r="C844" s="2502"/>
      <c r="D844" s="2502"/>
      <c r="E844" s="2502"/>
      <c r="F844" s="2502"/>
      <c r="G844" s="2502"/>
      <c r="H844" s="2502"/>
      <c r="I844" s="2502"/>
      <c r="J844" s="2502"/>
      <c r="K844" s="2502"/>
      <c r="L844" s="2502"/>
      <c r="M844" s="2502"/>
      <c r="N844" s="2502"/>
      <c r="O844" s="2502"/>
      <c r="P844" s="2502"/>
      <c r="Q844" s="2502"/>
      <c r="R844" s="2502"/>
      <c r="S844" s="2502"/>
      <c r="T844" s="2502"/>
      <c r="U844" s="2502"/>
      <c r="V844" s="2502"/>
      <c r="W844" s="2502"/>
      <c r="X844" s="2502"/>
      <c r="Y844" s="2502"/>
      <c r="Z844" s="2502"/>
      <c r="AA844" s="2502"/>
      <c r="AB844" s="2502"/>
      <c r="AC844" s="2502"/>
      <c r="AD844" s="2502"/>
      <c r="AE844" s="2503"/>
      <c r="AF844" s="2507"/>
      <c r="AG844" s="2508"/>
      <c r="AH844" s="2508"/>
      <c r="AI844" s="2508"/>
      <c r="AJ844" s="2508"/>
      <c r="AK844" s="250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Katherine Aguilar</cp:lastModifiedBy>
  <cp:lastPrinted>2024-12-09T20:28:29Z</cp:lastPrinted>
  <dcterms:created xsi:type="dcterms:W3CDTF">2007-12-27T18:26:28Z</dcterms:created>
  <dcterms:modified xsi:type="dcterms:W3CDTF">2026-01-31T03:51:24Z</dcterms:modified>
</cp:coreProperties>
</file>